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341" yWindow="65431" windowWidth="15480" windowHeight="11640" tabRatio="860" activeTab="0"/>
  </bookViews>
  <sheets>
    <sheet name="Master" sheetId="1" r:id="rId1"/>
    <sheet name="Group 1" sheetId="2" r:id="rId2"/>
    <sheet name="Group 2" sheetId="3" r:id="rId3"/>
    <sheet name="Group 3" sheetId="4" r:id="rId4"/>
    <sheet name="Group 4" sheetId="5" r:id="rId5"/>
    <sheet name="Group 5" sheetId="6" r:id="rId6"/>
    <sheet name="Group 6" sheetId="7" r:id="rId7"/>
    <sheet name="Group 7" sheetId="8" r:id="rId8"/>
    <sheet name="Group 8" sheetId="9" r:id="rId9"/>
    <sheet name="Assumptions" sheetId="10" r:id="rId10"/>
  </sheets>
  <definedNames>
    <definedName name="_xlnm._FilterDatabase" localSheetId="0" hidden="1">'Master'!$A$3:$J$148</definedName>
    <definedName name="Z_61064B15_42FE_11DD_9C23_0016CB94D35C_.wvu.FilterData" localSheetId="1" hidden="1">'Group 1'!$A$1:$I$1</definedName>
    <definedName name="Z_B4286502_948A_7941_A8D6_59E320192564_.wvu.FilterData" localSheetId="1" hidden="1">'Group 1'!$A$1:$I$1</definedName>
    <definedName name="Z_F3CD76F8_253F_446F_A119_52AA3E80BEB2_.wvu.FilterData" localSheetId="1" hidden="1">'Group 1'!$A$1:$I$1</definedName>
  </definedNames>
  <calcPr fullCalcOnLoad="1"/>
</workbook>
</file>

<file path=xl/sharedStrings.xml><?xml version="1.0" encoding="utf-8"?>
<sst xmlns="http://schemas.openxmlformats.org/spreadsheetml/2006/main" count="2197" uniqueCount="1132">
  <si>
    <t xml:space="preserve">Increase share of renewable energy to 20% and reduce greenhouse gas emissions by 20% in the EU by 2020 </t>
  </si>
  <si>
    <t>8587 ktoe total TPES in 2005, 1.4% ave annual increase in energy demand. 828 GWh of RE production in 2005 not included as assumed to be included in TPES calculation.</t>
  </si>
  <si>
    <t>Promotion of pico hydro power unit in Garhwal Himalayas for agro-processing - revival programme of traditional water mills</t>
  </si>
  <si>
    <t>World Experience for Georgia (Foundation), Georgia</t>
  </si>
  <si>
    <t>Promotion of renewable energy in Georgia through policy development, increased awareness and regional cooperation</t>
  </si>
  <si>
    <t>Tunisia / National Agency for Energy Conservation</t>
  </si>
  <si>
    <t>l = j * k</t>
  </si>
  <si>
    <t>k = g * (Year - D) + E</t>
  </si>
  <si>
    <t>Jordan / Ministry of Energy and Mineral Resources</t>
  </si>
  <si>
    <t>Promoting the utilisation of renewable energy sources to share 10% in the primary energy by the year 2020</t>
  </si>
  <si>
    <t>Switzerland / Department of Finance</t>
  </si>
  <si>
    <t>Promotion of biofuels</t>
  </si>
  <si>
    <t>Shri Jagdamba Samiti, India</t>
  </si>
  <si>
    <t xml:space="preserve">Increase the share of renewable energy resources in the national balance of primary energy at least up to 20% by 2025. Increase the share of biofuels in the country’s market of the fuel used in transportation up to 15% in 2020 and up to 20% in 2025. </t>
  </si>
  <si>
    <t>Renewable Energy Goals in Lithuania</t>
  </si>
  <si>
    <t>Uganda</t>
  </si>
  <si>
    <t>Source for 2005 TPEC Data</t>
  </si>
  <si>
    <t>http://www.iea.org/Textbase/stats/balancetable.asp?COUNTRY_CODE=SE</t>
  </si>
  <si>
    <t>(F) Goal Year</t>
  </si>
  <si>
    <t>(E) % RE in base year</t>
  </si>
  <si>
    <t>(D) Base Year</t>
  </si>
  <si>
    <t>(C) TPES GHG EF (t CO2/toe)</t>
  </si>
  <si>
    <t xml:space="preserve">(B) TPES Growth Rate (%) </t>
  </si>
  <si>
    <t>n = m * C</t>
  </si>
  <si>
    <t>m = l(year) - l(2008)</t>
  </si>
  <si>
    <t>l = j * k</t>
  </si>
  <si>
    <t>k = g * (Year - D) + E</t>
  </si>
  <si>
    <t>j = A * exp[B*(Year-2005)]</t>
  </si>
  <si>
    <t>(A) TPES in 2005 (toe)</t>
  </si>
  <si>
    <t>Denmark / Ministry of Climate and Energy</t>
  </si>
  <si>
    <t>Increase use of renewable energy and energy efficiency</t>
  </si>
  <si>
    <t>Cameroon / Ministry of Energy and Water Resources</t>
  </si>
  <si>
    <t>USA / Environmental Protection Agency</t>
  </si>
  <si>
    <t>Avoided CO2 in Target Year (g CO2)</t>
  </si>
  <si>
    <t>thousand barrels of petrol</t>
  </si>
  <si>
    <t>Bahamas / Ministry of Public Works and Transport</t>
  </si>
  <si>
    <t>Latest version of the Government of Canada's (NRCan) RETScreen Clean Energy Project Analysis Software - officially launched</t>
  </si>
  <si>
    <t>USA / Department of Treasury</t>
  </si>
  <si>
    <t xml:space="preserve">Launch USD 2bn Clean Technology Fund </t>
  </si>
  <si>
    <t>(C) TPEC GHG EF (t CO2/toe)</t>
  </si>
  <si>
    <t>RE Goal of 30.3 in electricity sector</t>
  </si>
  <si>
    <t>Avoided CO2 in Target Year (tons CO2)</t>
  </si>
  <si>
    <t>(C) TPEC GHG EF (t CO2/toe)</t>
  </si>
  <si>
    <t xml:space="preserve">(B) TPEC Growth Rate (%) </t>
  </si>
  <si>
    <t>(A) TPEC in 2005 (toe)</t>
  </si>
  <si>
    <t>l = j * k</t>
  </si>
  <si>
    <t>k = g * (Year - D) + E</t>
  </si>
  <si>
    <t>j = A * exp[B*(Year-2005)]</t>
  </si>
  <si>
    <t>(A) TPEC in 2005 (toe)</t>
  </si>
  <si>
    <t>CO2 avoided from WIREC pledge (tons CO2) [n]</t>
  </si>
  <si>
    <t>Notes</t>
  </si>
  <si>
    <t>Paraguay / Ministry of Industry and Commerce</t>
  </si>
  <si>
    <t xml:space="preserve">National Biofuels Development Plan to expand biofuels from 5% to 50% by 2013 </t>
  </si>
  <si>
    <t>Madagascar / Ministry of Energy and Mines</t>
  </si>
  <si>
    <t xml:space="preserve">National policies to achieve 54% renewable energy share by 2020 </t>
  </si>
  <si>
    <t xml:space="preserve">Reduce the carbon footprint of Warrenton by 25% by 2012 primarily through a waste to energy plant </t>
  </si>
  <si>
    <t>Additional RE generated from WIREC pledge (toe) [m]</t>
  </si>
  <si>
    <t>RE energy (toe) [l]</t>
  </si>
  <si>
    <t>RE energy (%) [k]</t>
  </si>
  <si>
    <t>TPEC (toe) [j]</t>
  </si>
  <si>
    <t>million liters</t>
  </si>
  <si>
    <t>billion gallons</t>
  </si>
  <si>
    <t>1: Not calculated because of lacking baseline data.</t>
  </si>
  <si>
    <t>http://www.iea.org/Textbase/stats/balancetable.asp?COUNTRY_CODE=JO</t>
  </si>
  <si>
    <t>TPES 7.09 Mtoe in 2005 (IEA). Assumes pledge refers to total primary energy supply not production. If production impact would be significantly smaller.</t>
  </si>
  <si>
    <t>Annual CO2 Reduced from Biofuels Produced in Target Year (MMT)</t>
  </si>
  <si>
    <t>Cumulative CO2 Reduced from Biofuels Produced from 2008-2030 (MMT)</t>
  </si>
  <si>
    <t>CO2 avoided from WIREC pledge (tons CO2) [n]</t>
  </si>
  <si>
    <t>RE energy (toe) [l]</t>
  </si>
  <si>
    <t>RE energy (%) [k]</t>
  </si>
  <si>
    <t>TPES (toe) [j]</t>
  </si>
  <si>
    <t>Pakistan</t>
  </si>
  <si>
    <t>http://www.iea.org/Textbase/stats/balancetable.asp?COUNTRY_CODE=PK</t>
  </si>
  <si>
    <t>http://www.ren21.net/wiap/detail.asp?id=98</t>
  </si>
  <si>
    <t>http://www.iea.org/Textbase/stats/balancetable.asp?COUNTRY_CODE=MA</t>
  </si>
  <si>
    <t>http://www.ren21.net/wiap/detail.asp?id=109</t>
  </si>
  <si>
    <t>Avoided CO2 in Target Year (MMT CO2)</t>
  </si>
  <si>
    <t>Cumulative Avoided CO2 2009-2030 (g CO2)</t>
  </si>
  <si>
    <t>By 2012, Morocco will increase the contribution of renewable energy sources in the national energy balance to 10% and in electricty supply to 20% (instead of 4% currently),</t>
  </si>
  <si>
    <t>(G) % RE in goal year</t>
  </si>
  <si>
    <t xml:space="preserve">(B) TPES Growth Rate (%) </t>
  </si>
  <si>
    <t>n = m * C</t>
  </si>
  <si>
    <t>m = l(year) - l(2008)</t>
  </si>
  <si>
    <t xml:space="preserve">Legally based financial mechanism for accelerated market penetration of renewable electricity to boost generation by 5.4 TWh by 2030 </t>
  </si>
  <si>
    <t>India / City Managers' Association Orissa</t>
  </si>
  <si>
    <t>Local Government Climate Change Adaptation Programme</t>
  </si>
  <si>
    <t>j = A * exp[B*(Year-2005)]</t>
  </si>
  <si>
    <t>(A) TPES in 2005 (toe)</t>
  </si>
  <si>
    <t>To increase the use of modern renewable energy from the current 4% to 61%of the total energy consumption in Uganda by 2017.</t>
  </si>
  <si>
    <t>Making Modern Renewable Energy a Substantial Part of Uganda's National Energy Consumption</t>
  </si>
  <si>
    <t>Uganda / Ministry of Energy and Mineral Development.</t>
  </si>
  <si>
    <t>Sweden</t>
  </si>
  <si>
    <t>http://tonto.eia.doe.gov/country/country_energy_data.cfm?fips=SW</t>
  </si>
  <si>
    <t>Campaign to increase public education and awareness of renewable energy and the environment</t>
  </si>
  <si>
    <t xml:space="preserve">Increase share of renewable energy to at least 20% by 2025 </t>
  </si>
  <si>
    <t>Morocco / Ministry of Energy, Mines, Water and Environment</t>
  </si>
  <si>
    <t xml:space="preserve">Increase the contribution of renewable energy to 10% of national energy balance and 20% in electricity supply by 2012 </t>
  </si>
  <si>
    <t>Italy / Ministry of Economic Development</t>
  </si>
  <si>
    <t>Increase the share of renewable energies in the energy mix</t>
  </si>
  <si>
    <t>Increase use of renewable energies and reduction of greenhouse gas emissionsby 30% by 2020.  Assumed GHG goal encompasses other goals. 214 Million metric tons for Netherlands in 2008 as baseline. (stated in pledge). 30% reduction by 2020 = 64.2</t>
  </si>
  <si>
    <t>Cumulative CO2 Reduced 2009-2030 (MMT)</t>
  </si>
  <si>
    <t>liters of petrol</t>
  </si>
  <si>
    <t>current consumption at 100 billion cu m/annually of natural gas, 10% biogass switch by 2030. Increase in overall consumption assumed at 0.8%.</t>
  </si>
  <si>
    <t>http://www.ren21.net/wiap/detail.asp?id=94</t>
  </si>
  <si>
    <t>Germany/ Federal Ministry for Economics and Technology</t>
  </si>
  <si>
    <t>http://www.ren21.net/wiap/detail.asp?id=143</t>
  </si>
  <si>
    <t>Combined RPS policies will produce ~400,000 GWhrs from renewable energy resources in 2020.</t>
  </si>
  <si>
    <t>USA / State Governments</t>
  </si>
  <si>
    <t>(C) Electricity GHG EF (g CO2/kWh)</t>
  </si>
  <si>
    <t xml:space="preserve">(B) Electricity Growth Rate (%) </t>
  </si>
  <si>
    <t xml:space="preserve">Use the good wind resource in Mauritania coast to power a unit of 30000 m3 of desalinised water and tie electricity in network - 18 MW of Wind Power grid-connected (ideally PPP and PPA with Somelec, public utility)  </t>
  </si>
  <si>
    <t>Wind for Power and sea water Desalinisation (WPD)</t>
  </si>
  <si>
    <t>LMOP facilitated landfill methane recovery projects will reduce greenhouse gas emissions from approximately 560 landfills by 24 Tg CO2 Eq. in 2012. These reductions translate to about 2,000 megawatts or the equivalent of powering approximately 1.2 million households.</t>
  </si>
  <si>
    <t>http://www.ren21.net/wiap/detail.asp?id=155</t>
  </si>
  <si>
    <t>(A) Energy Consumption in 2005 (toe)</t>
  </si>
  <si>
    <t>Energy Saved (toe) [l]</t>
  </si>
  <si>
    <t xml:space="preserve">
Produce 1 billion liters of ethanol from cane sugar and 75 MWe by 2009/10, and triple these quantities by 2010.  Assumes 225 MW installed in 2010 yields 1.58*10^9  kWh.</t>
  </si>
  <si>
    <t>Emission Factor (grams CO2 per kWh)</t>
  </si>
  <si>
    <t xml:space="preserve"> PV Electricity Capacity (kW)</t>
  </si>
  <si>
    <t xml:space="preserve">Hydro Electricity Capacity (kW) </t>
  </si>
  <si>
    <t>(g) growth per year base year to goal year</t>
  </si>
  <si>
    <t>(C) Electricity GHG EF (g CO2/kWh)</t>
  </si>
  <si>
    <t xml:space="preserve">(B) Electricity Growth Rate (%) </t>
  </si>
  <si>
    <t>CO2 avoided from WIREC pledge (g CO2) [n]</t>
  </si>
  <si>
    <t>Additional RE generation from WIREC pledge (kWh) [m]</t>
  </si>
  <si>
    <t>http://www.iea.org/Textbase/stats/renewdata.asp?COUNTRY_CODE=CM</t>
  </si>
  <si>
    <t>NOTE: Cumulative impacts include all componets of targets calculated to right.</t>
  </si>
  <si>
    <t>MMMBTU from Biogas</t>
  </si>
  <si>
    <t>% displacing natural gas</t>
  </si>
  <si>
    <t>Avoided CO2 in Target Year (g CO2)</t>
  </si>
  <si>
    <t>Avoided CO2 in Target Year (MMT CO2)</t>
  </si>
  <si>
    <t>Increase use of renewable energy and energy efficiency: Assumed the minimum 15% reduction in the use of fossil fuels by 2025 compared with 2007 covered the RE and efficiency targes</t>
  </si>
  <si>
    <t>Nicaragua</t>
  </si>
  <si>
    <t>- To expand generation during the period 2008-2011 in order to reach a 38% share of renewable energy in total electric generation by 2011 (compared to current share of 27%).</t>
  </si>
  <si>
    <t>http://www.ren21.net/wiap/detail.asp?id=66</t>
  </si>
  <si>
    <t>http://www.iea.org/Textbase/stats/renewdata.asp?COUNTRY_CODE=JP</t>
  </si>
  <si>
    <t>(g) growth per year base year to goal year</t>
  </si>
  <si>
    <t>(G) Total RE in goal year (kWh)</t>
  </si>
  <si>
    <t>(F) Goal Year</t>
  </si>
  <si>
    <t>(E) Total RE in base year (kWh)</t>
  </si>
  <si>
    <t>Growth Rates</t>
  </si>
  <si>
    <t>Source (TPEC EF): http://www.eia.doe.gov/emeu/international/energyconsumption.html</t>
  </si>
  <si>
    <t>Assumes 2008 footprint of .329 million metric tons.</t>
  </si>
  <si>
    <t>http://www.ren21.net/wiap/detail.asp?id=68</t>
  </si>
  <si>
    <t>(C) Electricity GHG EF (g CO2/kWh)</t>
  </si>
  <si>
    <t xml:space="preserve">(B) Electricity Growth Rate (%) </t>
  </si>
  <si>
    <t>n = m * C</t>
  </si>
  <si>
    <t>m = l(year) - l(2008)</t>
  </si>
  <si>
    <t>RE electricity (kWh) [l]</t>
  </si>
  <si>
    <t>Year</t>
  </si>
  <si>
    <t>Region</t>
  </si>
  <si>
    <t>TPEC GHG EF (t CO2/toe)</t>
  </si>
  <si>
    <t>EIA TPEC CO2 Emiss (MMT)</t>
  </si>
  <si>
    <t>EIA TPEC toe</t>
  </si>
  <si>
    <t>42.65 MMT in 2008; projected 48.69 MMT in 2012; pledged to reduce future emissions by 15%; assume projected 2012 emissions reduced by 15% or 7.3035 MMT in 2012</t>
  </si>
  <si>
    <t>http://www.ren21.net/wiap/detail.asp?id=340</t>
  </si>
  <si>
    <t>Thailand/ Bangkok, Thailand / Bangkok Metropolitan Administration (BMA)</t>
  </si>
  <si>
    <t>Promote cogeneration to generate 200MW by 2020 in the sugar industry and other commercial establishments.  Promote wind energy to generate 150 MW by 2020 through favourable policy and regulatory interventions. Formulate and institute a policy on renewable energy development in the next two years.  Assumed Total RE Gen in 2020 = 2.05*10^9 kWh.</t>
  </si>
  <si>
    <t>Australia/ Government of Austraila</t>
  </si>
  <si>
    <t>% displaced by biogas</t>
  </si>
  <si>
    <t>When renewable fraction of total energy consumption was unstated and otherwise unavailable, used total RE electricity generation as an approximation of total RE energy production/consumption.</t>
  </si>
  <si>
    <t xml:space="preserve">http://ec.europa.eu/dgs/energy_transport/figures/pocketbook/2007_en.htm  </t>
  </si>
  <si>
    <t>European data obtained from the following report:</t>
  </si>
  <si>
    <t>Baseline renewable use for TPEC</t>
  </si>
  <si>
    <t>http://www.ren21.net/wiap/detail.asp?id=229</t>
  </si>
  <si>
    <t>We assume 100 projects will be completed annually, so the pledge goal would be met in 2013.</t>
  </si>
  <si>
    <t>http://www.ren21.net/wiap/detail.asp?id=54</t>
  </si>
  <si>
    <t>http://www.ren21.net/wiap/detail.asp?id=341</t>
  </si>
  <si>
    <r>
      <t>-</t>
    </r>
    <r>
      <rPr>
        <sz val="7"/>
        <rFont val="Verdana"/>
        <family val="0"/>
      </rPr>
      <t xml:space="preserve">       </t>
    </r>
    <r>
      <rPr>
        <sz val="12"/>
        <rFont val="Verdana"/>
        <family val="0"/>
      </rPr>
      <t>The motor gasoline consumption in liters and the gas/diesel consumption in liters were added together to get the final number used in the master spreadsheet</t>
    </r>
  </si>
  <si>
    <t>The Landfill Methane Outreach Program (LMOP) reduces greenhouse gas emissions at landfills by supporting the recovery and use of landfill methane for energy.</t>
  </si>
  <si>
    <t>Recovery of Landfill Methane to Reduce Greenhouse Gas Emissions and Generate Renewable Energy</t>
  </si>
  <si>
    <t>USA / Federal Government / Environmental Protection Agency (EPA) / Landfill Methane Outreach Program</t>
  </si>
  <si>
    <t>http://www.iea.org/Textbase/stats/renewdata.asp?COUNTRY_CODE=TR</t>
  </si>
  <si>
    <t>http://www.ren21.net/wiap/detail.asp?id=217</t>
  </si>
  <si>
    <t xml:space="preserve">Renewable fuel standard of 36 bn gallons by 2022, with sub- requirement of 21 bn gallons of advanced biofuels by 2022 </t>
  </si>
  <si>
    <t>Energy consumption w/pledge [toe]</t>
  </si>
  <si>
    <t>Energy Consumption w/out pledge (toe) [j]</t>
  </si>
  <si>
    <t>Denmark</t>
  </si>
  <si>
    <t>TPEC EF (t CO2/toe)</t>
  </si>
  <si>
    <t>EIA total GHG emiss (tons)</t>
  </si>
  <si>
    <t>EIA TPEC 2005 (toe)</t>
  </si>
  <si>
    <t>EIA TPEC 2005 (10^15 BTU)</t>
  </si>
  <si>
    <t>PV Electricity Generation (kWh)</t>
  </si>
  <si>
    <t>Hydro Electricity Generation (kWh)</t>
  </si>
  <si>
    <t>Total (kWh)</t>
  </si>
  <si>
    <t>Technology</t>
  </si>
  <si>
    <t>PV</t>
  </si>
  <si>
    <t>(A) Capacity (kW)</t>
  </si>
  <si>
    <t>(B) Capacity Factor (%)</t>
  </si>
  <si>
    <t>(C) Annual Hours</t>
  </si>
  <si>
    <t>(D) Annual Electricity Generation (kWh)</t>
  </si>
  <si>
    <t>Hydro</t>
  </si>
  <si>
    <t>Unless otherwise noted, the IEA unit converter was used for conversion calculations</t>
  </si>
  <si>
    <t>Conversions</t>
  </si>
  <si>
    <t>Source: IEO2007, EIA, System for the Analysis of Global Energy Markets (2007).  IEA, World Energy Outlook 2006 (Paris, France, November 2006). Pp492-527</t>
  </si>
  <si>
    <t>Growth rates remain constant for the period of 2005-2030</t>
  </si>
  <si>
    <t>Source: http://www.iea.org/Textbase/stats/unit.asp</t>
  </si>
  <si>
    <t>http://www.iea.org/Textbase/stats/renewdata.asp?COUNTRY_CODE=AR</t>
  </si>
  <si>
    <t>Source for RE data</t>
  </si>
  <si>
    <t>Growth rates for electricity and transportation fuels demand are derived from the IEA WEO (2005)</t>
  </si>
  <si>
    <t>EUR 550m to renewable energy and energy efficiency in developing countries in 2008</t>
  </si>
  <si>
    <t>Japan / Ministry of Economy, Trade and Industry</t>
  </si>
  <si>
    <t xml:space="preserve">Expanding introduction of renewable energy to 3% of total primary energy supply by 2010 </t>
  </si>
  <si>
    <t>Increased RE heat energy (toe) [l]</t>
  </si>
  <si>
    <t>Increased RE heat energy (%) [k]</t>
  </si>
  <si>
    <t>n = l * C</t>
  </si>
  <si>
    <t>l = j - k</t>
  </si>
  <si>
    <t>k(2005-2007) = A * exp[B1*(Year-2005)];k(2008+) = A * exp[B2*(Year-2007)]</t>
  </si>
  <si>
    <t>Assumptions for CO2 Reduction Calculations</t>
  </si>
  <si>
    <t>Emissions Factors</t>
  </si>
  <si>
    <t>Current Fuels Consumption</t>
  </si>
  <si>
    <t>(F) Goal Year</t>
  </si>
  <si>
    <t>Turkey</t>
  </si>
  <si>
    <t>thousand barrels of petrol</t>
  </si>
  <si>
    <t>liters of petrol</t>
  </si>
  <si>
    <t>Region</t>
  </si>
  <si>
    <t>Paraguay</t>
  </si>
  <si>
    <t>Year</t>
  </si>
  <si>
    <t>Petrol consumption (liters) [j]</t>
  </si>
  <si>
    <t>Biofuels (%) [k]</t>
  </si>
  <si>
    <t>CO2 avoided from WIREC pledge (g CO2) [n]</t>
  </si>
  <si>
    <t>j = A * exp[B*(Year-2005)]</t>
  </si>
  <si>
    <t>k = g * (Year - D) + E</t>
  </si>
  <si>
    <t>l = j * k</t>
  </si>
  <si>
    <t>m = l(year) - l(2008)</t>
  </si>
  <si>
    <t>n = m * C</t>
  </si>
  <si>
    <t>Biofuels Consumed (liters)</t>
  </si>
  <si>
    <t xml:space="preserve">(B) fuel demand growth Rate (%) </t>
  </si>
  <si>
    <t>(C) fuel GHG EF (g CO2/liter)</t>
  </si>
  <si>
    <t>(D) Base Year</t>
  </si>
  <si>
    <t>(E) % biofuels in base year</t>
  </si>
  <si>
    <t>(g) % growth per year base year to goal year</t>
  </si>
  <si>
    <t>Avoided CO2 in Target Year (g CO2)</t>
  </si>
  <si>
    <t>Avoided CO2 in Target Year (MMT CO2)</t>
  </si>
  <si>
    <t>Cumulative Avoided CO2 2009-2030 (MMT CO2)</t>
  </si>
  <si>
    <t>% Reduction in CO2 emissions with sugarcane ethanol</t>
  </si>
  <si>
    <t>(G) Total biofuel production in goal year liters)</t>
  </si>
  <si>
    <t>Avoided CO2 in Target Year (g CO2)</t>
  </si>
  <si>
    <t>Cumulative Avoided CO2 2009-2030 (g CO2)</t>
  </si>
  <si>
    <t>Avoided CO2 in Target Year (MMT CO2)</t>
  </si>
  <si>
    <t>Cumulative Avoided CO2 2009-2030 (MMT CO2)</t>
  </si>
  <si>
    <t>(A) Heat energy consumption in 2005 (toe)</t>
  </si>
  <si>
    <t>CO2 avoided from WIREC pledge (tons CO2) [n]</t>
  </si>
  <si>
    <t>Additional RE generated from WIREC pledge (toe) [m]</t>
  </si>
  <si>
    <t>Fuel specific assumptions noted on the top of "group 5" page</t>
  </si>
  <si>
    <t>j = A * exp[B1*(Year-2005)]</t>
  </si>
  <si>
    <t xml:space="preserve">Renewable energy use requirements for federal facilities and vehicle fleets through 2015 </t>
  </si>
  <si>
    <t>Other (assumed to be biodiesel), billion gallons</t>
  </si>
  <si>
    <t>CO2 avoided with biodiesel (g CO2-equiv/liter petro-diesel displaced)</t>
  </si>
  <si>
    <t>USA / Department of Energy</t>
  </si>
  <si>
    <t>NOTE: This pledge also contains a fuel component, the benefits of which are not quantified here.  Click this link to view the estimated fuel and fuel GHG impact of this pledge.</t>
  </si>
  <si>
    <t>(G) % biofuels in goal year</t>
  </si>
  <si>
    <t>(E) % biofuels in base year</t>
  </si>
  <si>
    <t>3% of federal facility energy use in 2007 is equivalent to 1,641 GWh; 
5% of federal facility energy use in 2010 is equivalent to 2,736 GWh; and 
7.5% of federal facility energy use 2013 is equivalent to 4,104 GWh. 
14.75 million gallons of alternative fuels consumed in 2015.</t>
  </si>
  <si>
    <t>USA / Environmental Protection Agency (EPA)</t>
  </si>
  <si>
    <t>SmartWay Grow &amp; Go</t>
  </si>
  <si>
    <t>By 2012, EPA's goal is for 25 percent of our over 650 SmartWay partners to commit to use renewable fuels, and by 2020 to have 50 percent of our partners commit to use renewable fuels through an innovative collaboration between EPA and the freight industry.</t>
  </si>
  <si>
    <t>Increased demand for renewable fuels by offsetting 550 millions gallons of fuel annually.</t>
  </si>
  <si>
    <t>http://www.ren21.net/wiap/detail.asp?id=231</t>
  </si>
  <si>
    <t>USA / Environmental Protection Agency</t>
  </si>
  <si>
    <t xml:space="preserve">(B1) Energy Growth Rate: w/pledge 2005-2007; w/out pledge all years (%) </t>
  </si>
  <si>
    <t>CO2 avoided from WIREC pledge (g CO2) [n]</t>
  </si>
  <si>
    <t>(A) Petrol Consumption in 2005 (liters)</t>
  </si>
  <si>
    <t>j = A * exp[B*(Year-2005)]</t>
  </si>
  <si>
    <t>k = g * (Year - D) + E</t>
  </si>
  <si>
    <t>l = j * k</t>
  </si>
  <si>
    <t>m = l(year) - l(2008)</t>
  </si>
  <si>
    <t>n = m * C</t>
  </si>
  <si>
    <t xml:space="preserve">(B) fuel demand growth Rate (%) </t>
  </si>
  <si>
    <t>Region</t>
  </si>
  <si>
    <t>Spain</t>
  </si>
  <si>
    <t>Year</t>
  </si>
  <si>
    <t>Petrol consumption (liters) [j]</t>
  </si>
  <si>
    <t>(A) Petrol Consumption in 2005 (liters)</t>
  </si>
  <si>
    <t>j = A * exp[B*(Year-2005)]</t>
  </si>
  <si>
    <t>k = g * (Year - D) + E</t>
  </si>
  <si>
    <t>l = j * k</t>
  </si>
  <si>
    <t>m = l(year) - l(2008)</t>
  </si>
  <si>
    <t>n = m * C</t>
  </si>
  <si>
    <t xml:space="preserve">(B) fuel demand growth Rate (%) </t>
  </si>
  <si>
    <t>(C) fuel GHG EF (g CO2/liter)</t>
  </si>
  <si>
    <t>(D) Base Year</t>
  </si>
  <si>
    <t>(E) % biofuels in base year</t>
  </si>
  <si>
    <t>(F) Goal Year</t>
  </si>
  <si>
    <t>(G) % biofuels in goal year</t>
  </si>
  <si>
    <t>(g) % growth per year base year to goal year</t>
  </si>
  <si>
    <t>Avoided CO2 in Target Year (g CO2)</t>
  </si>
  <si>
    <t>Region</t>
  </si>
  <si>
    <t>Italy</t>
  </si>
  <si>
    <t>Lithuania</t>
  </si>
  <si>
    <t>(D) Base Year</t>
  </si>
  <si>
    <t>(E) % biofuels in base year</t>
  </si>
  <si>
    <t>Cumulative Avoided CO2 2009-2030 (g CO2)</t>
  </si>
  <si>
    <t>Avoided CO2 in Target Year (MMT CO2)</t>
  </si>
  <si>
    <t>Cumulative Avoided CO2 2009-2030 (MMT CO2)</t>
  </si>
  <si>
    <t>(E) Baseline RE  (kWh)</t>
  </si>
  <si>
    <t>(G) Total RE in goal year from pledge (kWh)</t>
  </si>
  <si>
    <t>Added RE electricity (kWh) [l]</t>
  </si>
  <si>
    <t>Install solar systems amounting to an additional 1 million kW installed capacity in 2016.  Assuming 20% capacity factor, total generation in 2016 is 1.75*10^9 kWh</t>
  </si>
  <si>
    <t>Assumes a 20% reduction in 2005 total TPEC by 2011 and 10% of the 2011 TFC is renewables, up from 0.19% in 2005. Assume fuel goal is part of the larger energy demand reduction and renewable penetration.</t>
  </si>
  <si>
    <t>http://tonto.eia.doe.gov/country/country_energy_data.cfm?fips=TS</t>
  </si>
  <si>
    <t>Tunisia</t>
  </si>
  <si>
    <t>Additional fossil energy saved from WIREC pledge (demand decrease plus RE increase) (toe) [m]</t>
  </si>
  <si>
    <t>CO2 avoided from WIREC pledge (tons CO2) [n]</t>
  </si>
  <si>
    <t>(A) TPEC in 2005 (toe)</t>
  </si>
  <si>
    <t>j = A * exp[B1*(Year-2005)]</t>
  </si>
  <si>
    <t>n = l * C</t>
  </si>
  <si>
    <t xml:space="preserve">(B1) Energy Growth Rate: w/pledge 2005-2007; w/out pledge all years (%) </t>
  </si>
  <si>
    <t>(B2) Energy growth rate w/pledge 2008+</t>
  </si>
  <si>
    <t>(D) Base Year</t>
  </si>
  <si>
    <t>(g) % growth per year base year to goal year</t>
  </si>
  <si>
    <t>Avoided CO2 in Target Year (tons CO2)</t>
  </si>
  <si>
    <t>thousand barrels of petrol</t>
  </si>
  <si>
    <t>liters of petrol</t>
  </si>
  <si>
    <t>thousand barrels of petrol</t>
  </si>
  <si>
    <t xml:space="preserve">USA / USEPA.  Renewable fuel standard of 36 bn gallons by 2022, with sub- requirement of 21 bn gallons of advanced biofuels by 2022. </t>
  </si>
  <si>
    <t>(C) Delta Fuel GHG EF (g CO2/liter)</t>
  </si>
  <si>
    <t>(E) Total biofuel production in base year (liters)</t>
  </si>
  <si>
    <t>(F) Goal Year</t>
  </si>
  <si>
    <t>(G) Total biofuel production in goal year liters)</t>
  </si>
  <si>
    <t>Avoided CO2 in Target Year (g CO2)</t>
  </si>
  <si>
    <t>Cumulative Avoided CO2 2009-2030 (g CO2)</t>
  </si>
  <si>
    <t>Avoided CO2 in Target Year (MMT CO2)</t>
  </si>
  <si>
    <t>Cumulative Avoided CO2 2009-2030 (MMT CO2)</t>
  </si>
  <si>
    <t>WIREC 2008 Pledges - Estimate of CO2 and Biofuel Impacts if Goals are Met by Target Years</t>
  </si>
  <si>
    <t>Review Table - July 1, 2008</t>
  </si>
  <si>
    <t>Current consumption = 9.6 million killowatt hours per year; Reduce consumption by 25% by 2012; increase green power purchases from 10% to 75% of consumption by 2012.</t>
  </si>
  <si>
    <t xml:space="preserve">USA/ Planet2025 Network </t>
  </si>
  <si>
    <t>Integration of sustainable biofuel crops as renewable energy component into community based agroforestry efforts</t>
  </si>
  <si>
    <t>Absorption and sequestration of 300,000 tons of CO2 in 2008-1009</t>
  </si>
  <si>
    <t>Japan / Ministry of Economy, Trade and Industry</t>
  </si>
  <si>
    <t xml:space="preserve">Expanding introduction of renewable energy to 3% of total primary energy supply by 2010 </t>
  </si>
  <si>
    <t>http://www.ren21.net/wiap/detail.asp?id=64</t>
  </si>
  <si>
    <t>http://www.ren21.net/wiap/detail.asp?id=322</t>
  </si>
  <si>
    <t xml:space="preserve">Argentina / Government of Argentina </t>
  </si>
  <si>
    <t>Increasing renewable energy to 8% of electricity consumption by 2016, 5% of fuels by 2011, and promoting rural access to renewable energy</t>
  </si>
  <si>
    <t>Assume the 8% total consumption goal includes the fuel contribution</t>
  </si>
  <si>
    <t>http://tonto.eia.doe.gov/country/country_energy_data.cfm?fips=AR</t>
  </si>
  <si>
    <t>Argentina</t>
  </si>
  <si>
    <t>http://www.ren21.net/wiap/detail.asp?id=97</t>
  </si>
  <si>
    <t>359.47 MMT CO2 in 2005 as baseline (IEA) = 61.11 MMT reductions in 2025</t>
  </si>
  <si>
    <t>New national energy policy. 17% emission reductions in 2025.</t>
  </si>
  <si>
    <t>TPEC GHG EF (t CO2/toe)</t>
  </si>
  <si>
    <t>Annual CO2 Reduced in Target Year (MMT)</t>
  </si>
  <si>
    <t>USA / Department of Defense</t>
  </si>
  <si>
    <t>Rural electrification in South Africa with photovoltaic kits</t>
  </si>
  <si>
    <t>Egypt / Ministry of Electricity and Energy</t>
  </si>
  <si>
    <t>Satisfying 20% of the Egyptian generated electricity by renewable energies, mainly wind &amp; hydro, by 2020</t>
  </si>
  <si>
    <t xml:space="preserve">Lithuania / Ministry of Economy. Increase the share of biofuels in the country’s market of the fuel used in transportation up to 15% in 2020 and up to 20% in 2025. 1,348,000 tonnes of fuel in transportation sector in 2005, 4000 of which was biofuels, </t>
  </si>
  <si>
    <t>Tanzania / Ministry of Energy and Minerals</t>
  </si>
  <si>
    <t>NOTES:</t>
  </si>
  <si>
    <t>http://www.ren21.net/wiap/detail.asp?id=90</t>
  </si>
  <si>
    <t>http://www.ren21.net/wiap/detail.asp?id=87</t>
  </si>
  <si>
    <t xml:space="preserve">Renewable Energy Sources Act (EEG) to help raise share of renewable electricity to 25–30% by 2020 </t>
  </si>
  <si>
    <t xml:space="preserve">Renewable energy systems and energy efficiency improvements program with loan guarantees and grants </t>
  </si>
  <si>
    <t>Juniata College, USA</t>
  </si>
  <si>
    <t xml:space="preserve">Offsetting 75% of electricity consumption through wind energy credits </t>
  </si>
  <si>
    <t xml:space="preserve">Partnership for Clean Indoor Air to reduce exposure of 750,000 people in developing countries by 2009 </t>
  </si>
  <si>
    <t>IEA heat consumption (TJ)</t>
  </si>
  <si>
    <t>Renewable Energy Use by Federal Facilities and Vehicle Fleets</t>
  </si>
  <si>
    <t>MMBtu</t>
  </si>
  <si>
    <t>btu</t>
  </si>
  <si>
    <t>http://www.ren21.net/wiap/detail.asp?id=60</t>
  </si>
  <si>
    <t>http://www.ren21.net/wiap/detail.asp?id=63</t>
  </si>
  <si>
    <t>http://www.ren21.net/wiap/detail.asp?id=108</t>
  </si>
  <si>
    <t>http://www.ren21.net/wiap/detail.asp?id=217</t>
  </si>
  <si>
    <t>http://www.ren21.net/wiap/detail.asp?id=195</t>
  </si>
  <si>
    <t>http://www.ren21.net/wiap/detail.asp?id=333</t>
  </si>
  <si>
    <t>http://www.ren21.net/wiap/detail.asp?id=41</t>
  </si>
  <si>
    <t>Increase use of renewable energies and reduction of greenhouse gas emissions in the EU by 2020</t>
  </si>
  <si>
    <t>Reduce GHGs by 20% by 2020</t>
  </si>
  <si>
    <t>http://www.ren21.net/wiap/detail.asp?id=220</t>
  </si>
  <si>
    <t>State Renewable Portfolio Standards (RPS)</t>
  </si>
  <si>
    <t xml:space="preserve">Step up energy research and development policy </t>
  </si>
  <si>
    <t xml:space="preserve">Strengthen the legal, regulatory and institutional framework to support the development of a sustainable biofuels industry </t>
  </si>
  <si>
    <t>USA / Export-Import Bank</t>
  </si>
  <si>
    <t xml:space="preserve">New national energy policy to optimize the national primary energy mix by increasing share of renewable energy to 15% in 2025 </t>
  </si>
  <si>
    <t xml:space="preserve">Supporting increased renewable energy exports with lending enhancements </t>
  </si>
  <si>
    <t xml:space="preserve">Promotion of renewable energy to reach 10% in national energy demand by 2011 and reduction of total demand </t>
  </si>
  <si>
    <t>Spain / Ministry of Industry, Tourism and Trade: Renewable Fuels 37,935,000 fuel tons in transportation sector (IEA). 339,000 alternative fuel tons of total from biofuels in 2005.  0.2%annual growth in transportation fuels demand.</t>
  </si>
  <si>
    <t>Source for petrol consumption data</t>
  </si>
  <si>
    <t>NatureWorks, LLC, USA</t>
  </si>
  <si>
    <t>http://www.iea.org/Textbase/stats/oildata.asp?COUNTRY_CODE=IT</t>
  </si>
  <si>
    <t>ADEME, EDF, Fondation Energies pour le Monde, GERES FRANCE</t>
  </si>
  <si>
    <t>Remineralize the Earth, Inc. (NGO), USA</t>
  </si>
  <si>
    <t xml:space="preserve">Providing energy access to at least 1 million people through use of renewable energy in order to reduce poverty </t>
  </si>
  <si>
    <t>Research into non-carbon-based fuels and low temperature energy conversion processes</t>
  </si>
  <si>
    <t>Italy</t>
  </si>
  <si>
    <t>The share of renewable energy shall increase to least 54% of energy consumption by 2020.  75% of electric energy will come from renewable source, mainly Hydropower by 2020.  Bioenergy for transportation and power generation will replace fossil fuels to about 5% by 2020. Computation assumes that the electricity and fuel goals are subset of the larger 54% energy goal.  Estimates based on consumption data from the EIA. No base year RE data; assumed 0.</t>
  </si>
  <si>
    <t>Hydroelectricity, clean and renewable energy</t>
  </si>
  <si>
    <t>World Bank Group Strategic Framework for Climate Change and Development</t>
  </si>
  <si>
    <t>Lead Entity</t>
  </si>
  <si>
    <t>Pledge</t>
  </si>
  <si>
    <t>Tier</t>
  </si>
  <si>
    <t>Target Year</t>
  </si>
  <si>
    <t>University of Hawaii-Hilo, College of Agriculture, Forestry and Natural Resource Management, USA</t>
  </si>
  <si>
    <t>Research project for the growing of palm oil in Hawaii on abandoned sugar cane lands</t>
  </si>
  <si>
    <t>France / Electricite De France</t>
  </si>
  <si>
    <t>http://www.ren21.net/wiap/detail.asp?id=108</t>
  </si>
  <si>
    <t>http://www.iea.org/Textbase/stats/balancetable.asp?COUNTRY_CODE=LT</t>
  </si>
  <si>
    <t>http://www.iea.org/Textbase/stats/oildata.asp?COUNTRY_CODE=LT</t>
  </si>
  <si>
    <t xml:space="preserve">Increasing the use of renewable energy in production and products, and increasing energy efficiency </t>
  </si>
  <si>
    <t>Planet2025 Network</t>
  </si>
  <si>
    <t>Integration of sustainable biofuel crops as renewable energy component into community based agroforestry efforts</t>
  </si>
  <si>
    <t>Switzerland / Department of the Environment, Transport, Energy and Communications</t>
  </si>
  <si>
    <t xml:space="preserve">Introduction of Action Plan for renewable heat sources to raise share of renewable energy in TPES from 16,2% to 24% by 2020 </t>
  </si>
  <si>
    <t>http://www.iea.org/Textbase/stats/balancetable.asp?COUNTRY_CODE=ES</t>
  </si>
  <si>
    <t>Source for 2005 fuels data</t>
  </si>
  <si>
    <t>assumes 13,000,000 m3 of additional biogas production by 2030, over current production and each m3 of biogas displaces natural gas</t>
  </si>
  <si>
    <t>Latvia Ministry of the Environment</t>
  </si>
  <si>
    <t>Increase the share of wind and solar installed capacities in the installed capacity mix from its current value of 0.5% to over 10% by the year 2020.  Fully utilize geothermal capacity in the mix of power generation.</t>
  </si>
  <si>
    <t>Turkey / Ministry of Energy and Natural Sources (MENR)</t>
  </si>
  <si>
    <t>http://www.ren21.net/wiap/detail.asp?id=251</t>
  </si>
  <si>
    <t>http://www.ren21.net/wiap/detail.asp?id=123</t>
  </si>
  <si>
    <t>Assumes the upper target of 33GW of offshore wind by 2030.  1.2 GW offshore in 2008. 36% capacity factor.  Yields total RE generation in 2020 of 1.04*10^11 kWh.</t>
  </si>
  <si>
    <t>EIA TPEC Quadrillion BTU</t>
  </si>
  <si>
    <t>IEA heat consumption (toe)</t>
  </si>
  <si>
    <t xml:space="preserve">Solar resource assessment using earth observations with emphasis on products for the developing world </t>
  </si>
  <si>
    <t>USA, State Governments</t>
  </si>
  <si>
    <t>CO2 avoided with biodiesel (g CO2-equiv/liter pero-diesel displaced)</t>
  </si>
  <si>
    <t xml:space="preserve">Spain / Ministry of Industry, Tourism and Trade </t>
  </si>
  <si>
    <t>http://www.ren21.net/wiap/detail.asp?id=60</t>
  </si>
  <si>
    <t>National policy and public awareness campaign on renewable energy use in Afghanistan and reduction of air pollution in Kabul</t>
  </si>
  <si>
    <t>Indonesia / Ministry of Energy and Mineral Resources</t>
  </si>
  <si>
    <t>CO2 avoided from WIREC pledge (tons CO2) [n]</t>
  </si>
  <si>
    <t xml:space="preserve">Implementation of the strategy of the German Government on the use of offshore wind energy </t>
  </si>
  <si>
    <t>USA / Agency for International Develpment</t>
  </si>
  <si>
    <t xml:space="preserve">Improved access to clean energy services in developing countries with USD 125m in 2008 </t>
  </si>
  <si>
    <t>Italy / Ministry of Economic Development. Renewable Fuels. 40,026,000 fuel tons in transportation sector (IEA). 339,000 alternative fuel tons of total from biofuels in 2005.  0.2%annual growth in transportation fuels demand.</t>
  </si>
  <si>
    <t xml:space="preserve">Lithuania / Ministry of Economy </t>
  </si>
  <si>
    <t>http://www.iea.org/Textbase/stats/balancetable.asp?COUNTRY_CODE=IT</t>
  </si>
  <si>
    <t>Source for 2005 electricity generation data</t>
  </si>
  <si>
    <t>http://www.ren21.net/wiap/detail.asp?id=63</t>
  </si>
  <si>
    <t>3,000 MW of new PV by 2016</t>
  </si>
  <si>
    <t>PV deployment</t>
  </si>
  <si>
    <t>http://www.iea.org/Textbase/stats/renewdata.asp?COUNTRY_CODE=DE</t>
  </si>
  <si>
    <t>UK / Department for Environment, Food and Rural Affairs</t>
  </si>
  <si>
    <t>UK commitment to fund REEEP, the Renewable Energy and Energy Efficiecny Partnership, for 3 years, with GBP 2.5m available for 2008/9</t>
  </si>
  <si>
    <t>Assuming .5% for wind and solar is 59GWh (IEA , 2005), 10% is 1180GWh--&gt; 1.18B kWh 
Geothermal capacity potential* is 31.5 GW--&gt;  248.346B kWh.  Assumes 2.5*10^11 kWh total in 2020.</t>
  </si>
  <si>
    <t xml:space="preserve">Wind Electricity Market Cost Targets for land-based and offshore systems </t>
  </si>
  <si>
    <t xml:space="preserve">Woody biomass grants to turn forest residue into marketable products </t>
  </si>
  <si>
    <t>Romanian Energy Policy Association</t>
  </si>
  <si>
    <t>Workshop for dissemination of WIREC 2008</t>
  </si>
  <si>
    <t>World Bank Group</t>
  </si>
  <si>
    <t>Programme for the development of production and use of biogas</t>
  </si>
  <si>
    <t>USA / U.S. Trade and Development Agency</t>
  </si>
  <si>
    <t>52174 ktoe total TPES in 2005, 0.8% ave annual increase in energy demand.</t>
  </si>
  <si>
    <t>increase the use of renewable energy from 39.8 % in 2005 to 49 % in 2020</t>
  </si>
  <si>
    <t>Energy policy for long-term sustainability</t>
  </si>
  <si>
    <t>Sweden / Ministry of Enterprise, Energy, and Communications</t>
  </si>
  <si>
    <t>RE energy (%) [k]</t>
  </si>
  <si>
    <t>TPES (toe) [j]</t>
  </si>
  <si>
    <t>Year</t>
  </si>
  <si>
    <t>(E) % RE in base year</t>
  </si>
  <si>
    <t>Italy</t>
  </si>
  <si>
    <t>Year</t>
  </si>
  <si>
    <t>Lithuania</t>
  </si>
  <si>
    <t>Switzerland</t>
  </si>
  <si>
    <t xml:space="preserve">27.15 Mtoe TPE in 2005 TPES in 2005, 0.8% ave annual increase in energy demand. </t>
  </si>
  <si>
    <t>Increase one-and-half fold the share of renewable energy in TPES by 2020, from currently 16.2% to 24%.</t>
  </si>
  <si>
    <t>Action Plan for renewable heat</t>
  </si>
  <si>
    <t>http://www.iea.org/Textbase/stats/oildata.asp?COUNTRY_CODE=ES</t>
  </si>
  <si>
    <t xml:space="preserve">Jatropha biodiesel development feasibility study for possible large-scale production </t>
  </si>
  <si>
    <t>Land use planning to increase renewable energy development on public lands</t>
  </si>
  <si>
    <t>http://www.iea.org/Textbase/stats/oildata.asp?COUNTRY_CODE=TR</t>
  </si>
  <si>
    <t>4278.8 Million metric tons for EU in 1990 as baseline. (European Community Annual GHG report). 20% reduction by 2020 = 855.76, interim reduction of 541.98 MMT met in 2009, reduction constant after 2020 goal achieved through 2030. cumulative reduction from 2009-2030</t>
  </si>
  <si>
    <t>http://www.ren21.net/wiap/detail.asp?id=83</t>
  </si>
  <si>
    <t xml:space="preserve">The German Government has set a long-term target of installing between 20,000 MW to 25,000 MW by 2025 to 2030 </t>
  </si>
  <si>
    <t>Implementation of the Strategy of the German Government on the Use of Offshore Wind Energy</t>
  </si>
  <si>
    <t>25,0000 MW of new offshore wind by 2030</t>
  </si>
  <si>
    <t>Prokaushali Sangsad Limited, Bangladesh</t>
  </si>
  <si>
    <t>Scaling up RE technology application and adaptation to the impact of climate change</t>
  </si>
  <si>
    <t xml:space="preserve">SmartWay Grow &amp; Go partnership with freight industry to increase use of renewable fuels </t>
  </si>
  <si>
    <t>Solar America Initiative</t>
  </si>
  <si>
    <t>USA / National Aeronautics and Space Administration</t>
  </si>
  <si>
    <t>% reduction in GHG with biodiesel</t>
  </si>
  <si>
    <t>Avoided CO2 in Target Year (tons CO2)</t>
  </si>
  <si>
    <t>(g) % growth per year base year to goal year</t>
  </si>
  <si>
    <t>(G) % RE in goal year</t>
  </si>
  <si>
    <t>m = l(year) - l(2008)</t>
  </si>
  <si>
    <t>l = j * k</t>
  </si>
  <si>
    <t>k = g * (Year - D) + E</t>
  </si>
  <si>
    <t>j = A * exp[B*(Year-2005)]</t>
  </si>
  <si>
    <t>(A) TPES in 2005 (toe)</t>
  </si>
  <si>
    <t>Lithuania / Ministry of Economy</t>
  </si>
  <si>
    <t>RE energy (toe) [l]</t>
  </si>
  <si>
    <t>RE energy (%) [k]</t>
  </si>
  <si>
    <t>TPES (toe) [j]</t>
  </si>
  <si>
    <t>Year</t>
  </si>
  <si>
    <t>Morocco</t>
  </si>
  <si>
    <t>RE energy (toe) [l]</t>
  </si>
  <si>
    <t xml:space="preserve">Inclusion of renewable energy tax incentives in the 2008 budget </t>
  </si>
  <si>
    <t>Brazil / Government of Brazil</t>
  </si>
  <si>
    <t>Incentive program to encourage employees of Forrester Partners Limited to switch to renewable energy</t>
  </si>
  <si>
    <t>Canada / Government of Canada</t>
  </si>
  <si>
    <t>Emission Factor (grams CO2 per kWh)</t>
  </si>
  <si>
    <t xml:space="preserve">Promote and support renewable energy in developing countries </t>
  </si>
  <si>
    <t>Partnership International, Inc, USA</t>
  </si>
  <si>
    <t xml:space="preserve">Reduce dependence on imported fossil fuels through the development of indigenous renewable energy resources to 10% of the electricity generation by 2010 and 15% by 2020 </t>
  </si>
  <si>
    <t>The potential of remineralization with rock mineral fines to transform biofuel production and sequester carbon</t>
  </si>
  <si>
    <t>Electricity Generation (kWh)</t>
  </si>
  <si>
    <t>Annual CO2e Reduced (Grams)</t>
  </si>
  <si>
    <t>Annual CO2e Reduced (MMT)</t>
  </si>
  <si>
    <t xml:space="preserve">Usage target of 16 bn kWh by 2014 based on the Renewable Portfolio Standard law </t>
  </si>
  <si>
    <t xml:space="preserve">USD 10bn Loan guarantee program for renewable and energy efficiency </t>
  </si>
  <si>
    <t>Mauritania / Ministry of Hydraulics, Energy and ICT</t>
  </si>
  <si>
    <t xml:space="preserve">Using wind power for sea water desalination </t>
  </si>
  <si>
    <t>United States</t>
  </si>
  <si>
    <t>Motor Gasoline (Tonnes)</t>
  </si>
  <si>
    <t>Gas/Diesel (Tonnes)</t>
  </si>
  <si>
    <t>Total Tonnes</t>
  </si>
  <si>
    <t>% Gasoline</t>
  </si>
  <si>
    <t>% Diesel</t>
  </si>
  <si>
    <t>Offset 100% of energy usage by purchasing wind energy</t>
  </si>
  <si>
    <t>Grameen Shakti, Bangladesh</t>
  </si>
  <si>
    <t>Policy advocacy for formulating and declaring a national renewable energy policy for Bangladesh</t>
  </si>
  <si>
    <t>Latvia / Ministry of the Environment</t>
  </si>
  <si>
    <t>Fuel</t>
  </si>
  <si>
    <t>g CO2/gallon gasoline equiv</t>
  </si>
  <si>
    <t>http://www.ren21.net/wiap/detail.asp?id=52</t>
  </si>
  <si>
    <t>Avoided CO2 in Target Year (tons CO2)</t>
  </si>
  <si>
    <t>(g) % growth per year base year to goal year</t>
  </si>
  <si>
    <t>(F) Goal Year</t>
  </si>
  <si>
    <t>(E) % RE in base year</t>
  </si>
  <si>
    <t>(D) Base Year</t>
  </si>
  <si>
    <t>(C) TPES GHG EF (t CO2/toe)</t>
  </si>
  <si>
    <t xml:space="preserve">(B) TPES Growth Rate (%) </t>
  </si>
  <si>
    <t>(A) TPES in 2005 (toe)</t>
  </si>
  <si>
    <t>CO2 avoided from WIREC pledge (tons CO2) [n]</t>
  </si>
  <si>
    <t>(G) % RE in goal year</t>
  </si>
  <si>
    <t xml:space="preserve">242222 GWh total energy consumed in electricity sector (IEA 2005). 0.8% ave annual increase in electricity demand. </t>
  </si>
  <si>
    <t>Cumulative Avoided CO2 2009-2030 (tons CO2)</t>
  </si>
  <si>
    <t>Avoided CO2 in Target Year (tons CO2)</t>
  </si>
  <si>
    <t>(g) % growth per year base year to goal year</t>
  </si>
  <si>
    <t>Uganda / Ministry of Energy and Mineral Development</t>
  </si>
  <si>
    <t xml:space="preserve">Providing energy services through renewable energy technologies to 1.5 m people in off-grid rural and peri-urban areas </t>
  </si>
  <si>
    <t xml:space="preserve">Purchasing green power to offset electricity used in manufacturing process </t>
  </si>
  <si>
    <t>Turkey / Ministry of Energy and Natural Sources (MENR).  Renewable Energy and Energy Efficiency Targets and Regulation.  Increase the share of biofuels in road transport from its current value of 2% to 5% by the year 2015.</t>
  </si>
  <si>
    <t>http://www.iea.org/Textbase/stats/oildata.asp?COUNTRY_CODE=PY</t>
  </si>
  <si>
    <t>Paraguay / Ministry of Industry and Commerce.  National Biofuels Development Plan. Increase of biofuels percentage in national fuels matrix from current 5% to expected 50% by 2013.</t>
  </si>
  <si>
    <t>http://www.ren21.net/wiap/detail.asp?id=154</t>
  </si>
  <si>
    <t>Petrol fuel displaced (liters) [l]</t>
  </si>
  <si>
    <t>Additional petro fuel displaced from WIREC pledge (liters) [m]</t>
  </si>
  <si>
    <t>% gasoline</t>
  </si>
  <si>
    <t>% diesel</t>
  </si>
  <si>
    <t>See assumptions</t>
  </si>
  <si>
    <t>g CO2/liter gasoline equiv</t>
  </si>
  <si>
    <t>Gasoline</t>
  </si>
  <si>
    <t>Cellulosic ethanol</t>
  </si>
  <si>
    <t>Corn ethanol</t>
  </si>
  <si>
    <t>Petro-diesel</t>
  </si>
  <si>
    <t>Cumulative Petrol Fuel Displaced 2009-2030 (Million Litres)</t>
  </si>
  <si>
    <t>CO2 avoided with ethanol (g CO2-equiv/liter gasoline displaced)</t>
  </si>
  <si>
    <t>http://tonto.eia.doe.gov/country/country_energy_data.cfm?fips=LH</t>
  </si>
  <si>
    <t>Turkey</t>
  </si>
  <si>
    <t>France</t>
  </si>
  <si>
    <t>Paraguay</t>
  </si>
  <si>
    <t>Spain</t>
  </si>
  <si>
    <t>Afghanistan / Ministry of Energy and Water</t>
  </si>
  <si>
    <t>http://tonto.eia.doe.gov/country/country_energy_data.cfm?fips=SP</t>
  </si>
  <si>
    <t>Cumulative Avoided CO2 2009-2030 (tons CO2)</t>
  </si>
  <si>
    <t>St. Kitts and Nevis / Government of St. Kitts and Nevis</t>
  </si>
  <si>
    <t>Increase renewable energy and implement Ten-year Plan for Energy Expansion to match expected 47% increase in installed electric capacity</t>
  </si>
  <si>
    <t>GE Energy Financial Services</t>
  </si>
  <si>
    <t>Increase renewables investment to USD 6bn by 2010</t>
  </si>
  <si>
    <t>European Union / Council of the European Union</t>
  </si>
  <si>
    <t xml:space="preserve">Project preparation assistance, investment analysis, project definition, sector development, and trade capacity building to accelerate renewable energy use in developing countries </t>
  </si>
  <si>
    <t xml:space="preserve">Promote financing, development, implementation, and dissemination of best-practice model to help expand solar and wind power in African countries </t>
  </si>
  <si>
    <t>Biomass Coordinating Council, USA</t>
  </si>
  <si>
    <t xml:space="preserve">Promoting collaboration and information sharing on biomass through WIKI platform </t>
  </si>
  <si>
    <t>Town of Warrenton, Virginia, USA</t>
  </si>
  <si>
    <t xml:space="preserve">Renewable Energies Heat Act to help increase share of renewable energies in heat provision to 14% by 2020 </t>
  </si>
  <si>
    <t>Turkey / Ministry of Energy and Natural Sources</t>
  </si>
  <si>
    <t>Renewable energy and energy efficiency targets and regulation</t>
  </si>
  <si>
    <t>http://www.ren21.net/wiap/detail.asp?id=74</t>
  </si>
  <si>
    <t>Year</t>
  </si>
  <si>
    <t>http://tonto.eia.doe.gov/country/country_energy_data.cfm?fips=TU</t>
  </si>
  <si>
    <t>Source for petrol consumption</t>
  </si>
  <si>
    <t>Target Year CO2 Reduced (MMT)</t>
  </si>
  <si>
    <t>Azerbaijan / Ministry of Ecology and Natural Resources</t>
  </si>
  <si>
    <t>Promote and increase utilisation of wind and solar energy in the country</t>
  </si>
  <si>
    <t>Norway / Ministry of Foreign Affairs</t>
  </si>
  <si>
    <t>Cumulative CO2 Reduced by 2030 (MMT)</t>
  </si>
  <si>
    <t>http://www.iea.org/Textbase/stats/balancetable.asp?COUNTRY_CODE=FR</t>
  </si>
  <si>
    <t>http://www.iea.org/Textbase/stats/oildata.asp?COUNTRY_CODE=FR</t>
  </si>
  <si>
    <t>LHV gasoline / LHV EtOH</t>
  </si>
  <si>
    <t>LHV petro-diesel / LHV biodiesel</t>
  </si>
  <si>
    <t>http://tonto.eia.doe.gov/country/country_energy_data.cfm?fips=UG</t>
  </si>
  <si>
    <t>Souce for 2005 TPEC data</t>
  </si>
  <si>
    <t>http://www.ren21.net/wiap/detail.asp?id=185</t>
  </si>
  <si>
    <t>(A) Petrol Consumption in 2005 (liters)</t>
  </si>
  <si>
    <t>Achieve 10% share of RE (including all hydel) in the national energy mix by 2012.</t>
  </si>
  <si>
    <t>Mainstreaming renewables in Pakistan</t>
  </si>
  <si>
    <t>Cumulative Avoided CO2 2009-2030 (tons CO2)</t>
  </si>
  <si>
    <t xml:space="preserve">Develop community wind energy projects in Dominica to cover at least 25% of the island’s energy needs </t>
  </si>
  <si>
    <t xml:space="preserve">Accelerate renewable energy growth through Formulating and Instituting a policy on renewable energy development in the next two years </t>
  </si>
  <si>
    <t xml:space="preserve">Develop various renewable energy technologies and energy efficiency </t>
  </si>
  <si>
    <t>Expanding renewable electricity generation to 38 percent by 2011, improving regulatory framework for renewable energy investments, and promoting biofuels</t>
  </si>
  <si>
    <t>12% of the energy consumed in Spain should come from renewable sources. The target set for electricity generation is 30.3%, which is assumed reflected in the total energy consumption goal.</t>
  </si>
  <si>
    <t xml:space="preserve">Making modern renewable energy a substantial part of Uganda's national energy consumption, up from 4% to 61% </t>
  </si>
  <si>
    <t>Energy Efficiency Centre, Georgia</t>
  </si>
  <si>
    <t xml:space="preserve">Nation wide campaign for the promotion of renewable energy and energy efficiency </t>
  </si>
  <si>
    <t>New Zealand / Ministry of Economic Development</t>
  </si>
  <si>
    <t>Reach 90% renewable electricity target by 2025</t>
  </si>
  <si>
    <t>Norway / Ministry of Petroleum and Energy</t>
  </si>
  <si>
    <t xml:space="preserve">Reach combined target for renewable energy and energy efficiency: 30 TWh increased annual production from 2001 to 2016 </t>
  </si>
  <si>
    <t xml:space="preserve">Recovery of landfill methane to reduce greenhouse gas emissions and generate renewable energy from 560 landfills by 2012 </t>
  </si>
  <si>
    <t>Jamaica / Ministry of Energy, Mining &amp; Telecommunication Petroleum Corporation</t>
  </si>
  <si>
    <t>Reform of financial support to renewable electricity generators</t>
  </si>
  <si>
    <t>Additional RE generated from WIREC pledge (toe) [m]</t>
  </si>
  <si>
    <t>RE energy (%) [k]</t>
  </si>
  <si>
    <t>TPEC (toe) [j]</t>
  </si>
  <si>
    <t>Jordan</t>
  </si>
  <si>
    <t>Region</t>
  </si>
  <si>
    <t>http://tonto.eia.doe.gov/country/country_energy_data.cfm?fips=FR</t>
  </si>
  <si>
    <t>Source for 2005 TPEC data</t>
  </si>
  <si>
    <t>http://www.iea.org/Textbase/stats/balancetable.asp?COUNTRY_CODE=FR</t>
  </si>
  <si>
    <t>Promoting the utilisation of Renewable Energy Sources to share 10% in the primary energy by the year 2020</t>
  </si>
  <si>
    <t>Cumulative Avoided CO2 2009-2030 (MMT CO2)</t>
  </si>
  <si>
    <t>Avoided CO2 in Target Year (MMT CO2)</t>
  </si>
  <si>
    <t>(g) growth per year (base year to goal year, liters)</t>
  </si>
  <si>
    <t>EISA Total</t>
  </si>
  <si>
    <t>EISA Total (Billion gallons)</t>
  </si>
  <si>
    <t>Corn Ethanol, liters</t>
  </si>
  <si>
    <t>Cellulosic Ethanol, liters</t>
  </si>
  <si>
    <t>Biodiesel, liters</t>
  </si>
  <si>
    <t>Corn Ethanol, billion gallons</t>
  </si>
  <si>
    <t>Cellulosic Ethanol, billion gallons</t>
  </si>
  <si>
    <t xml:space="preserve">Cameroon Ministry of Energy and Water Resources      
Increasing energy supply and energy services for sustainable development via accelerated use of renewable energy      
Produce 1 billion liters of ethanol from cane sugar and 75 MWe by 2009/10, and triple these quantities by 2010.      
http://www.iea.org/Textbase/stats/renewdata.asp?COUNTRY_CODE=CM        </t>
  </si>
  <si>
    <t>Region</t>
  </si>
  <si>
    <t>Cameroon</t>
  </si>
  <si>
    <t>Source (TPES EF): http://www.iea.org/Textbase/country/index.asp</t>
  </si>
  <si>
    <t>RE in 2005 (toe)</t>
  </si>
  <si>
    <t>Promote and increase utilisation of wind and solar energy in the country</t>
  </si>
  <si>
    <t>Azerbaijan / Ministry of Ecology and Natural Resources</t>
  </si>
  <si>
    <t>http://www.ren21.net/wiap/detail.asp?id=247</t>
  </si>
  <si>
    <t xml:space="preserve">To reduce the carbon footprint of Warrenton by 25% by 2012 primarily through a waste to energy plant. </t>
  </si>
  <si>
    <t>US, Town of Warrenton, VA, USA</t>
  </si>
  <si>
    <t>http://www.ren21.net/wiap/detail.asp?id=173</t>
  </si>
  <si>
    <t>Netherlands/ Government of the Netherlands</t>
  </si>
  <si>
    <t>(C) Electricity GHG EF (t CO2/toe)</t>
  </si>
  <si>
    <t>(B2) Energy growth rate w/pledge 2008+</t>
  </si>
  <si>
    <t>Heat energy consumed (toe) [j]</t>
  </si>
  <si>
    <t>Year</t>
  </si>
  <si>
    <t>Germany</t>
  </si>
  <si>
    <t>Region</t>
  </si>
  <si>
    <t xml:space="preserve">(B) Electricity Growth Rate (%) </t>
  </si>
  <si>
    <t>Australia</t>
  </si>
  <si>
    <t>The Government is committed to ensuring at least 20% of Australia's electricity supply comes from renewable energy by 2020.</t>
  </si>
  <si>
    <t>http://www.ren21.net/wiap/detail.asp?id=59</t>
  </si>
  <si>
    <t>20% target for renewables in Australia's electricity supply by 2020</t>
  </si>
  <si>
    <t>Denmark/ Minitry of Climate and Energy</t>
  </si>
  <si>
    <t>http://www.ren21.net/wiap/detail.asp?id=131</t>
  </si>
  <si>
    <t>Japan/ Tokyo Metropolitan Government</t>
  </si>
  <si>
    <t>20% reduction of energy demand by 2011, 10% share of renewable energy in the national energy demand by 2011, develop 180MW of wind energy by 2011, develop 500.000 M2 of solar water heating by 2011, develop 10MW CSP.</t>
  </si>
  <si>
    <t>http://www.ren21.net/wiap/detail.asp?id=80</t>
  </si>
  <si>
    <t>http://www.ren21.net/wiap/detail.asp?id=111</t>
  </si>
  <si>
    <t>http://www.ren21.net/wiap/detail.asp?id=225</t>
  </si>
  <si>
    <t xml:space="preserve">Provide CAD 4 bn in funding to the ecoENERGY Initiatives in support of renewable energy and energy efficiency in Canada </t>
  </si>
  <si>
    <t xml:space="preserve">Provide financial support for commercial scale anaerobic digestion demonstration plants </t>
  </si>
  <si>
    <t>Tanzania Traditional Energy Development and Environment Organization</t>
  </si>
  <si>
    <t>http://www.ren21.net/wiap/detail.asp?id=74</t>
  </si>
  <si>
    <t>Expansion of the Use of Solar Energy</t>
  </si>
  <si>
    <t>Additional RE amounting to 3% of RE in TPES by 2010. 2005 TPES = 530.46 Mtoe; assuming 1.4 % growth, TPES in 2010 = 568.922 Mtoe. 3% = 17.07 Mtoe</t>
  </si>
  <si>
    <t>http://www.iea.org/Textbase/stats/indicators.asp?COUNTRY_CODE=JP</t>
  </si>
  <si>
    <t>Japan</t>
  </si>
  <si>
    <t>(E) RE in base year</t>
  </si>
  <si>
    <t>(G)additional RE in goal year (toe)</t>
  </si>
  <si>
    <t>Juniata College, USA</t>
  </si>
  <si>
    <t>Renewable Choice Energy</t>
  </si>
  <si>
    <r>
      <t>-</t>
    </r>
    <r>
      <rPr>
        <sz val="7"/>
        <rFont val="Verdana"/>
        <family val="0"/>
      </rPr>
      <t xml:space="preserve">       </t>
    </r>
    <r>
      <rPr>
        <sz val="12"/>
        <rFont val="Verdana"/>
        <family val="0"/>
      </rPr>
      <t>The “Gas/Diesel” IEA data was multiplied by the petrodiesel conversion factor (1190 L/tonne) to get liters of gas/diesel consumption</t>
    </r>
  </si>
  <si>
    <r>
      <t>-</t>
    </r>
    <r>
      <rPr>
        <sz val="7"/>
        <rFont val="Verdana"/>
        <family val="0"/>
      </rPr>
      <t xml:space="preserve">       </t>
    </r>
    <r>
      <rPr>
        <sz val="12"/>
        <rFont val="Verdana"/>
        <family val="0"/>
      </rPr>
      <t>The “Motor Gasoline” IEA data was multiplied by the motor gasoline conversion factor (1356 L/tonne) to get liters of motor gasoline consumption</t>
    </r>
  </si>
  <si>
    <t>Petrodiesel = 0.84 g/ml (converts to 1190 L/tonne)</t>
  </si>
  <si>
    <t>Motor Gasoline = 1356 L/tonne</t>
  </si>
  <si>
    <t>Source: http://bioenergy.ornl.gov/main.aspx</t>
  </si>
  <si>
    <t>Conversion Factors:</t>
  </si>
  <si>
    <r>
      <t>-</t>
    </r>
    <r>
      <rPr>
        <sz val="7"/>
        <rFont val="Verdana"/>
        <family val="0"/>
      </rPr>
      <t xml:space="preserve">       </t>
    </r>
    <r>
      <rPr>
        <sz val="12"/>
        <rFont val="Verdana"/>
        <family val="0"/>
      </rPr>
      <t>The data for the petrodiesel is the number from the transport row in the column titled “Gas/Diesel”</t>
    </r>
  </si>
  <si>
    <r>
      <t>-</t>
    </r>
    <r>
      <rPr>
        <sz val="7"/>
        <rFont val="Verdana"/>
        <family val="0"/>
      </rPr>
      <t xml:space="preserve">       </t>
    </r>
    <r>
      <rPr>
        <sz val="12"/>
        <rFont val="Verdana"/>
        <family val="0"/>
      </rPr>
      <t>The data for motor gasoline is the number from the transport row in the column titled “Motor Gasoline”</t>
    </r>
  </si>
  <si>
    <t>All data is from IEA 2005 data from the “Oil” link on the country page, see link in country section in master spreadsheet for specific link</t>
  </si>
  <si>
    <t>Fuel Consumption calculations</t>
  </si>
  <si>
    <t>Final cumulative emission reductions are reported in million metric tons of CO2</t>
  </si>
  <si>
    <t>All emission reductions are calculated in metric tons of CO2</t>
  </si>
  <si>
    <t>GHG Impacts</t>
  </si>
  <si>
    <t>EIA TPEC CO2 Emiss (MMT)</t>
  </si>
  <si>
    <t>EIA TPEC toe</t>
  </si>
  <si>
    <t>EIA TPEC Quadrillion BTU</t>
  </si>
  <si>
    <t>Notes:</t>
  </si>
  <si>
    <t>Madagascar</t>
  </si>
  <si>
    <t>EIA</t>
  </si>
  <si>
    <t>Source for primary energy data</t>
  </si>
  <si>
    <t>http://www.ren21.net/wiap/detail.asp?id=75</t>
  </si>
  <si>
    <t xml:space="preserve">Renewable energy production and procurement to reach 25% of the Department’s facility electrical consumption by 2025 </t>
  </si>
  <si>
    <t>Federal facilities are required to reduce energy use by 3% each year, or 30% by 2015
Of the total amount of electric energy the Federal Government consumes during any fiscal year, the following amounts shall be renewable energy: 3% of electric energy by 2007, 5% of electric energy by 2010, 7.5% of electric energy by 2013 
For vehicle fleets operated by Federal agencies, a 20 percent reduction in annual petroleum consumption and 10 percent increase in annual alternative fuel consumption is required by 2015</t>
  </si>
  <si>
    <t>Reduction of 25 thousand tons of GHG emissions in CO2 equivalent (assume this captures all GHG benefits of the pledge)</t>
  </si>
  <si>
    <t xml:space="preserve">Source (electricity EF): International Energy Agency Data Services. 2007. "CO2 Emissions from Fuel Combustion (2007 Edition)". </t>
  </si>
  <si>
    <t>Every kWh of RE generation is C02 free</t>
  </si>
  <si>
    <t>Emission factors for electricity are calculated in gCO2/kWh</t>
  </si>
  <si>
    <t>Emission factors for TPES and TPEC goals are reported in gCO2/toe</t>
  </si>
  <si>
    <t>All emission factors are calculated in grams of CO2</t>
  </si>
  <si>
    <t>Emission Factors</t>
  </si>
  <si>
    <t>Source (Pledge Text): http://www.ren21.net/wiap/wirec.asp</t>
  </si>
  <si>
    <t>Incremental GHG reductions are reflected from the period 2009 through 2030 for all pledges</t>
  </si>
  <si>
    <t>Unless otherwise noted, the baseline year for energy and emissions growth was 2005</t>
  </si>
  <si>
    <t>GHG impacts only calculated for those pledges with clearly defined quantitative goals</t>
  </si>
  <si>
    <t>Pledge Interpretation</t>
  </si>
  <si>
    <t>Promotion of Renewable Energy and Reduction of Energy Demand</t>
  </si>
  <si>
    <t>Germany / Germany Federal Ministry for the Environment, Nature Conservation and Nuclear Safety</t>
  </si>
  <si>
    <t>http://www.ren21.net/wiap/detail.asp?id=42</t>
  </si>
  <si>
    <t>USA / Federal Government / Environmental Protection Agency (EPA)</t>
  </si>
  <si>
    <t>http://www.ren21.net/wiap/detail.asp?id=144</t>
  </si>
  <si>
    <t>3% of federal facility energy use in 2007 is equivalent to 1,641 GWh; 
5% of federal facility energy use in 2010 is equivalent to 2,736 GWh; and 
7.5% of federal facility energy use 2013 is equivalent to 4,104 GWh. 
Assume the 14.75 million gallons of alternative fuels consumed in 2015 is covered under the federal fuel goal (EISA).</t>
  </si>
  <si>
    <t xml:space="preserve"> 110872 GWh RE electric production in 2005 (IEA) so assume the 16B kWh pledge is in addition to this current level. </t>
  </si>
  <si>
    <t>http://www.iea.org/Textbase/stats/balancetable.asp?COUNTRY_CODE=NO</t>
  </si>
  <si>
    <t>30 TWh increased annual production from 2001 to 2016 for RE</t>
  </si>
  <si>
    <t>Action plan for renewable electricity</t>
  </si>
  <si>
    <t>Firestar Engineering, LLC, USA</t>
  </si>
  <si>
    <t>http://www.ren21.net/wiap/detail.asp?id=37</t>
  </si>
  <si>
    <t xml:space="preserve">Develop and implement national program for agricultural biogas plants and introduce white certificate mechanism for energy efficiency </t>
  </si>
  <si>
    <t>Avoided CO2 in Target Year (MMT CO2)</t>
  </si>
  <si>
    <t>Cumulative Avoided CO2 2009-2030 (tons CO2)</t>
  </si>
  <si>
    <t>Avoided CO2 in Target Year (tons CO2)</t>
  </si>
  <si>
    <t>(g) % growth per year base year to goal year</t>
  </si>
  <si>
    <t>(G) % RE in goal year</t>
  </si>
  <si>
    <t>(g) % growth per year base year to goal year</t>
  </si>
  <si>
    <t>Tokyo Metropolitan Government, Japan</t>
  </si>
  <si>
    <t>Expansion of the Use of Solar Energy</t>
  </si>
  <si>
    <t xml:space="preserve">(B) TPEC Growth Rate (%) </t>
  </si>
  <si>
    <t>UK / Department for Business, Enterprise and Regulatory Reform</t>
  </si>
  <si>
    <t xml:space="preserve">Expedite offshore wind farm development to contribute to the UK’s target of 10% of electricity generation from renewables by 2010 </t>
  </si>
  <si>
    <t>USA / Department of Agriculture</t>
  </si>
  <si>
    <t>International Green Energy Council, USA</t>
  </si>
  <si>
    <t>Increasing energy supply and energy services for sustainable development via accelerated use of renewable energy</t>
  </si>
  <si>
    <t>Argentina / Government of Argentina</t>
  </si>
  <si>
    <t>Increasing renewable energy to 8% of electricity consumption by 2016, 5% of fuels by 2011, and promoting rural access to renewable energy</t>
  </si>
  <si>
    <t>Netherlands / Government of the Netherlands</t>
  </si>
  <si>
    <t>Cumulative Avoided CO2 2009-2030 (tons CO2)</t>
  </si>
  <si>
    <t>Avoided CO2 in Target Year (tons CO2)</t>
  </si>
  <si>
    <t>(g) % growth per year base year to goal year</t>
  </si>
  <si>
    <t>Waitukubuli Ecological Foundation, Dominica</t>
  </si>
  <si>
    <t>A U.S. Human Rights NGO Going Green</t>
  </si>
  <si>
    <t>Kenya / Ministry of Energy</t>
  </si>
  <si>
    <t>Year</t>
  </si>
  <si>
    <t>Jamaica</t>
  </si>
  <si>
    <t>Region</t>
  </si>
  <si>
    <t>CO2 avoided from WIREC pledge (tons CO2) [n]</t>
  </si>
  <si>
    <t>RE energy (toe) [l]</t>
  </si>
  <si>
    <t xml:space="preserve">1178239 Tj total consumption for heat in 2005 (IEA: http://www.iea.org/Textbase/stats/electricitydata.asp?COUNTRY_CODE=DE), 0.8% ave annual increase in electricity demand, 1Tj=277777.78 kWh, 8% increase in renewable share by 2020   </t>
  </si>
  <si>
    <t>Renewable Energies Heat Act</t>
  </si>
  <si>
    <t>Government of Germany</t>
  </si>
  <si>
    <t>Philippines / Miriam Colleage</t>
  </si>
  <si>
    <t>Switzerland / Government of Switzerland</t>
  </si>
  <si>
    <t xml:space="preserve">Double the interdepartmental platform budget to CHF 4m in 2008-2010 to promote renewable energy and efficiency in international cooperation </t>
  </si>
  <si>
    <t>(D) Base Year</t>
  </si>
  <si>
    <t>(F) Goal Year</t>
  </si>
  <si>
    <t>Source: IEA 2005 Country Data, from the "Oil" link on the country page</t>
  </si>
  <si>
    <t>Source of current biofuels production rate: Energy Independece and Security Act of 2007; 
http://thomas.loc.gov/cgi-bin/bdquery/z?d110:h.r.00006:http://thomas.loc.gov/cgi-bin/query/F?c110:8:./temp/~c110mOgiAV:e97764:</t>
  </si>
  <si>
    <t>Unted States</t>
  </si>
  <si>
    <t>U.S. Energy Independence and Security Act of 2007 (EISA 2007) Alt Fuels RFS Goals</t>
  </si>
  <si>
    <t>WIREC Renewable Fuels Pledges - Calculations</t>
  </si>
  <si>
    <t>Nicaragua / Ministry of Energy and Mines</t>
  </si>
  <si>
    <t>Pledge did not provide a breakout for the 48 MW of RE, so we assumed the same proportional breakout as IEA's World Energy Outlook for RE in India in 2015 (the comparable timeframe for India's pledge), yielding a total of 1.92*10^8 kWh.</t>
  </si>
  <si>
    <t xml:space="preserve">Campaign geared towards public awareness and real solutions on climate change through renewable energy and energy efficiency </t>
  </si>
  <si>
    <t>Cumulative Avoided CO2 2009-2030 (g CO2)</t>
  </si>
  <si>
    <t>Avoided CO2 in Target Year (g CO2)</t>
  </si>
  <si>
    <t>http://www.iea.org/Textbase/stats/balancetable.asp?COUNTRY_CODE=DK</t>
  </si>
  <si>
    <t>33514 GWh in 2005 total elec, 0.8% ave annual increase in electricity demand.</t>
  </si>
  <si>
    <t>http://www.ren21.net/wiap/detail.asp?id=12</t>
  </si>
  <si>
    <t>Renewable Energy Systems and Energy Efficiency Improvements Program with loan guarantees and grants</t>
  </si>
  <si>
    <t>Reduce GHGs by 20% by 2020: Increasing share of renewable energy to 20% in 2020, increasing share of sustainable biofuels, energy efficiency, emission reduction</t>
  </si>
  <si>
    <t>Biofuels produced from WIREC pledge (liters) [m]</t>
  </si>
  <si>
    <t>CO2 avoided from WIREC pledge (g CO2) [n]</t>
  </si>
  <si>
    <t>m = l(year) - l(2008)</t>
  </si>
  <si>
    <t>n = m * C</t>
  </si>
  <si>
    <t>(C) Delta Fuel GHG EF (g CO2/liter)</t>
  </si>
  <si>
    <t>(D) Base Year</t>
  </si>
  <si>
    <t>(E) Total biofuel production in base year (liters)</t>
  </si>
  <si>
    <t>(F) Goal Year</t>
  </si>
  <si>
    <t>Additional RE generated from WIREC pledge (toe) [m]</t>
  </si>
  <si>
    <t xml:space="preserve">TPES of 13.81 Mtoe in 2005(IEA). </t>
  </si>
  <si>
    <t>MMBTU from Biogas</t>
  </si>
  <si>
    <t>Petrol fuel displaced in target year</t>
  </si>
  <si>
    <t>Annual Petro Fuels Displaced In Target Year (million liters)</t>
  </si>
  <si>
    <t>Cumulative Petro Fuels Displaced 2009-2030 (million liters)</t>
  </si>
  <si>
    <t xml:space="preserve">2.88 * 10^8 toe 2005 in total energy consumption, 0.8% ave annual increase in electricity demand, 20% RE share by 2020. </t>
  </si>
  <si>
    <t>NOTE: This pledge also contains a fuel component, the benefits of which are not quantified here.  Click this link to view the estimated fuel and fuel GHG impact of this pledge.</t>
  </si>
  <si>
    <t>GreenMotion</t>
  </si>
  <si>
    <t>Cumulative Avoided CO2 2009-2030 (MMT CO2)</t>
  </si>
  <si>
    <t xml:space="preserve">Implement energy policy to reach 49% of renewable energy by 2020 and long-term sustainability </t>
  </si>
  <si>
    <t xml:space="preserve">Creation of Hydrogen Valley - Cluster for hydrogen and fuel cell business </t>
  </si>
  <si>
    <t>Poland / Ministry of Economy</t>
  </si>
  <si>
    <t>NOTE: This pledge also contains a fuels component, the benefits of which are not quantified here.  Click this link to view the estimated fuel and fuel GHG impact of this pledge.</t>
  </si>
  <si>
    <t>Petrol fuel displaced in target year (million liters)</t>
  </si>
  <si>
    <t>Cumulative Avoided CO2 2009-2030 (MMT CO2)</t>
  </si>
  <si>
    <t>Avoided CO2 in Target Year (MMT CO2)</t>
  </si>
  <si>
    <t>NOTE: This pledge also contains an electricity component, the benefits of which are not quantified here.  Click this link to view the estimated electricity and RE GHG impact of this pledge.</t>
  </si>
  <si>
    <t xml:space="preserve">Identify at least 1,000 new ideas, technologies, processes, and techniques which will help meet the global energy needs in a renewable and sustainable way </t>
  </si>
  <si>
    <t>Sweden / Ministry of Enterprise, Energy and Communications</t>
  </si>
  <si>
    <t>(C) fuel GHG EF (g CO2/liter)</t>
  </si>
  <si>
    <t>France / Government of France: reach 10% of biofuel in total fuel consumption. 47,739,000 fuel tons in transportation sector (IEA). 1% share in 2005 alternative fuel tons of total from biofuels in 2005.  0.2%annual growth in transportation fuels demand.</t>
  </si>
  <si>
    <t>Region</t>
  </si>
  <si>
    <t>France</t>
  </si>
  <si>
    <t>Year</t>
  </si>
  <si>
    <t>Petrol consumption (liters) [j]</t>
  </si>
  <si>
    <t>Biofuels (%) [k]</t>
  </si>
  <si>
    <t>(G) Increased % RE heat share in base year</t>
  </si>
  <si>
    <t>(F) Goal Year</t>
  </si>
  <si>
    <t>(E) Increased % RE heat share in base year</t>
  </si>
  <si>
    <t>(D) Base Year</t>
  </si>
  <si>
    <t>(C) TPEC GHG EF (t CO2/toe)</t>
  </si>
  <si>
    <t xml:space="preserve">(B) Heat energy demand growth rate (%) </t>
  </si>
  <si>
    <t>n = m * C</t>
  </si>
  <si>
    <t>m = l(year) - l(2008)</t>
  </si>
  <si>
    <t>l = j * k</t>
  </si>
  <si>
    <t>k = g * (Year - D) + E</t>
  </si>
  <si>
    <t>j = A * exp[B*(Year-2005)]</t>
  </si>
  <si>
    <t>Increasing share of renewable energy to 20% in 2020, increasing share of sustainable biofuels, energy efficiency, emission reduction</t>
  </si>
  <si>
    <t>Green airport and International Flight Academy on biofuels</t>
  </si>
  <si>
    <t>Spain / Ministry of Industry, Tourism and Trade</t>
  </si>
  <si>
    <t>Green Power Partnership includes 850 private partners buying 17 bn KWh of green power.  Assumes 17 bn kWh of green power each year.</t>
  </si>
  <si>
    <t xml:space="preserve">Greening Cape Verde: 50% renewables in nationwide power production by 2020, 100% on one island </t>
  </si>
  <si>
    <t>Greening United States embassies</t>
  </si>
  <si>
    <r>
      <t>American Jewish Committee, USA</t>
    </r>
    <r>
      <rPr>
        <vertAlign val="superscript"/>
        <sz val="10"/>
        <rFont val="Arial"/>
        <family val="0"/>
      </rPr>
      <t>1</t>
    </r>
  </si>
  <si>
    <r>
      <t>City of Bellingham, WA, USA</t>
    </r>
    <r>
      <rPr>
        <vertAlign val="superscript"/>
        <sz val="10"/>
        <rFont val="Arial"/>
        <family val="0"/>
      </rPr>
      <t>1</t>
    </r>
  </si>
  <si>
    <r>
      <t>College of the Atlantic, USA</t>
    </r>
    <r>
      <rPr>
        <vertAlign val="superscript"/>
        <sz val="10"/>
        <rFont val="Arial"/>
        <family val="0"/>
      </rPr>
      <t>1</t>
    </r>
  </si>
  <si>
    <r>
      <t>Forrester Partners Limited, UK</t>
    </r>
    <r>
      <rPr>
        <vertAlign val="superscript"/>
        <sz val="10"/>
        <rFont val="Arial"/>
        <family val="0"/>
      </rPr>
      <t>1</t>
    </r>
  </si>
  <si>
    <r>
      <t>Volvo Group</t>
    </r>
    <r>
      <rPr>
        <vertAlign val="superscript"/>
        <sz val="10"/>
        <rFont val="Arial"/>
        <family val="0"/>
      </rPr>
      <t>1</t>
    </r>
  </si>
  <si>
    <r>
      <t>My Organic Market, LLC, USA</t>
    </r>
    <r>
      <rPr>
        <vertAlign val="superscript"/>
        <sz val="10"/>
        <rFont val="Arial"/>
        <family val="0"/>
      </rPr>
      <t>1</t>
    </r>
  </si>
  <si>
    <t>Doubling the special facility for renewable energy and energy efficiency</t>
  </si>
  <si>
    <t xml:space="preserve">Action Plan to increase use of renewables to at least 12% by 2010 and increase energy efficiency </t>
  </si>
  <si>
    <t>USA / Department of Transportation</t>
  </si>
  <si>
    <t xml:space="preserve">Alternative fuel vehicle testing and research on required biofuels infrastructure </t>
  </si>
  <si>
    <t>USA / Department of State</t>
  </si>
  <si>
    <t>APP grants add renewable power in India</t>
  </si>
  <si>
    <t xml:space="preserve">Educating leaders and students worldwide about the benefits of energy efficiency and renewable energy </t>
  </si>
  <si>
    <t xml:space="preserve">Efficiency improvements in 58 hydroelectric power plants </t>
  </si>
  <si>
    <t>Greenpeace International</t>
  </si>
  <si>
    <t xml:space="preserve">Energy [R]evolution 2008 – communicating A Sustainable World Energy Outlook </t>
  </si>
  <si>
    <t>Ireland / Department of Communications, Energy and Natural Resouces</t>
  </si>
  <si>
    <t>EUR 20m research fund to increase energy research capacity in Ireland</t>
  </si>
  <si>
    <t>Ireland / Department of Communications,Energy and Natural Resources</t>
  </si>
  <si>
    <t xml:space="preserve">EUR 26m for ocean energy research and development </t>
  </si>
  <si>
    <t>Germany; Spain; Slovenia / Governments</t>
  </si>
  <si>
    <t xml:space="preserve">Boosting international cooperation on feed-in systems </t>
  </si>
  <si>
    <t>EarthAction International, USA</t>
  </si>
  <si>
    <t xml:space="preserve">Bring 'Feed In' legislation to state and federal governments in the US,- convince 10 States within two years </t>
  </si>
  <si>
    <t>Solar Generation International</t>
  </si>
  <si>
    <t xml:space="preserve">Funding a European marine energy test centre </t>
  </si>
  <si>
    <t>USA / Overseas Private Investment Corporation</t>
  </si>
  <si>
    <t>Baylor Institute for Air SciencesSpirit of Hispaniola, USA</t>
  </si>
  <si>
    <t>m = l(year) - l(2008)</t>
  </si>
  <si>
    <t>l = j * k</t>
  </si>
  <si>
    <t xml:space="preserve">Green Power Partnership includes 850 private partners buying 17 bn KWh of green power in 2008 </t>
  </si>
  <si>
    <t xml:space="preserve">Climate Prosperity Project to increase public awareness about the opportunities of engaging in climate protection </t>
  </si>
  <si>
    <t>College of the Atlantic 100% renewable by 2015</t>
  </si>
  <si>
    <t>(F) Goal Year</t>
  </si>
  <si>
    <t>(E) % RE in base year</t>
  </si>
  <si>
    <t>(D) Base Year</t>
  </si>
  <si>
    <t>(C) Electricity GHG EF (g CO2/kWh)</t>
  </si>
  <si>
    <t xml:space="preserve">(B) Electricity Growth Rate (%) </t>
  </si>
  <si>
    <t>n = m * C</t>
  </si>
  <si>
    <t>m = l(year) - l(2008)</t>
  </si>
  <si>
    <t>l = j * k</t>
  </si>
  <si>
    <t>k = g * (Year - D) + E</t>
  </si>
  <si>
    <t>j = A * exp[B*(Year-2005)]</t>
  </si>
  <si>
    <t xml:space="preserve">Council to facilitate EU's commitment to obtain 20% of energy needs from renewable energy by 2020 </t>
  </si>
  <si>
    <t>Fundacion Solar, Guatemala</t>
  </si>
  <si>
    <t>Create a positive energy footprint in everyday practices of indigenous populations through education, social organization and environmental sensibility</t>
  </si>
  <si>
    <t>Haiti / Government of Haiti</t>
  </si>
  <si>
    <t>Creating the proper environment for renewable energy in Haiti</t>
  </si>
  <si>
    <t>International Institute for Sustainable Development</t>
  </si>
  <si>
    <t>Creation of ENERGY-L distribution list for international sustainable energy activities</t>
  </si>
  <si>
    <t>Cemtec, Aalborg University / Northern Jutland, Denmark</t>
  </si>
  <si>
    <t>Australia / Government of Australia</t>
  </si>
  <si>
    <t>20% target for renewables in Australia's electricity supply by 2020</t>
  </si>
  <si>
    <t>Rwanda / Government of Rwanda</t>
  </si>
  <si>
    <t>Cape Verde / Ministry of Economy, Growth and Competitiveness</t>
  </si>
  <si>
    <t>USA / Department of the Interior</t>
  </si>
  <si>
    <t xml:space="preserve">Complete national geothermal resource assessment by end of 2008 </t>
  </si>
  <si>
    <t xml:space="preserve">Complete Regulatory framework for alternative energy development on the Outer Continental Shelf </t>
  </si>
  <si>
    <t>European Renewable Energy Council</t>
  </si>
  <si>
    <t>The Netherlands / SNV Netherlands Development Organisation</t>
  </si>
  <si>
    <t>Domestic biogas: Capturing the markets in Asia and Africa</t>
  </si>
  <si>
    <t xml:space="preserve">Domestic grant programme of EUR 58m for biomass, solar and geothermal technologies </t>
  </si>
  <si>
    <t>Achieving 100% RPS by all 50 U.S. states</t>
  </si>
  <si>
    <t>n = m * C</t>
  </si>
  <si>
    <t>m = l(year) - l(2008)</t>
  </si>
  <si>
    <t xml:space="preserve">Source for 2005 electricity geneation data </t>
  </si>
  <si>
    <t>http://www.ren21.net/wiap/detail.asp?id=31</t>
  </si>
  <si>
    <t>Increase the share of renewable sources to 50% power production by 2020 from the current level of 3.2%.</t>
  </si>
  <si>
    <t>Making Cape Verde Green</t>
  </si>
  <si>
    <t>(F) Goal Year</t>
  </si>
  <si>
    <t>(E) % RE in base year</t>
  </si>
  <si>
    <t>(D) Base Year</t>
  </si>
  <si>
    <t>(C) Electricity GHG EF (g CO2/kWh)</t>
  </si>
  <si>
    <t xml:space="preserve">(B) Electricity Growth Rate (%) </t>
  </si>
  <si>
    <t>Global Network on Energy for Sustainable Development</t>
  </si>
  <si>
    <t>Assessment of priority options for biofuels strategy for poverty alleviation and achieving the important MDGs in selected regions and sub-regions</t>
  </si>
  <si>
    <t>USA / Climate Institute</t>
  </si>
  <si>
    <t xml:space="preserve">Assist a dozen small island states in developing and implementing sustainable energy plans </t>
  </si>
  <si>
    <t>Bangkok Metropolitan Administration, Thailand</t>
  </si>
  <si>
    <t>Bangkok’s program on initiatives to alleviate the effects of climate change</t>
  </si>
  <si>
    <t>France / Government of France</t>
  </si>
  <si>
    <t>Beyond 20% of RE in the final energy consumption by 2020</t>
  </si>
  <si>
    <t>USA / Trade and Development Agency</t>
  </si>
  <si>
    <t xml:space="preserve">Biomass power generation feasibility study in Namibia </t>
  </si>
  <si>
    <t>USA / Department of Energy</t>
  </si>
  <si>
    <t xml:space="preserve">Biomass products market cost targets through 2012 </t>
  </si>
  <si>
    <t>Germany / Government of Germany</t>
  </si>
  <si>
    <t>Cumulative Avoided CO2 2009-2030 (MMT CO2)</t>
  </si>
  <si>
    <t>Indira Gandhi Institute of Development Research, India</t>
  </si>
  <si>
    <t xml:space="preserve">Federal biobased preferred product procurement </t>
  </si>
  <si>
    <t xml:space="preserve">Federal Transit Administration Clean Fuels and Advanced Propulsion Technologies Program with focus on field testing in public transit systems </t>
  </si>
  <si>
    <t>Feed biogas into the natural gas network</t>
  </si>
  <si>
    <t>Global Urban Development and Rockefeller Brothers Fund, USA</t>
  </si>
  <si>
    <t>Cumulative Avoided CO2 2009-2030 (g CO2)</t>
  </si>
  <si>
    <t>Avoided CO2 in Target Year (g CO2)</t>
  </si>
  <si>
    <t xml:space="preserve">Global renewable energy facility to be created in 2008 </t>
  </si>
  <si>
    <t>(C) Electricity GHG EF (g CO2/kWh)</t>
  </si>
  <si>
    <t xml:space="preserve">(B) Electricity Growth Rate (%) </t>
  </si>
  <si>
    <t>n = m * C</t>
  </si>
  <si>
    <t>(g) % growth per year base year to goal year</t>
  </si>
  <si>
    <t>(G) % RE in goal year</t>
  </si>
  <si>
    <t>k = g * (Year - D) + E</t>
  </si>
  <si>
    <t>j = A * exp[B*(Year-2005)]</t>
  </si>
  <si>
    <t>(A) Electricity Generation in 2005 (kWh)</t>
  </si>
  <si>
    <t>CO2 avoided from WIREC pledge (g CO2) [n]</t>
  </si>
  <si>
    <t>Additional RE generation from WIREC pledge (kWh) [m]</t>
  </si>
  <si>
    <t>(A) Electricity Generation in 2005 (kWh)</t>
  </si>
  <si>
    <t>CO2 avoided from WIREC pledge (g CO2) [n]</t>
  </si>
  <si>
    <t>RE electricity (kWh) [l]</t>
  </si>
  <si>
    <t>RE electricity (%) [k]</t>
  </si>
  <si>
    <t>Electricity (kWh) [j]</t>
  </si>
  <si>
    <t>Year</t>
  </si>
  <si>
    <t>Cape Verde</t>
  </si>
  <si>
    <t>(g) % growth per year base year to goal year</t>
  </si>
  <si>
    <t>(G) % RE in goal year</t>
  </si>
  <si>
    <t>(F) Goal Year</t>
  </si>
  <si>
    <t>(E) % RE in base year</t>
  </si>
  <si>
    <t>(D) Base Year</t>
  </si>
  <si>
    <t>(C) Electricity GHG EF (g CO2/kWh)</t>
  </si>
  <si>
    <t xml:space="preserve">(B) Electricity Growth Rate (%) </t>
  </si>
  <si>
    <t>n = m * C</t>
  </si>
  <si>
    <t>m = l(year) - l(2008)</t>
  </si>
  <si>
    <t>l = j * k</t>
  </si>
  <si>
    <t>k = g * (Year - D) + E</t>
  </si>
  <si>
    <t>j = A * exp[B*(Year-2005)]</t>
  </si>
  <si>
    <t>(A) Electricity Generation in 2005 (kWh)</t>
  </si>
  <si>
    <t>Electricity (kWh) [j]</t>
  </si>
  <si>
    <t>RE electricity (kWh) [l]</t>
  </si>
  <si>
    <t xml:space="preserve">90 % of renewable energy in electricity production by 2012 </t>
  </si>
  <si>
    <t>RE electricity (%) [k]</t>
  </si>
  <si>
    <t>http://www.iea.org/Textbase/country/n_country.asp?COUNTRY_CODE=JM&amp;Submit=Submit</t>
  </si>
  <si>
    <t>Source for RE and primary energy data</t>
  </si>
  <si>
    <t>http://www.ren21.net/wiap/detail.asp?id=73</t>
  </si>
  <si>
    <t>Developing an energy policy for the Commonwealth of the Bahamas</t>
  </si>
  <si>
    <t>Institute for Research in Sustainable Energy and Development, Kenya</t>
  </si>
  <si>
    <t>Development of sorghum for food and bioenergy</t>
  </si>
  <si>
    <t>Cumulative Avoided CO2 2009-2030 (g CO2)</t>
  </si>
  <si>
    <t>http://tonto.eia.doe.gov/country/country_energy_data.cfm?fips=CV</t>
  </si>
  <si>
    <t>Cumulative Avoided CO2 2009-2030 (MMT CO2)</t>
  </si>
  <si>
    <t>Ireland / Department of Communications, Energy and Natural Resources</t>
  </si>
  <si>
    <t>(C) Electricity GHG EF (g CO2/kWh)</t>
  </si>
  <si>
    <t xml:space="preserve">(B) Electricity Growth Rate (%) </t>
  </si>
  <si>
    <t>Implementing geothermal, wind, biomass and waste and efficiency projects expected to provide ~300,000 MWh of clean power by 2015</t>
  </si>
  <si>
    <t>(F) Goal Year</t>
  </si>
  <si>
    <t>(E) Total RE in base year (kWh)</t>
  </si>
  <si>
    <t>(D) Base Year</t>
  </si>
  <si>
    <t>(A) Electricity Generation in 2005 (kWh)</t>
  </si>
  <si>
    <t>CO2 avoided from WIREC pledge (g CO2) [n]</t>
  </si>
  <si>
    <t>Additional RE generation from WIREC pledge (kWh) [m]</t>
  </si>
  <si>
    <t>RE electricity (kWh) [l]</t>
  </si>
  <si>
    <t>Year</t>
  </si>
  <si>
    <t>Region</t>
  </si>
  <si>
    <t>http://www.ren21.net/wiap/detail.asp?id=88</t>
  </si>
  <si>
    <t>n = m * C</t>
  </si>
  <si>
    <t>m = l(year) - l(2008)</t>
  </si>
  <si>
    <t>l = j * k</t>
  </si>
  <si>
    <t>k = g * (Year - D) + E</t>
  </si>
  <si>
    <t>j = A * exp[B*(Year-2005)]</t>
  </si>
  <si>
    <t>(A) Electricity Generation in 2005 (kWh)</t>
  </si>
  <si>
    <t>CO2 avoided from WIREC pledge (g CO2) [n]</t>
  </si>
  <si>
    <t>Additional RE generation from WIREC pledge (kWh) [m]</t>
  </si>
  <si>
    <t>RE electricity (kWh) [l]</t>
  </si>
  <si>
    <t>RE electricity (%) [k]</t>
  </si>
  <si>
    <t>Electricity (kWh) [j]</t>
  </si>
  <si>
    <t>Year</t>
  </si>
  <si>
    <t>Rwanda</t>
  </si>
  <si>
    <t>Region</t>
  </si>
  <si>
    <t>http://tonto.eia.doe.gov/country/country_energy_data.cfm?fips=RW</t>
  </si>
  <si>
    <t>http://www.ren21.net/wiap/detail.asp?id=146</t>
  </si>
  <si>
    <t xml:space="preserve">Boosting energy research and demonstration in innovative fields of renewable energy </t>
  </si>
  <si>
    <t>(g) % growth per year base year to goal year</t>
  </si>
  <si>
    <t>Avoided CO2 in Target Year (MMT CO2)</t>
  </si>
  <si>
    <t>Increase the proportion of electricity generation from renewable energy to 10% by year 2010 and 15% by 2020.  Expand wind capacity, develop other mini hydro power facilities, and develop projects in biofuels.</t>
  </si>
  <si>
    <t>Capacity building for creating access to clean, affordable and reliable energy services for the rural households and urban poor households through renewable energy technologies</t>
  </si>
  <si>
    <t>City of Bellingham commits to 100% green power</t>
  </si>
  <si>
    <t>http://www.iea.org/Textbase/country/m_country.asp?COUNTRY_CODE=DE&amp;Submit=Submit</t>
  </si>
  <si>
    <t xml:space="preserve">Source for 2005 electricity generation data </t>
  </si>
  <si>
    <t>http://www.ren21.net/wiap/detail.asp?id=89</t>
  </si>
  <si>
    <t>(G) % RE in goal year</t>
  </si>
  <si>
    <t>(F) Goal Year</t>
  </si>
  <si>
    <t>(E) % RE in base year</t>
  </si>
  <si>
    <t>(D) Base Year</t>
  </si>
  <si>
    <t>Avoided CO2 in Target Year (g CO2)</t>
  </si>
  <si>
    <t>The Department of Defense has a goal to procure or produce renewable energy such that it accounts for 25 percent of the Department’s facility electrical consumption by 2025 (2,950 GWh in 2025).</t>
  </si>
  <si>
    <t>Renewable Energy Production and Procurement</t>
  </si>
  <si>
    <t xml:space="preserve">USA / Department of Defense </t>
  </si>
  <si>
    <t>Cumulative Avoided CO2 2009-2030 (MMT CO2)</t>
  </si>
  <si>
    <t>Avoided CO2 in Target Year (MMT CO2)</t>
  </si>
  <si>
    <t>Cumulative Avoided CO2 2009-2030 (g CO2)</t>
  </si>
  <si>
    <t>Avoided CO2 in Target Year (g CO2)</t>
  </si>
  <si>
    <t>Year</t>
  </si>
  <si>
    <t>Brazil</t>
  </si>
  <si>
    <t>Region</t>
  </si>
  <si>
    <t>http://www.iea.org/Textbase/country/n_country.asp?COUNTRY_CODE=BR&amp;Submit=Submit</t>
  </si>
  <si>
    <t>http://www.ren21.net/wiap/detail.asp?id=96</t>
  </si>
  <si>
    <t>403032 GWh of electricity production in 2005 (IEA). Assumes 2.4% growth rate in electricity demand annually.</t>
  </si>
  <si>
    <t>Rwanda pledges 90 Percent of Renewable Energy in Electricity Production by 2012</t>
  </si>
  <si>
    <t>(G) % RE in goal year</t>
  </si>
  <si>
    <t>k = g * (Year - D) + E</t>
  </si>
  <si>
    <t>j = A * exp[B*(Year-2005)]</t>
  </si>
  <si>
    <t>(A) Electricity Generation in 2005 (kWh)</t>
  </si>
  <si>
    <t>Additional RE generation from WIREC pledge (kWh) [m]</t>
  </si>
  <si>
    <t>RE electricity (kWh) [l]</t>
  </si>
  <si>
    <t>RE electricity (%) [k]</t>
  </si>
  <si>
    <t>http://www.iea.org/Textbase/country/m_country.asp?COUNTRY_CODE=NZ&amp;Submit=Submit</t>
  </si>
  <si>
    <t>http://www.ren21.net/wiap/detail.asp?id=57</t>
  </si>
  <si>
    <t xml:space="preserve">Assumes net RE growth over 4.51 percent of total electricity provided by RE in 2005; i.e., 5.49 percent in 2010 and 10.49 percent in 2020. </t>
  </si>
  <si>
    <t>USA / Department of Commerce</t>
  </si>
  <si>
    <t>Access of renewable energy technologies in China and India</t>
  </si>
  <si>
    <t>Pakistan / Planning and Development</t>
  </si>
  <si>
    <t xml:space="preserve">Achieve 10% share of renewable energy in the national energy mix by 2012 </t>
  </si>
  <si>
    <t>Equity International, Inc., USA</t>
  </si>
  <si>
    <t>Avoided CO2 in Target Year (MMT CO2)</t>
  </si>
  <si>
    <t>Increase the proportion of electricity generated from renewable sources in New Zealand to 90% (Currently between 65% - 70% of New Zealand’s electricity is generated from renewable sources) by 2025</t>
  </si>
  <si>
    <t>Year</t>
  </si>
  <si>
    <t>New Zealand</t>
  </si>
  <si>
    <t>Region</t>
  </si>
  <si>
    <t>Development of Renewable Energy and Energy Efficiency</t>
  </si>
  <si>
    <t>Cumulative Avoided CO2 2009-2030 (MMT CO2)</t>
  </si>
  <si>
    <t>Cumulative Avoided CO2 2009-2030 (g CO2)</t>
  </si>
  <si>
    <t>Avoided CO2 in Target Year (g CO2)</t>
  </si>
  <si>
    <t>WIREC Pledges - Calculations</t>
  </si>
  <si>
    <t>Cumulative Avoided CO2 2009-2030 (MMT CO2)</t>
  </si>
  <si>
    <t>Avoided CO2 in Target Year (MMT CO2)</t>
  </si>
  <si>
    <t>Cumulative Avoided CO2 2009-2030 (g CO2)</t>
  </si>
  <si>
    <t>Avoided CO2 in Target Year (g CO2)</t>
  </si>
  <si>
    <t>(g) growth per year base year to goal year</t>
  </si>
  <si>
    <t>(G) Total RE in goal year (kWh)</t>
  </si>
  <si>
    <t>(G) Total RE in goal year (kWh)</t>
  </si>
  <si>
    <t>(F) Goal Year</t>
  </si>
  <si>
    <t>(E) Total RE in base year (kWh)</t>
  </si>
  <si>
    <t>(D) Base Year</t>
  </si>
  <si>
    <t>(A) Electricity Generation in 2005 (kWh)</t>
  </si>
  <si>
    <t>APP renewable energy projects in India will help meet the APP goals by adding at least 48 MW of clean renewable power for the people of India.</t>
  </si>
  <si>
    <t>APP Grants Add Renewable Power in India</t>
  </si>
  <si>
    <t>USA / State Department</t>
  </si>
  <si>
    <t>(g) growth per year base year to goal year</t>
  </si>
  <si>
    <t>(G) Total RE in goal year (kWh)</t>
  </si>
  <si>
    <t>(E) Total RE in base year (kWh)</t>
  </si>
  <si>
    <t>http://www.iea.org/Textbase/stats/renewdata.asp?COUNTRY_CODE=US</t>
  </si>
  <si>
    <t>Source:</t>
  </si>
  <si>
    <t>(C) Electricity GHG EF (g CO2/kWh)</t>
  </si>
  <si>
    <t>m = l(year) - l(2008)</t>
  </si>
  <si>
    <t>l = j * k</t>
  </si>
  <si>
    <t>To reduce dependence on imported fossil fuels through the development of indegenous renewable energy resources.</t>
  </si>
  <si>
    <t xml:space="preserve">Jamaica / Government of Jamaica / Ministry of Energy, Mining &amp; Telecommunication Petroleum Corporation </t>
  </si>
  <si>
    <t>Cumulative Avoided CO2 2009-2030 (MMT CO2)</t>
  </si>
  <si>
    <t>Avoided CO2 in Target Year (MMT CO2)</t>
  </si>
  <si>
    <t>(g) % growth per year base year to goal year</t>
  </si>
  <si>
    <t>Assumes 26,400 households/schools/health centers are supplied with 60 Wp PV kits by 2028. Assumes total installed capacity of 1.584 MW in 2028 with total generation of 2.78*10^6 kWh.</t>
  </si>
  <si>
    <t xml:space="preserve">Equipping customers with 50 or 60 Wp photovoltaic kits. </t>
  </si>
  <si>
    <t>Consolidate the share of renewable energies in the energy mix, which is now around 45% and promote the diversification of renewable sources of energy in the country. Maintain the share of renewables in electricity generation above 80%, despite the expected need to increase by 47% the electric installed capacity by 2016.  Perfect the domestic legislation related to biofuels and promote their production and consumption worldwide, with a view to contribute to sustainable development and the global energy supply. Cooperate with least developed countries in the development of national biofuels programs that will contribute to the dual objective of increasing the supply of renewable energies and the access of those countries populations to electricity derived from cogeneration</t>
  </si>
  <si>
    <t>Cumulative Avoided CO2 2009-2030 (MMT CO2)</t>
  </si>
  <si>
    <t>Avoided CO2 in Target Year (MMT CO2)</t>
  </si>
  <si>
    <t>Cumulative Avoided CO2 2009-2030 (g CO2)</t>
  </si>
  <si>
    <t>n = m * C</t>
  </si>
  <si>
    <t>m = l(year) - l(2008)</t>
  </si>
  <si>
    <t>(A) Electricity Generation in 2005 (kWh)</t>
  </si>
  <si>
    <t>CO2 avoided from WIREC pledge (g CO2) [n]</t>
  </si>
  <si>
    <t>Additional RE generation from WIREC pledge (kWh) [m]</t>
  </si>
  <si>
    <t>RE electricity (kWh) [l]</t>
  </si>
  <si>
    <t>Year</t>
  </si>
  <si>
    <t>Region</t>
  </si>
  <si>
    <t>http://www.ren21.net/wiap/detail.asp?id=149</t>
  </si>
  <si>
    <t>CO2 avoided from WIREC pledge (g CO2) [n]</t>
  </si>
  <si>
    <t>Additional RE generation from WIREC pledge (kWh) [m]</t>
  </si>
  <si>
    <t>620300 GWh in 2005 total elec, 0.8% ave annual increase in electricity demand, increase to 30%renewable share by 2020 reflects delta of 20% from 10% share currently.</t>
  </si>
  <si>
    <t>42956 GWH total electricity produced in 2005 (IEA). Assume demand growth of .8%.</t>
  </si>
  <si>
    <t>Used USDA's estimate that 682,000,000 kWh of electricity will be saved from the 500 projects.</t>
  </si>
  <si>
    <t>CO2 avoided from WIREC pledge (g CO2) [n]</t>
  </si>
  <si>
    <t>Year</t>
  </si>
  <si>
    <t>RE is net increase of the 83,700 GWh of non-hydro RE electricity generated in US in 2005</t>
  </si>
  <si>
    <t>Region</t>
  </si>
  <si>
    <t>(g) growth per year base year to goal year</t>
  </si>
  <si>
    <t>http://www.ren21.net/wiap/detail.asp?id=105</t>
  </si>
  <si>
    <t>http://www.iea.org/Textbase/stats/balancetable.asp?COUNTRY_CODE=CH</t>
  </si>
  <si>
    <t>http://www.ren21.net/wiap/detail.asp?id=17</t>
  </si>
  <si>
    <t>To boost renewable electricity generation by 5.4 TWh by 2030</t>
  </si>
  <si>
    <t>Switzerland / Office (Ministry) of the Environment, Transport, Energy and Communications; Swiss Federal Office of Energy</t>
  </si>
  <si>
    <t>Accelerate growth in development of renewable energy</t>
  </si>
  <si>
    <t>Kenya / Ministry of Energy, AG. Director, Renewable Energy</t>
  </si>
  <si>
    <t>http://www.iea.org/Textbase/stats/renewdata.asp?COUNTRY_CODE=EG</t>
  </si>
  <si>
    <t>20% of Egypt's generated electricity from renewable energy sources (10GW) by 2020. 14% from Wind (7GW) and 6% from Hydro (3GW).  Assumes total of 3.32*10^10 kWh RE generation in 2020.</t>
  </si>
  <si>
    <t>Egypt / Ministry of Electricty and Energy</t>
  </si>
  <si>
    <t>http://www.ren21.net/wiap/detail.asp?id=180</t>
  </si>
  <si>
    <t>Rwanda pledges that 90% of the electricity in Rwanda will be produced by renewable energy sources by 2012 compared to 45 percent in 2008 and that solar hot water will be obligatory for all new constructions by 2010.</t>
  </si>
  <si>
    <t>Avoided CO2 in Target Year (g CO2)</t>
  </si>
  <si>
    <t>k = g * (Year - D) + E</t>
  </si>
  <si>
    <t>j = A * exp[B*(Year-2005)]</t>
  </si>
  <si>
    <t>Germany</t>
  </si>
  <si>
    <t>Annual biogas production (cubic foot)</t>
  </si>
  <si>
    <t>Annual biogas production (cubic m)</t>
  </si>
  <si>
    <t>ave size of digester 6m3 producing 3m3 of biogas daily, 1095 m3 annually per unit, 250,000 units installed by 2012.</t>
  </si>
  <si>
    <t>Domestic Biogas: Capturing the Markets in Asia and Africa</t>
  </si>
  <si>
    <t>The Netherlands, SNV Netherlands Development Organisation</t>
  </si>
  <si>
    <t xml:space="preserve">Source for 2005 fuels data </t>
  </si>
  <si>
    <t>Cumulative Avoided CO2 2009-2030 (g CO2)</t>
  </si>
  <si>
    <t>(D) Base Year</t>
  </si>
  <si>
    <t xml:space="preserve">Target of 16 billion kWh from renewable energy by 2014.  Renewable energy includes Wind power, Photovoltaic, Geothermal energy (without remarkably reducing hot water), Hydraulic power (1000 kW or less) and Biomass. </t>
  </si>
  <si>
    <t>http://www.iea.org/Textbase/stats/renewdata.asp?COUNTRY_CODE=GB</t>
  </si>
  <si>
    <t>http://www.ren21.net/wiap/detail.asp?id=14</t>
  </si>
  <si>
    <t>To put in place the necessary regulatory framework and provide initial support for industry to reduce costs. A mixture of Capital Grants/R&amp;D support and market based support mechanism (the Renewable Obligation).  Offshore wind will help reach the UK's target of 10% of electricity generation from renewables by 2010 and it is estimated that offshore wind could provide 8 GW- 33GW* by 2020</t>
  </si>
  <si>
    <t>Offshore Wind Farm Development in the UK</t>
  </si>
  <si>
    <t>United Kingdom / Department for Business, Enterprise and Regulatory Reform</t>
  </si>
  <si>
    <t>Avoided CO2 in Target Year (MMT CO2)</t>
  </si>
  <si>
    <t>Cumulative Avoided CO2 2009-2030 (g CO2)</t>
  </si>
  <si>
    <t>Avoided CO2 in Target Year (g CO2)</t>
  </si>
  <si>
    <t>Electricity (kWh) [j]</t>
  </si>
  <si>
    <t>Assumes 36% capacity for wind and 5 years until construction is complete (2013).</t>
  </si>
  <si>
    <t>Gas Consumption (cubic foot)</t>
  </si>
  <si>
    <t>Gas Consumption (cubic m)</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</si>
</sst>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_(* #,##0.0_);_(* \(#,##0.0\);_(* &quot;-&quot;??_);_(@_)"/>
    <numFmt numFmtId="167" formatCode="0.0000"/>
    <numFmt numFmtId="168" formatCode="0.0E+00"/>
    <numFmt numFmtId="169" formatCode="0.0"/>
    <numFmt numFmtId="170" formatCode="0.0%"/>
    <numFmt numFmtId="171" formatCode="_(* #,##0.0_);_(* \(#,##0.0\);_(* &quot;-&quot;?_);_(@_)"/>
    <numFmt numFmtId="172" formatCode="&quot;Yes&quot;;&quot;Yes&quot;;&quot;No&quot;"/>
    <numFmt numFmtId="173" formatCode="&quot;True&quot;;&quot;True&quot;;&quot;False&quot;"/>
    <numFmt numFmtId="174" formatCode="&quot;On&quot;;&quot;On&quot;;&quot;Off&quot;"/>
    <numFmt numFmtId="175" formatCode="[$€-2]\ #,##0.00_);[Red]\([$€-2]\ #,##0.00\)"/>
    <numFmt numFmtId="176" formatCode="_(* #,##0.000_);_(* \(#,##0.000\);_(* &quot;-&quot;??_);_(@_)"/>
    <numFmt numFmtId="177" formatCode="0.0000000"/>
    <numFmt numFmtId="178" formatCode="0.000000"/>
    <numFmt numFmtId="179" formatCode="0.00000"/>
    <numFmt numFmtId="180" formatCode="0.00000000"/>
    <numFmt numFmtId="181" formatCode="0.000000000"/>
    <numFmt numFmtId="182" formatCode="0.E+00"/>
    <numFmt numFmtId="183" formatCode="0.0.E+00"/>
    <numFmt numFmtId="184" formatCode="0.00.E+00"/>
    <numFmt numFmtId="185" formatCode="0.0000E+00"/>
    <numFmt numFmtId="186" formatCode="_(* #,##0.000_);_(* \(#,##0.000\);_(* &quot;-&quot;???_);_(@_)"/>
    <numFmt numFmtId="187" formatCode="0.000E+00"/>
    <numFmt numFmtId="188" formatCode="0.0000%"/>
    <numFmt numFmtId="189" formatCode="0.000000%"/>
    <numFmt numFmtId="190" formatCode="0.000000000000"/>
    <numFmt numFmtId="191" formatCode="0.00000000000"/>
    <numFmt numFmtId="192" formatCode="0.0000000000"/>
  </numFmts>
  <fonts count="28">
    <font>
      <sz val="10"/>
      <name val="Arial"/>
      <family val="0"/>
    </font>
    <font>
      <u val="single"/>
      <sz val="7.5"/>
      <color indexed="12"/>
      <name val="Arial"/>
      <family val="0"/>
    </font>
    <font>
      <u val="single"/>
      <sz val="10"/>
      <color indexed="12"/>
      <name val="Arial"/>
      <family val="0"/>
    </font>
    <font>
      <u val="single"/>
      <sz val="10"/>
      <color indexed="36"/>
      <name val="Arial"/>
      <family val="0"/>
    </font>
    <font>
      <sz val="8"/>
      <name val="Arial"/>
      <family val="0"/>
    </font>
    <font>
      <b/>
      <sz val="12"/>
      <name val="Arial"/>
      <family val="2"/>
    </font>
    <font>
      <b/>
      <sz val="18"/>
      <name val="Arial"/>
      <family val="2"/>
    </font>
    <font>
      <sz val="8"/>
      <name val="Verdana"/>
      <family val="0"/>
    </font>
    <font>
      <b/>
      <sz val="10"/>
      <name val="Arial"/>
      <family val="2"/>
    </font>
    <font>
      <sz val="8.2"/>
      <color indexed="17"/>
      <name val="Arial"/>
      <family val="2"/>
    </font>
    <font>
      <sz val="14"/>
      <name val="Arial"/>
      <family val="2"/>
    </font>
    <font>
      <b/>
      <sz val="14"/>
      <name val="Arial"/>
      <family val="2"/>
    </font>
    <font>
      <b/>
      <sz val="10"/>
      <color indexed="10"/>
      <name val="Arial"/>
      <family val="2"/>
    </font>
    <font>
      <sz val="1.75"/>
      <color indexed="8"/>
      <name val="Arial"/>
      <family val="0"/>
    </font>
    <font>
      <b/>
      <sz val="10"/>
      <name val="Verdana"/>
      <family val="0"/>
    </font>
    <font>
      <b/>
      <sz val="10"/>
      <color indexed="23"/>
      <name val="Arial"/>
      <family val="0"/>
    </font>
    <font>
      <sz val="10"/>
      <color indexed="23"/>
      <name val="Arial"/>
      <family val="0"/>
    </font>
    <font>
      <b/>
      <sz val="10"/>
      <color indexed="22"/>
      <name val="Arial"/>
      <family val="0"/>
    </font>
    <font>
      <sz val="10"/>
      <color indexed="22"/>
      <name val="Arial"/>
      <family val="0"/>
    </font>
    <font>
      <b/>
      <u val="single"/>
      <sz val="10"/>
      <name val="Arial"/>
      <family val="0"/>
    </font>
    <font>
      <sz val="8.2"/>
      <name val="Arial"/>
      <family val="0"/>
    </font>
    <font>
      <vertAlign val="superscript"/>
      <sz val="10"/>
      <name val="Arial"/>
      <family val="0"/>
    </font>
    <font>
      <u val="single"/>
      <sz val="10"/>
      <name val="Arial"/>
      <family val="0"/>
    </font>
    <font>
      <sz val="12"/>
      <name val="Verdana"/>
      <family val="0"/>
    </font>
    <font>
      <b/>
      <sz val="12"/>
      <name val="Verdana"/>
      <family val="0"/>
    </font>
    <font>
      <sz val="7"/>
      <name val="Verdana"/>
      <family val="0"/>
    </font>
    <font>
      <u val="single"/>
      <sz val="10"/>
      <color indexed="12"/>
      <name val="Verdana"/>
      <family val="0"/>
    </font>
    <font>
      <sz val="8"/>
      <name val="Tahoma"/>
      <family val="2"/>
    </font>
  </fonts>
  <fills count="11">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13"/>
        <bgColor indexed="64"/>
      </patternFill>
    </fill>
    <fill>
      <patternFill patternType="solid">
        <fgColor indexed="63"/>
        <bgColor indexed="64"/>
      </patternFill>
    </fill>
  </fills>
  <borders count="34">
    <border>
      <left/>
      <right/>
      <top/>
      <bottom/>
      <diagonal/>
    </border>
    <border>
      <left style="thin">
        <color indexed="22"/>
      </left>
      <right style="thin">
        <color indexed="22"/>
      </right>
      <top style="thin">
        <color indexed="22"/>
      </top>
      <bottom style="thin">
        <color indexed="22"/>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color indexed="63"/>
      </top>
      <bottom style="double"/>
    </border>
    <border>
      <left>
        <color indexed="63"/>
      </left>
      <right>
        <color indexed="63"/>
      </right>
      <top>
        <color indexed="63"/>
      </top>
      <bottom style="double"/>
    </border>
    <border>
      <left style="medium"/>
      <right>
        <color indexed="63"/>
      </right>
      <top>
        <color indexed="63"/>
      </top>
      <bottom style="double"/>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style="thin"/>
    </border>
    <border>
      <left style="thin"/>
      <right style="thin"/>
      <top style="thin"/>
      <bottom style="medium"/>
    </border>
    <border>
      <left>
        <color indexed="63"/>
      </left>
      <right>
        <color indexed="63"/>
      </right>
      <top style="thin"/>
      <bottom style="medium"/>
    </border>
    <border>
      <left style="medium"/>
      <right>
        <color indexed="63"/>
      </right>
      <top style="medium"/>
      <bottom style="double"/>
    </border>
    <border>
      <left>
        <color indexed="63"/>
      </left>
      <right style="medium"/>
      <top style="medium"/>
      <bottom style="double"/>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
      <left>
        <color indexed="63"/>
      </left>
      <right>
        <color indexed="63"/>
      </right>
      <top>
        <color indexed="63"/>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537">
    <xf numFmtId="0" fontId="0" fillId="0" borderId="0" xfId="0" applyAlignment="1">
      <alignment/>
    </xf>
    <xf numFmtId="0" fontId="0" fillId="0" borderId="0" xfId="0" applyAlignment="1">
      <alignment horizontal="center" vertical="center"/>
    </xf>
    <xf numFmtId="0" fontId="0" fillId="0" borderId="0" xfId="0" applyAlignment="1">
      <alignment/>
    </xf>
    <xf numFmtId="0" fontId="0" fillId="0" borderId="0" xfId="0" applyAlignment="1">
      <alignment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0" fillId="2" borderId="1" xfId="0" applyFont="1" applyFill="1" applyBorder="1" applyAlignment="1">
      <alignment horizontal="center" vertical="center" wrapText="1"/>
    </xf>
    <xf numFmtId="0" fontId="2" fillId="2" borderId="1" xfId="20" applyFont="1" applyFill="1" applyBorder="1" applyAlignment="1" applyProtection="1">
      <alignment vertical="center" wrapText="1"/>
      <protection/>
    </xf>
    <xf numFmtId="0" fontId="0" fillId="3" borderId="1" xfId="0" applyFont="1" applyFill="1" applyBorder="1" applyAlignment="1">
      <alignment horizontal="center" vertical="center" wrapText="1"/>
    </xf>
    <xf numFmtId="0" fontId="0" fillId="3" borderId="1" xfId="0" applyFont="1" applyFill="1" applyBorder="1" applyAlignment="1">
      <alignment vertical="center" wrapText="1"/>
    </xf>
    <xf numFmtId="0" fontId="2" fillId="3" borderId="1" xfId="20" applyFont="1" applyFill="1" applyBorder="1" applyAlignment="1" applyProtection="1">
      <alignment vertical="center" wrapText="1"/>
      <protection/>
    </xf>
    <xf numFmtId="0" fontId="0" fillId="3" borderId="1" xfId="0" applyFont="1" applyFill="1" applyBorder="1" applyAlignment="1">
      <alignment wrapText="1"/>
    </xf>
    <xf numFmtId="0" fontId="0" fillId="2" borderId="1" xfId="0" applyFont="1" applyFill="1" applyBorder="1" applyAlignment="1">
      <alignment horizontal="center" vertical="center" wrapText="1"/>
    </xf>
    <xf numFmtId="0" fontId="0" fillId="2" borderId="1" xfId="0" applyFont="1" applyFill="1" applyBorder="1" applyAlignment="1">
      <alignment vertical="center" wrapText="1"/>
    </xf>
    <xf numFmtId="0" fontId="0" fillId="2" borderId="1" xfId="0" applyFont="1" applyFill="1" applyBorder="1" applyAlignment="1">
      <alignment wrapText="1"/>
    </xf>
    <xf numFmtId="0" fontId="8" fillId="0" borderId="0" xfId="0" applyFont="1" applyAlignment="1">
      <alignment horizontal="center"/>
    </xf>
    <xf numFmtId="11" fontId="0" fillId="2" borderId="2" xfId="0" applyNumberFormat="1" applyFill="1" applyBorder="1" applyAlignment="1">
      <alignment horizontal="center"/>
    </xf>
    <xf numFmtId="11" fontId="0" fillId="2" borderId="3" xfId="0" applyNumberFormat="1" applyFill="1" applyBorder="1" applyAlignment="1">
      <alignment horizontal="center"/>
    </xf>
    <xf numFmtId="11" fontId="0" fillId="4" borderId="3" xfId="0" applyNumberFormat="1" applyFill="1" applyBorder="1" applyAlignment="1">
      <alignment horizontal="center"/>
    </xf>
    <xf numFmtId="10" fontId="0" fillId="4" borderId="3" xfId="0" applyNumberFormat="1" applyFill="1" applyBorder="1" applyAlignment="1">
      <alignment horizontal="center"/>
    </xf>
    <xf numFmtId="0" fontId="0" fillId="0" borderId="4" xfId="0" applyBorder="1" applyAlignment="1">
      <alignment horizontal="center"/>
    </xf>
    <xf numFmtId="11" fontId="0" fillId="2" borderId="5" xfId="0" applyNumberFormat="1" applyFill="1" applyBorder="1" applyAlignment="1">
      <alignment horizontal="center"/>
    </xf>
    <xf numFmtId="11" fontId="0" fillId="2" borderId="0" xfId="0" applyNumberFormat="1" applyFill="1" applyBorder="1" applyAlignment="1">
      <alignment horizontal="center"/>
    </xf>
    <xf numFmtId="11" fontId="0" fillId="4" borderId="0" xfId="0" applyNumberFormat="1" applyFill="1" applyBorder="1" applyAlignment="1">
      <alignment horizontal="center"/>
    </xf>
    <xf numFmtId="10" fontId="0" fillId="4" borderId="0" xfId="0" applyNumberFormat="1" applyFill="1" applyBorder="1" applyAlignment="1">
      <alignment horizontal="center"/>
    </xf>
    <xf numFmtId="0" fontId="0" fillId="0" borderId="6" xfId="0" applyBorder="1" applyAlignment="1">
      <alignment horizontal="center"/>
    </xf>
    <xf numFmtId="2" fontId="0" fillId="5" borderId="0" xfId="0" applyNumberFormat="1" applyFill="1" applyAlignment="1">
      <alignment/>
    </xf>
    <xf numFmtId="11" fontId="0" fillId="4" borderId="0" xfId="0" applyNumberFormat="1" applyFill="1" applyAlignment="1">
      <alignment/>
    </xf>
    <xf numFmtId="10" fontId="0" fillId="4" borderId="0" xfId="0" applyNumberFormat="1" applyFill="1" applyAlignment="1">
      <alignment/>
    </xf>
    <xf numFmtId="0" fontId="0" fillId="4" borderId="0" xfId="0" applyFill="1" applyAlignment="1">
      <alignment/>
    </xf>
    <xf numFmtId="10" fontId="0" fillId="0" borderId="0" xfId="0" applyNumberFormat="1" applyAlignment="1">
      <alignment/>
    </xf>
    <xf numFmtId="10" fontId="0" fillId="6" borderId="0" xfId="0" applyNumberFormat="1" applyFill="1" applyAlignment="1">
      <alignment/>
    </xf>
    <xf numFmtId="1" fontId="0" fillId="6" borderId="0" xfId="0" applyNumberFormat="1" applyFill="1" applyAlignment="1">
      <alignment/>
    </xf>
    <xf numFmtId="0" fontId="0" fillId="0" borderId="0" xfId="0" applyAlignment="1">
      <alignment wrapText="1"/>
    </xf>
    <xf numFmtId="11" fontId="0" fillId="4" borderId="5" xfId="0" applyNumberFormat="1" applyFill="1" applyBorder="1" applyAlignment="1">
      <alignment horizontal="center"/>
    </xf>
    <xf numFmtId="10" fontId="0" fillId="0" borderId="0" xfId="0" applyNumberFormat="1" applyAlignment="1">
      <alignment wrapText="1"/>
    </xf>
    <xf numFmtId="10" fontId="0" fillId="6" borderId="0" xfId="0" applyNumberFormat="1" applyFill="1" applyAlignment="1">
      <alignment wrapText="1"/>
    </xf>
    <xf numFmtId="0" fontId="0" fillId="6" borderId="0" xfId="0" applyFill="1" applyAlignment="1">
      <alignment/>
    </xf>
    <xf numFmtId="0" fontId="0" fillId="4" borderId="5" xfId="0" applyFill="1" applyBorder="1" applyAlignment="1">
      <alignment horizontal="center"/>
    </xf>
    <xf numFmtId="0" fontId="0" fillId="4" borderId="0" xfId="0" applyFill="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46" fontId="0" fillId="0" borderId="8"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1" fillId="0" borderId="0" xfId="20" applyFill="1" applyAlignment="1" applyProtection="1">
      <alignment/>
      <protection/>
    </xf>
    <xf numFmtId="0" fontId="0" fillId="7" borderId="13" xfId="0" applyFill="1" applyBorder="1" applyAlignment="1">
      <alignment/>
    </xf>
    <xf numFmtId="0" fontId="0" fillId="7" borderId="14" xfId="0" applyFill="1" applyBorder="1" applyAlignment="1">
      <alignment/>
    </xf>
    <xf numFmtId="0" fontId="1" fillId="7" borderId="15" xfId="20" applyFill="1" applyBorder="1" applyAlignment="1" applyProtection="1">
      <alignment/>
      <protection/>
    </xf>
    <xf numFmtId="0" fontId="0" fillId="7" borderId="16" xfId="0" applyFill="1" applyBorder="1" applyAlignment="1">
      <alignment/>
    </xf>
    <xf numFmtId="0" fontId="0" fillId="7" borderId="0" xfId="0" applyFill="1" applyBorder="1" applyAlignment="1">
      <alignment/>
    </xf>
    <xf numFmtId="0" fontId="0" fillId="7" borderId="0" xfId="0" applyFill="1" applyBorder="1" applyAlignment="1">
      <alignment vertical="center" wrapText="1"/>
    </xf>
    <xf numFmtId="0" fontId="0" fillId="7" borderId="17" xfId="0" applyFill="1" applyBorder="1" applyAlignment="1">
      <alignment/>
    </xf>
    <xf numFmtId="0" fontId="0" fillId="7" borderId="18" xfId="0" applyFill="1" applyBorder="1" applyAlignment="1">
      <alignment/>
    </xf>
    <xf numFmtId="0" fontId="0" fillId="7" borderId="18" xfId="0" applyFill="1" applyBorder="1" applyAlignment="1">
      <alignment vertical="center" wrapText="1"/>
    </xf>
    <xf numFmtId="11" fontId="0" fillId="0" borderId="0" xfId="0" applyNumberFormat="1" applyAlignment="1">
      <alignment/>
    </xf>
    <xf numFmtId="11" fontId="0" fillId="6" borderId="0" xfId="0" applyNumberFormat="1" applyFill="1" applyAlignment="1">
      <alignment/>
    </xf>
    <xf numFmtId="0" fontId="0" fillId="7" borderId="14" xfId="0" applyFill="1" applyBorder="1" applyAlignment="1">
      <alignment vertical="center" wrapText="1"/>
    </xf>
    <xf numFmtId="0" fontId="8" fillId="7" borderId="0" xfId="0" applyFont="1" applyFill="1" applyBorder="1" applyAlignment="1">
      <alignment vertical="center" wrapText="1"/>
    </xf>
    <xf numFmtId="0" fontId="9" fillId="0" borderId="0" xfId="0" applyFont="1" applyAlignment="1">
      <alignment/>
    </xf>
    <xf numFmtId="0" fontId="9" fillId="0" borderId="0" xfId="0" applyFont="1" applyBorder="1" applyAlignment="1">
      <alignment/>
    </xf>
    <xf numFmtId="0" fontId="0" fillId="0" borderId="0" xfId="0" applyBorder="1" applyAlignment="1">
      <alignment/>
    </xf>
    <xf numFmtId="0" fontId="1" fillId="0" borderId="0" xfId="20" applyAlignment="1" applyProtection="1">
      <alignment/>
      <protection/>
    </xf>
    <xf numFmtId="0" fontId="1" fillId="7" borderId="15" xfId="20" applyFill="1" applyBorder="1" applyAlignment="1" applyProtection="1">
      <alignment vertical="center" wrapText="1"/>
      <protection/>
    </xf>
    <xf numFmtId="0" fontId="8" fillId="7" borderId="18" xfId="0" applyFont="1" applyFill="1" applyBorder="1" applyAlignment="1">
      <alignment vertical="center" wrapText="1"/>
    </xf>
    <xf numFmtId="0" fontId="8" fillId="0" borderId="0" xfId="0" applyFont="1" applyAlignment="1">
      <alignment/>
    </xf>
    <xf numFmtId="0" fontId="0" fillId="0" borderId="0" xfId="0" applyFont="1" applyAlignment="1">
      <alignment/>
    </xf>
    <xf numFmtId="0" fontId="0" fillId="0" borderId="0" xfId="0" applyFont="1" applyBorder="1" applyAlignment="1">
      <alignment/>
    </xf>
    <xf numFmtId="0" fontId="1" fillId="0" borderId="0" xfId="20" applyFill="1" applyBorder="1" applyAlignment="1" applyProtection="1">
      <alignment/>
      <protection/>
    </xf>
    <xf numFmtId="0" fontId="0" fillId="0" borderId="0" xfId="0" applyFill="1" applyBorder="1" applyAlignment="1">
      <alignment/>
    </xf>
    <xf numFmtId="0" fontId="0" fillId="7" borderId="13" xfId="0" applyFill="1" applyBorder="1" applyAlignment="1">
      <alignment vertical="center" wrapText="1"/>
    </xf>
    <xf numFmtId="0" fontId="0" fillId="0" borderId="0" xfId="0" applyFill="1" applyAlignment="1">
      <alignment/>
    </xf>
    <xf numFmtId="0" fontId="0" fillId="0" borderId="0" xfId="0" applyFill="1" applyAlignment="1">
      <alignment/>
    </xf>
    <xf numFmtId="0" fontId="8" fillId="7" borderId="16" xfId="0" applyFont="1" applyFill="1" applyBorder="1" applyAlignment="1">
      <alignment vertical="center" wrapText="1"/>
    </xf>
    <xf numFmtId="0" fontId="0" fillId="7" borderId="16" xfId="0" applyFill="1" applyBorder="1" applyAlignment="1">
      <alignment vertical="center" wrapText="1"/>
    </xf>
    <xf numFmtId="0" fontId="0" fillId="7" borderId="17" xfId="0" applyFill="1" applyBorder="1" applyAlignment="1">
      <alignment vertical="center" wrapText="1"/>
    </xf>
    <xf numFmtId="164" fontId="8" fillId="0" borderId="0" xfId="15" applyNumberFormat="1" applyFont="1" applyFill="1" applyBorder="1" applyAlignment="1">
      <alignment/>
    </xf>
    <xf numFmtId="0" fontId="0" fillId="0" borderId="0" xfId="0" applyFill="1" applyBorder="1" applyAlignment="1">
      <alignment/>
    </xf>
    <xf numFmtId="0" fontId="8" fillId="0" borderId="0" xfId="0" applyFont="1" applyFill="1" applyBorder="1" applyAlignment="1">
      <alignment horizontal="right" vertical="center"/>
    </xf>
    <xf numFmtId="0" fontId="8" fillId="0" borderId="0" xfId="0" applyFont="1" applyFill="1" applyAlignment="1">
      <alignment horizontal="center"/>
    </xf>
    <xf numFmtId="165" fontId="0" fillId="5" borderId="0" xfId="0" applyNumberFormat="1" applyFill="1" applyAlignment="1">
      <alignment/>
    </xf>
    <xf numFmtId="11" fontId="0" fillId="6" borderId="0" xfId="15" applyNumberFormat="1" applyFont="1" applyFill="1" applyBorder="1" applyAlignment="1">
      <alignment/>
    </xf>
    <xf numFmtId="2" fontId="0" fillId="6" borderId="0" xfId="0" applyNumberFormat="1" applyFill="1" applyAlignment="1">
      <alignment wrapText="1"/>
    </xf>
    <xf numFmtId="0" fontId="8" fillId="7" borderId="18" xfId="0" applyNumberFormat="1" applyFont="1" applyFill="1" applyBorder="1" applyAlignment="1">
      <alignment vertical="center" wrapText="1"/>
    </xf>
    <xf numFmtId="0" fontId="8" fillId="7" borderId="18" xfId="0" applyFont="1" applyFill="1" applyBorder="1" applyAlignment="1">
      <alignment/>
    </xf>
    <xf numFmtId="0" fontId="12" fillId="0" borderId="0" xfId="0" applyFont="1" applyFill="1" applyAlignment="1">
      <alignment/>
    </xf>
    <xf numFmtId="43" fontId="8" fillId="0" borderId="0" xfId="15" applyNumberFormat="1" applyFont="1" applyFill="1" applyBorder="1" applyAlignment="1">
      <alignment/>
    </xf>
    <xf numFmtId="166" fontId="8" fillId="0" borderId="0" xfId="15" applyNumberFormat="1" applyFont="1" applyFill="1" applyBorder="1" applyAlignment="1">
      <alignment/>
    </xf>
    <xf numFmtId="0" fontId="0" fillId="0" borderId="0" xfId="0" applyFont="1" applyFill="1" applyBorder="1" applyAlignment="1">
      <alignment horizontal="left" vertical="center"/>
    </xf>
    <xf numFmtId="0" fontId="0" fillId="0" borderId="0" xfId="0" applyFont="1" applyFill="1" applyBorder="1" applyAlignment="1">
      <alignment horizontal="right" vertical="center"/>
    </xf>
    <xf numFmtId="0" fontId="8" fillId="7" borderId="17" xfId="0" applyFont="1" applyFill="1" applyBorder="1" applyAlignment="1">
      <alignment vertical="center" wrapText="1"/>
    </xf>
    <xf numFmtId="0" fontId="2" fillId="0" borderId="0" xfId="20" applyFont="1" applyAlignment="1" applyProtection="1">
      <alignment/>
      <protection/>
    </xf>
    <xf numFmtId="11" fontId="0" fillId="6" borderId="0" xfId="0" applyNumberFormat="1" applyFill="1" applyAlignment="1">
      <alignment wrapText="1"/>
    </xf>
    <xf numFmtId="0" fontId="0" fillId="0" borderId="0" xfId="0" applyFill="1" applyAlignment="1">
      <alignment wrapText="1"/>
    </xf>
    <xf numFmtId="0" fontId="0" fillId="6" borderId="0" xfId="0" applyFill="1" applyAlignment="1">
      <alignment wrapText="1"/>
    </xf>
    <xf numFmtId="0" fontId="1" fillId="0" borderId="0" xfId="20" applyBorder="1" applyAlignment="1" applyProtection="1">
      <alignment/>
      <protection/>
    </xf>
    <xf numFmtId="0" fontId="0" fillId="0" borderId="0" xfId="0" applyBorder="1" applyAlignment="1">
      <alignment vertical="center" wrapText="1"/>
    </xf>
    <xf numFmtId="1" fontId="0" fillId="5" borderId="0" xfId="0" applyNumberFormat="1" applyFill="1" applyAlignment="1">
      <alignment/>
    </xf>
    <xf numFmtId="0" fontId="8" fillId="7" borderId="19" xfId="0" applyFont="1" applyFill="1" applyBorder="1" applyAlignment="1">
      <alignment horizontal="center"/>
    </xf>
    <xf numFmtId="0" fontId="2" fillId="0" borderId="0" xfId="20" applyFont="1" applyBorder="1" applyAlignment="1" applyProtection="1">
      <alignment/>
      <protection/>
    </xf>
    <xf numFmtId="11" fontId="0" fillId="6" borderId="0" xfId="15" applyNumberFormat="1" applyFont="1" applyFill="1" applyBorder="1" applyAlignment="1">
      <alignment horizontal="right" vertical="center"/>
    </xf>
    <xf numFmtId="0" fontId="9" fillId="0" borderId="0" xfId="0" applyFont="1" applyAlignment="1">
      <alignment/>
    </xf>
    <xf numFmtId="0" fontId="9" fillId="0" borderId="0" xfId="0" applyFont="1" applyBorder="1" applyAlignment="1">
      <alignment/>
    </xf>
    <xf numFmtId="1" fontId="0" fillId="2" borderId="1" xfId="0" applyNumberFormat="1" applyFont="1" applyFill="1" applyBorder="1" applyAlignment="1">
      <alignment wrapText="1"/>
    </xf>
    <xf numFmtId="1" fontId="0" fillId="3" borderId="1" xfId="0" applyNumberFormat="1" applyFont="1" applyFill="1" applyBorder="1" applyAlignment="1">
      <alignment wrapText="1"/>
    </xf>
    <xf numFmtId="0" fontId="0" fillId="8" borderId="0" xfId="0" applyFill="1" applyAlignment="1">
      <alignment/>
    </xf>
    <xf numFmtId="10" fontId="0" fillId="8" borderId="0" xfId="0" applyNumberFormat="1" applyFill="1" applyAlignment="1">
      <alignment/>
    </xf>
    <xf numFmtId="164" fontId="0" fillId="5" borderId="0" xfId="0" applyNumberFormat="1" applyFill="1" applyAlignment="1">
      <alignment/>
    </xf>
    <xf numFmtId="11" fontId="0" fillId="5" borderId="0" xfId="0" applyNumberFormat="1" applyFill="1" applyAlignment="1">
      <alignment/>
    </xf>
    <xf numFmtId="164" fontId="8" fillId="0" borderId="0" xfId="0" applyNumberFormat="1" applyFont="1" applyFill="1" applyBorder="1" applyAlignment="1">
      <alignment/>
    </xf>
    <xf numFmtId="0" fontId="15" fillId="0" borderId="0" xfId="0" applyFont="1" applyAlignment="1">
      <alignment horizontal="center"/>
    </xf>
    <xf numFmtId="0" fontId="16" fillId="0" borderId="0" xfId="0" applyFont="1" applyBorder="1" applyAlignment="1">
      <alignment/>
    </xf>
    <xf numFmtId="0" fontId="16" fillId="0" borderId="0" xfId="0" applyFont="1" applyAlignment="1">
      <alignment/>
    </xf>
    <xf numFmtId="0" fontId="0" fillId="0" borderId="20" xfId="0" applyFont="1" applyFill="1" applyBorder="1" applyAlignment="1">
      <alignment/>
    </xf>
    <xf numFmtId="0" fontId="0" fillId="0" borderId="0" xfId="0" applyFont="1" applyFill="1" applyAlignment="1">
      <alignment/>
    </xf>
    <xf numFmtId="0" fontId="17" fillId="0" borderId="0" xfId="0" applyFont="1" applyAlignment="1">
      <alignment horizontal="center"/>
    </xf>
    <xf numFmtId="0" fontId="18" fillId="0" borderId="0" xfId="0" applyFont="1" applyAlignment="1">
      <alignment/>
    </xf>
    <xf numFmtId="10" fontId="0" fillId="7" borderId="0" xfId="0" applyNumberFormat="1" applyFill="1" applyAlignment="1">
      <alignment/>
    </xf>
    <xf numFmtId="1" fontId="0" fillId="7" borderId="0" xfId="0" applyNumberFormat="1" applyFill="1" applyAlignment="1">
      <alignment/>
    </xf>
    <xf numFmtId="10" fontId="0" fillId="7" borderId="0" xfId="0" applyNumberFormat="1" applyFill="1" applyAlignment="1">
      <alignment wrapText="1"/>
    </xf>
    <xf numFmtId="0" fontId="0" fillId="7" borderId="0" xfId="0" applyFill="1" applyAlignment="1">
      <alignment/>
    </xf>
    <xf numFmtId="11" fontId="0" fillId="7" borderId="0" xfId="0" applyNumberFormat="1" applyFill="1" applyAlignment="1">
      <alignment/>
    </xf>
    <xf numFmtId="43" fontId="0" fillId="0" borderId="0" xfId="0" applyNumberFormat="1" applyAlignment="1">
      <alignment/>
    </xf>
    <xf numFmtId="0" fontId="9" fillId="0" borderId="0" xfId="0" applyFont="1" applyFill="1" applyBorder="1" applyAlignment="1">
      <alignment/>
    </xf>
    <xf numFmtId="0" fontId="0" fillId="7" borderId="0" xfId="0" applyFont="1" applyFill="1" applyBorder="1" applyAlignment="1">
      <alignment vertical="center" wrapText="1"/>
    </xf>
    <xf numFmtId="0" fontId="0" fillId="7" borderId="16" xfId="0" applyFont="1" applyFill="1" applyBorder="1" applyAlignment="1">
      <alignment vertical="center" wrapText="1"/>
    </xf>
    <xf numFmtId="0" fontId="8" fillId="0" borderId="0" xfId="0" applyNumberFormat="1" applyFont="1" applyBorder="1" applyAlignment="1">
      <alignment vertical="center" wrapText="1"/>
    </xf>
    <xf numFmtId="0" fontId="0" fillId="0" borderId="0" xfId="0" applyNumberFormat="1" applyBorder="1" applyAlignment="1">
      <alignment vertical="center" wrapText="1"/>
    </xf>
    <xf numFmtId="0" fontId="8" fillId="0" borderId="2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9" xfId="0" applyFont="1" applyBorder="1" applyAlignment="1">
      <alignment horizontal="center"/>
    </xf>
    <xf numFmtId="0" fontId="0" fillId="0" borderId="0" xfId="0" applyFont="1" applyBorder="1" applyAlignment="1">
      <alignment horizontal="center"/>
    </xf>
    <xf numFmtId="11" fontId="0" fillId="0" borderId="0" xfId="0" applyNumberFormat="1" applyFont="1" applyBorder="1" applyAlignment="1">
      <alignment horizontal="center"/>
    </xf>
    <xf numFmtId="2" fontId="0" fillId="0" borderId="16" xfId="0" applyNumberFormat="1" applyFont="1" applyFill="1" applyBorder="1" applyAlignment="1">
      <alignment horizontal="center"/>
    </xf>
    <xf numFmtId="0" fontId="8" fillId="0" borderId="20" xfId="0" applyFont="1" applyBorder="1" applyAlignment="1">
      <alignment vertical="center"/>
    </xf>
    <xf numFmtId="0" fontId="19" fillId="0" borderId="20" xfId="0" applyFont="1" applyBorder="1" applyAlignment="1">
      <alignment horizontal="center" vertical="center"/>
    </xf>
    <xf numFmtId="0" fontId="0" fillId="0" borderId="20" xfId="0" applyFont="1" applyBorder="1" applyAlignment="1">
      <alignment vertical="center" wrapText="1"/>
    </xf>
    <xf numFmtId="3" fontId="0" fillId="0" borderId="20" xfId="0" applyNumberFormat="1" applyFont="1" applyBorder="1" applyAlignment="1">
      <alignment horizontal="right" vertical="center"/>
    </xf>
    <xf numFmtId="170" fontId="0" fillId="0" borderId="20" xfId="0" applyNumberFormat="1" applyFont="1" applyBorder="1" applyAlignment="1">
      <alignment horizontal="right" vertical="center"/>
    </xf>
    <xf numFmtId="164" fontId="0" fillId="0" borderId="0" xfId="0" applyNumberFormat="1" applyFont="1" applyBorder="1" applyAlignment="1">
      <alignment horizontal="center"/>
    </xf>
    <xf numFmtId="11" fontId="0" fillId="0" borderId="0" xfId="0" applyNumberFormat="1" applyFont="1" applyBorder="1" applyAlignment="1">
      <alignment horizontal="center" vertical="center"/>
    </xf>
    <xf numFmtId="2" fontId="0" fillId="9" borderId="16" xfId="0" applyNumberFormat="1" applyFont="1" applyFill="1" applyBorder="1" applyAlignment="1">
      <alignment horizontal="center"/>
    </xf>
    <xf numFmtId="11" fontId="0" fillId="0" borderId="20" xfId="0" applyNumberFormat="1" applyFont="1" applyBorder="1" applyAlignment="1">
      <alignment horizontal="right" vertical="center"/>
    </xf>
    <xf numFmtId="0" fontId="8" fillId="9" borderId="19" xfId="0" applyFont="1" applyFill="1" applyBorder="1" applyAlignment="1">
      <alignment horizontal="center"/>
    </xf>
    <xf numFmtId="0" fontId="0" fillId="9" borderId="0" xfId="0" applyFont="1" applyFill="1" applyBorder="1" applyAlignment="1">
      <alignment horizontal="center"/>
    </xf>
    <xf numFmtId="164" fontId="0" fillId="9" borderId="0" xfId="0" applyNumberFormat="1" applyFont="1" applyFill="1" applyBorder="1" applyAlignment="1">
      <alignment horizontal="center"/>
    </xf>
    <xf numFmtId="11" fontId="0" fillId="9" borderId="0" xfId="0" applyNumberFormat="1" applyFont="1" applyFill="1" applyBorder="1" applyAlignment="1">
      <alignment horizontal="center" vertical="center"/>
    </xf>
    <xf numFmtId="11" fontId="0" fillId="9" borderId="0" xfId="0" applyNumberFormat="1" applyFont="1" applyFill="1" applyBorder="1" applyAlignment="1">
      <alignment horizontal="center"/>
    </xf>
    <xf numFmtId="164" fontId="0" fillId="0" borderId="20" xfId="0" applyNumberFormat="1" applyFont="1" applyBorder="1" applyAlignment="1">
      <alignment horizontal="right" vertical="center"/>
    </xf>
    <xf numFmtId="0" fontId="8" fillId="0" borderId="19" xfId="0" applyFont="1" applyFill="1" applyBorder="1" applyAlignment="1">
      <alignment horizontal="center"/>
    </xf>
    <xf numFmtId="164" fontId="0" fillId="0" borderId="0" xfId="0" applyNumberFormat="1" applyFont="1" applyFill="1" applyBorder="1" applyAlignment="1">
      <alignment horizontal="center"/>
    </xf>
    <xf numFmtId="164" fontId="8" fillId="0" borderId="0" xfId="0" applyNumberFormat="1" applyFont="1" applyFill="1" applyBorder="1" applyAlignment="1">
      <alignment horizontal="center"/>
    </xf>
    <xf numFmtId="164" fontId="0" fillId="0" borderId="0" xfId="15" applyNumberFormat="1" applyFont="1" applyFill="1" applyBorder="1" applyAlignment="1">
      <alignment horizontal="center"/>
    </xf>
    <xf numFmtId="11" fontId="0" fillId="0" borderId="0" xfId="0" applyNumberFormat="1" applyFont="1" applyFill="1" applyBorder="1" applyAlignment="1">
      <alignment horizontal="center" vertical="center"/>
    </xf>
    <xf numFmtId="0" fontId="0" fillId="0" borderId="0" xfId="0" applyFont="1" applyFill="1" applyBorder="1" applyAlignment="1">
      <alignment horizontal="center"/>
    </xf>
    <xf numFmtId="164" fontId="0" fillId="0" borderId="0" xfId="15" applyNumberFormat="1" applyFont="1" applyBorder="1" applyAlignment="1">
      <alignment horizontal="center"/>
    </xf>
    <xf numFmtId="0" fontId="8" fillId="0" borderId="15" xfId="0" applyFont="1" applyBorder="1" applyAlignment="1">
      <alignment horizontal="center"/>
    </xf>
    <xf numFmtId="0" fontId="0" fillId="0" borderId="14" xfId="0" applyFont="1" applyBorder="1" applyAlignment="1">
      <alignment horizontal="center"/>
    </xf>
    <xf numFmtId="164" fontId="0" fillId="0" borderId="14" xfId="15" applyNumberFormat="1" applyFont="1" applyBorder="1" applyAlignment="1">
      <alignment horizontal="center"/>
    </xf>
    <xf numFmtId="11" fontId="0" fillId="0" borderId="14" xfId="0" applyNumberFormat="1" applyFont="1" applyFill="1" applyBorder="1" applyAlignment="1">
      <alignment horizontal="center" vertical="center"/>
    </xf>
    <xf numFmtId="11" fontId="0" fillId="0" borderId="14" xfId="0" applyNumberFormat="1" applyFont="1" applyBorder="1" applyAlignment="1">
      <alignment horizontal="center"/>
    </xf>
    <xf numFmtId="2" fontId="0" fillId="9" borderId="13" xfId="0" applyNumberFormat="1" applyFont="1" applyFill="1" applyBorder="1" applyAlignment="1">
      <alignment horizontal="center"/>
    </xf>
    <xf numFmtId="2" fontId="8" fillId="5" borderId="20" xfId="0" applyNumberFormat="1" applyFont="1" applyFill="1" applyBorder="1" applyAlignment="1">
      <alignment/>
    </xf>
    <xf numFmtId="43" fontId="8" fillId="5" borderId="20" xfId="0" applyNumberFormat="1" applyFont="1" applyFill="1" applyBorder="1" applyAlignment="1">
      <alignment/>
    </xf>
    <xf numFmtId="0" fontId="0" fillId="0" borderId="18" xfId="0" applyFont="1" applyBorder="1" applyAlignment="1">
      <alignment/>
    </xf>
    <xf numFmtId="2" fontId="8" fillId="5" borderId="20" xfId="15" applyNumberFormat="1" applyFont="1" applyFill="1" applyBorder="1" applyAlignment="1">
      <alignment/>
    </xf>
    <xf numFmtId="0" fontId="0" fillId="0" borderId="20" xfId="0" applyFont="1" applyFill="1" applyBorder="1" applyAlignment="1">
      <alignment/>
    </xf>
    <xf numFmtId="0" fontId="20" fillId="0" borderId="0" xfId="0" applyFont="1" applyBorder="1" applyAlignment="1">
      <alignment/>
    </xf>
    <xf numFmtId="0" fontId="20" fillId="0" borderId="18" xfId="0" applyFont="1" applyBorder="1" applyAlignment="1">
      <alignment/>
    </xf>
    <xf numFmtId="164" fontId="0" fillId="0" borderId="0" xfId="15" applyNumberFormat="1" applyFont="1" applyAlignment="1">
      <alignment/>
    </xf>
    <xf numFmtId="43" fontId="0" fillId="0" borderId="0" xfId="15" applyFont="1" applyAlignment="1">
      <alignment/>
    </xf>
    <xf numFmtId="0" fontId="0" fillId="7" borderId="13" xfId="0" applyFont="1" applyFill="1" applyBorder="1" applyAlignment="1">
      <alignment/>
    </xf>
    <xf numFmtId="0" fontId="0" fillId="7" borderId="14" xfId="0" applyFont="1" applyFill="1" applyBorder="1" applyAlignment="1">
      <alignment/>
    </xf>
    <xf numFmtId="0" fontId="0" fillId="7" borderId="16" xfId="0" applyFont="1" applyFill="1" applyBorder="1" applyAlignment="1">
      <alignment/>
    </xf>
    <xf numFmtId="0" fontId="0" fillId="7" borderId="0" xfId="0" applyFont="1" applyFill="1" applyBorder="1" applyAlignment="1">
      <alignment/>
    </xf>
    <xf numFmtId="0" fontId="0" fillId="7" borderId="17" xfId="0" applyFont="1" applyFill="1" applyBorder="1" applyAlignment="1">
      <alignment/>
    </xf>
    <xf numFmtId="0" fontId="0" fillId="7" borderId="18" xfId="0" applyFont="1" applyFill="1" applyBorder="1" applyAlignment="1">
      <alignment/>
    </xf>
    <xf numFmtId="0" fontId="8" fillId="7" borderId="18" xfId="0" applyFont="1" applyFill="1" applyBorder="1" applyAlignment="1">
      <alignment horizontal="right"/>
    </xf>
    <xf numFmtId="2" fontId="8" fillId="5" borderId="20" xfId="15" applyNumberFormat="1" applyFont="1" applyFill="1" applyBorder="1" applyAlignment="1">
      <alignment horizontal="center"/>
    </xf>
    <xf numFmtId="0" fontId="8" fillId="0" borderId="22" xfId="0" applyFont="1" applyFill="1" applyBorder="1" applyAlignment="1">
      <alignment horizontal="right" vertical="center"/>
    </xf>
    <xf numFmtId="0" fontId="8" fillId="0" borderId="23" xfId="0" applyFont="1" applyFill="1" applyBorder="1" applyAlignment="1">
      <alignment horizontal="right" vertical="center"/>
    </xf>
    <xf numFmtId="0" fontId="8" fillId="0" borderId="24" xfId="0" applyFont="1" applyFill="1" applyBorder="1" applyAlignment="1">
      <alignment horizontal="right" vertical="center"/>
    </xf>
    <xf numFmtId="2" fontId="8" fillId="5" borderId="20" xfId="0" applyNumberFormat="1" applyFont="1" applyFill="1" applyBorder="1" applyAlignment="1">
      <alignment horizontal="center"/>
    </xf>
    <xf numFmtId="1" fontId="0" fillId="2" borderId="2" xfId="21" applyNumberFormat="1" applyFont="1" applyFill="1" applyBorder="1" applyAlignment="1">
      <alignment horizontal="center"/>
    </xf>
    <xf numFmtId="0" fontId="8" fillId="0" borderId="4" xfId="0" applyFont="1" applyBorder="1" applyAlignment="1">
      <alignment horizontal="center"/>
    </xf>
    <xf numFmtId="1" fontId="0" fillId="2" borderId="5" xfId="21" applyNumberFormat="1" applyFont="1" applyFill="1" applyBorder="1" applyAlignment="1">
      <alignment horizontal="center"/>
    </xf>
    <xf numFmtId="0" fontId="8" fillId="0" borderId="6" xfId="0" applyFont="1" applyBorder="1" applyAlignment="1">
      <alignment horizontal="center"/>
    </xf>
    <xf numFmtId="0" fontId="8" fillId="0" borderId="6" xfId="0" applyFont="1" applyFill="1" applyBorder="1" applyAlignment="1">
      <alignment horizontal="center"/>
    </xf>
    <xf numFmtId="2" fontId="0" fillId="2" borderId="5" xfId="0" applyNumberFormat="1" applyFill="1" applyBorder="1" applyAlignment="1">
      <alignment horizontal="center"/>
    </xf>
    <xf numFmtId="2" fontId="0" fillId="0" borderId="5" xfId="0" applyNumberFormat="1" applyBorder="1" applyAlignment="1">
      <alignment horizontal="center"/>
    </xf>
    <xf numFmtId="0" fontId="0" fillId="0" borderId="5" xfId="0" applyBorder="1" applyAlignment="1">
      <alignment horizontal="center"/>
    </xf>
    <xf numFmtId="0" fontId="8" fillId="0" borderId="0" xfId="0" applyFont="1" applyBorder="1" applyAlignment="1">
      <alignment horizontal="center" vertical="center" wrapText="1"/>
    </xf>
    <xf numFmtId="0" fontId="8" fillId="7" borderId="15" xfId="0" applyFont="1" applyFill="1" applyBorder="1" applyAlignment="1">
      <alignment horizontal="left" vertical="center"/>
    </xf>
    <xf numFmtId="0" fontId="8" fillId="7" borderId="19" xfId="0" applyFont="1" applyFill="1" applyBorder="1" applyAlignment="1">
      <alignment horizontal="left" vertical="center"/>
    </xf>
    <xf numFmtId="0" fontId="8" fillId="7" borderId="21" xfId="0" applyFont="1" applyFill="1" applyBorder="1" applyAlignment="1">
      <alignment horizontal="left" vertical="center"/>
    </xf>
    <xf numFmtId="165" fontId="0" fillId="2" borderId="2" xfId="0" applyNumberFormat="1" applyFill="1" applyBorder="1" applyAlignment="1">
      <alignment horizontal="center"/>
    </xf>
    <xf numFmtId="165" fontId="0" fillId="2" borderId="5" xfId="0" applyNumberFormat="1" applyFill="1" applyBorder="1" applyAlignment="1">
      <alignment horizontal="center"/>
    </xf>
    <xf numFmtId="2" fontId="0" fillId="0" borderId="5" xfId="0" applyNumberFormat="1" applyFill="1" applyBorder="1" applyAlignment="1">
      <alignment horizontal="center"/>
    </xf>
    <xf numFmtId="0" fontId="0" fillId="7" borderId="15" xfId="0" applyFill="1" applyBorder="1" applyAlignment="1">
      <alignment vertical="center" wrapText="1"/>
    </xf>
    <xf numFmtId="2" fontId="0" fillId="2" borderId="2" xfId="0" applyNumberFormat="1" applyFill="1" applyBorder="1" applyAlignment="1">
      <alignment horizontal="center"/>
    </xf>
    <xf numFmtId="2" fontId="0" fillId="6" borderId="0" xfId="0" applyNumberFormat="1" applyFill="1" applyAlignment="1">
      <alignment/>
    </xf>
    <xf numFmtId="0" fontId="0" fillId="0" borderId="0" xfId="0" applyFont="1" applyAlignment="1">
      <alignment horizontal="left"/>
    </xf>
    <xf numFmtId="46" fontId="0" fillId="0" borderId="8" xfId="0" applyNumberFormat="1" applyBorder="1" applyAlignment="1">
      <alignment horizontal="center" wrapText="1"/>
    </xf>
    <xf numFmtId="0" fontId="0" fillId="0" borderId="8" xfId="0" applyBorder="1" applyAlignment="1">
      <alignment horizontal="center" wrapText="1"/>
    </xf>
    <xf numFmtId="0" fontId="0" fillId="0" borderId="0" xfId="0" applyFont="1" applyBorder="1" applyAlignment="1">
      <alignment horizontal="center" wrapText="1"/>
    </xf>
    <xf numFmtId="0" fontId="0" fillId="0" borderId="0" xfId="0" applyFont="1" applyAlignment="1">
      <alignment horizontal="center" wrapText="1"/>
    </xf>
    <xf numFmtId="0" fontId="0" fillId="0" borderId="0" xfId="0" applyFont="1" applyBorder="1" applyAlignment="1">
      <alignment/>
    </xf>
    <xf numFmtId="0" fontId="0" fillId="0" borderId="0" xfId="0" applyAlignment="1">
      <alignment horizontal="center"/>
    </xf>
    <xf numFmtId="0" fontId="9" fillId="0" borderId="0" xfId="0" applyFont="1" applyBorder="1" applyAlignment="1">
      <alignment wrapText="1"/>
    </xf>
    <xf numFmtId="0" fontId="0" fillId="0" borderId="0" xfId="0" applyAlignment="1">
      <alignment horizontal="center" wrapText="1"/>
    </xf>
    <xf numFmtId="0" fontId="8" fillId="0" borderId="0" xfId="0" applyFont="1" applyAlignment="1">
      <alignment horizontal="center" wrapText="1"/>
    </xf>
    <xf numFmtId="1" fontId="0" fillId="2" borderId="1" xfId="0" applyNumberFormat="1" applyFont="1" applyFill="1" applyBorder="1" applyAlignment="1">
      <alignment wrapText="1"/>
    </xf>
    <xf numFmtId="2" fontId="0" fillId="3" borderId="1" xfId="0" applyNumberFormat="1" applyFont="1" applyFill="1" applyBorder="1" applyAlignment="1">
      <alignment wrapText="1"/>
    </xf>
    <xf numFmtId="2" fontId="0" fillId="2" borderId="1" xfId="0" applyNumberFormat="1" applyFont="1" applyFill="1" applyBorder="1" applyAlignment="1">
      <alignment wrapText="1"/>
    </xf>
    <xf numFmtId="2" fontId="0" fillId="2" borderId="1" xfId="0" applyNumberFormat="1" applyFont="1" applyFill="1" applyBorder="1" applyAlignment="1">
      <alignment wrapText="1"/>
    </xf>
    <xf numFmtId="11" fontId="0" fillId="3" borderId="1" xfId="0" applyNumberFormat="1" applyFont="1" applyFill="1" applyBorder="1" applyAlignment="1">
      <alignment wrapText="1"/>
    </xf>
    <xf numFmtId="11" fontId="0" fillId="2" borderId="1" xfId="0" applyNumberFormat="1" applyFont="1" applyFill="1" applyBorder="1" applyAlignment="1">
      <alignment wrapText="1"/>
    </xf>
    <xf numFmtId="11" fontId="0" fillId="2" borderId="1" xfId="0" applyNumberFormat="1" applyFont="1" applyFill="1" applyBorder="1" applyAlignment="1">
      <alignment wrapText="1"/>
    </xf>
    <xf numFmtId="11" fontId="0" fillId="0" borderId="0" xfId="0" applyNumberFormat="1" applyFill="1" applyAlignment="1">
      <alignment/>
    </xf>
    <xf numFmtId="164" fontId="0" fillId="8" borderId="0" xfId="15" applyNumberFormat="1" applyFont="1" applyFill="1" applyAlignment="1">
      <alignment/>
    </xf>
    <xf numFmtId="0" fontId="8" fillId="4" borderId="0" xfId="0" applyFont="1" applyFill="1" applyAlignment="1">
      <alignment horizontal="center"/>
    </xf>
    <xf numFmtId="0" fontId="8" fillId="4" borderId="0" xfId="0" applyFont="1" applyFill="1" applyAlignment="1">
      <alignment/>
    </xf>
    <xf numFmtId="0" fontId="0" fillId="4" borderId="0" xfId="0" applyFont="1" applyFill="1" applyAlignment="1">
      <alignment/>
    </xf>
    <xf numFmtId="9" fontId="0" fillId="4" borderId="0" xfId="0" applyNumberFormat="1" applyFill="1" applyAlignment="1">
      <alignment/>
    </xf>
    <xf numFmtId="0" fontId="0" fillId="4" borderId="0" xfId="0" applyFill="1" applyAlignment="1">
      <alignment wrapText="1"/>
    </xf>
    <xf numFmtId="164" fontId="0" fillId="4" borderId="0" xfId="0" applyNumberFormat="1" applyFill="1" applyAlignment="1">
      <alignment/>
    </xf>
    <xf numFmtId="11" fontId="0" fillId="0" borderId="0" xfId="0" applyNumberFormat="1" applyFill="1" applyBorder="1" applyAlignment="1">
      <alignment wrapText="1"/>
    </xf>
    <xf numFmtId="11" fontId="0" fillId="0" borderId="0" xfId="0" applyNumberFormat="1" applyFill="1" applyBorder="1" applyAlignment="1">
      <alignment/>
    </xf>
    <xf numFmtId="2" fontId="0" fillId="0" borderId="0" xfId="0" applyNumberFormat="1" applyAlignment="1">
      <alignment/>
    </xf>
    <xf numFmtId="43" fontId="0" fillId="3" borderId="1" xfId="15" applyFont="1" applyFill="1" applyBorder="1" applyAlignment="1">
      <alignment wrapText="1"/>
    </xf>
    <xf numFmtId="43" fontId="0" fillId="2" borderId="1" xfId="15" applyFont="1" applyFill="1" applyBorder="1" applyAlignment="1">
      <alignment wrapText="1"/>
    </xf>
    <xf numFmtId="9" fontId="8" fillId="0" borderId="0" xfId="0" applyNumberFormat="1" applyFont="1" applyFill="1" applyAlignment="1">
      <alignment/>
    </xf>
    <xf numFmtId="0" fontId="0" fillId="0" borderId="14" xfId="0" applyFill="1" applyBorder="1" applyAlignment="1">
      <alignment horizontal="center"/>
    </xf>
    <xf numFmtId="0" fontId="0" fillId="0" borderId="0" xfId="0" applyFill="1" applyBorder="1" applyAlignment="1">
      <alignment horizontal="center"/>
    </xf>
    <xf numFmtId="0" fontId="8" fillId="0" borderId="0" xfId="0" applyFont="1" applyFill="1" applyBorder="1" applyAlignment="1">
      <alignment horizontal="center"/>
    </xf>
    <xf numFmtId="0" fontId="0" fillId="0" borderId="0" xfId="0" applyBorder="1" applyAlignment="1">
      <alignment horizontal="center"/>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1" fontId="0" fillId="0" borderId="0" xfId="0" applyNumberFormat="1" applyFont="1" applyFill="1" applyBorder="1" applyAlignment="1">
      <alignment horizontal="center"/>
    </xf>
    <xf numFmtId="0" fontId="16" fillId="0" borderId="0" xfId="0" applyFont="1" applyFill="1" applyAlignment="1">
      <alignment/>
    </xf>
    <xf numFmtId="176" fontId="15" fillId="0" borderId="0" xfId="15" applyNumberFormat="1" applyFont="1" applyFill="1" applyBorder="1" applyAlignment="1">
      <alignment/>
    </xf>
    <xf numFmtId="0" fontId="16" fillId="0" borderId="0" xfId="0" applyFont="1" applyFill="1" applyBorder="1" applyAlignment="1">
      <alignment/>
    </xf>
    <xf numFmtId="0" fontId="15" fillId="0" borderId="0" xfId="0" applyFont="1" applyFill="1" applyBorder="1" applyAlignment="1">
      <alignment horizontal="right" vertical="center"/>
    </xf>
    <xf numFmtId="0" fontId="15" fillId="0" borderId="0" xfId="0" applyFont="1" applyAlignment="1">
      <alignment/>
    </xf>
    <xf numFmtId="0" fontId="8" fillId="7" borderId="0" xfId="0" applyNumberFormat="1" applyFont="1" applyFill="1" applyBorder="1" applyAlignment="1">
      <alignment vertical="center" wrapText="1"/>
    </xf>
    <xf numFmtId="0" fontId="0" fillId="7" borderId="0" xfId="0" applyNumberFormat="1" applyFill="1" applyBorder="1" applyAlignment="1">
      <alignment vertical="center" wrapText="1"/>
    </xf>
    <xf numFmtId="0" fontId="8" fillId="7" borderId="16" xfId="0" applyNumberFormat="1" applyFont="1" applyFill="1" applyBorder="1" applyAlignment="1">
      <alignment vertical="center" wrapText="1"/>
    </xf>
    <xf numFmtId="0" fontId="0" fillId="7" borderId="16" xfId="0" applyNumberFormat="1" applyFill="1" applyBorder="1" applyAlignment="1">
      <alignment vertical="center" wrapText="1"/>
    </xf>
    <xf numFmtId="0" fontId="0" fillId="0" borderId="20" xfId="0" applyFill="1" applyBorder="1" applyAlignment="1">
      <alignment/>
    </xf>
    <xf numFmtId="0" fontId="11" fillId="0" borderId="22" xfId="0" applyFont="1" applyFill="1" applyBorder="1" applyAlignment="1">
      <alignment horizontal="center" vertical="center"/>
    </xf>
    <xf numFmtId="0" fontId="8" fillId="0" borderId="0" xfId="0" applyFont="1" applyAlignment="1">
      <alignment horizontal="left"/>
    </xf>
    <xf numFmtId="0" fontId="0" fillId="6" borderId="20" xfId="0" applyFill="1" applyBorder="1" applyAlignment="1">
      <alignment/>
    </xf>
    <xf numFmtId="9" fontId="0" fillId="6" borderId="20" xfId="21" applyFont="1" applyFill="1" applyBorder="1" applyAlignment="1">
      <alignment/>
    </xf>
    <xf numFmtId="0" fontId="8" fillId="6" borderId="20" xfId="0" applyFont="1" applyFill="1" applyBorder="1" applyAlignment="1">
      <alignment horizontal="right"/>
    </xf>
    <xf numFmtId="164" fontId="0" fillId="6" borderId="20" xfId="15" applyNumberFormat="1" applyFont="1" applyFill="1" applyBorder="1" applyAlignment="1">
      <alignment/>
    </xf>
    <xf numFmtId="164" fontId="0" fillId="6" borderId="20" xfId="0" applyNumberFormat="1" applyFill="1" applyBorder="1" applyAlignment="1">
      <alignment/>
    </xf>
    <xf numFmtId="0" fontId="8" fillId="6" borderId="25" xfId="0" applyFont="1" applyFill="1" applyBorder="1" applyAlignment="1">
      <alignment horizontal="right"/>
    </xf>
    <xf numFmtId="164" fontId="0" fillId="6" borderId="25" xfId="15" applyNumberFormat="1" applyFont="1" applyFill="1" applyBorder="1" applyAlignment="1">
      <alignment/>
    </xf>
    <xf numFmtId="0" fontId="8" fillId="6" borderId="26" xfId="0" applyFont="1" applyFill="1" applyBorder="1" applyAlignment="1">
      <alignment horizontal="right"/>
    </xf>
    <xf numFmtId="0" fontId="8" fillId="6" borderId="26" xfId="0" applyFont="1" applyFill="1" applyBorder="1" applyAlignment="1">
      <alignment wrapText="1"/>
    </xf>
    <xf numFmtId="0" fontId="0" fillId="6" borderId="25" xfId="0" applyFill="1" applyBorder="1" applyAlignment="1">
      <alignment/>
    </xf>
    <xf numFmtId="9" fontId="0" fillId="6" borderId="25" xfId="21" applyFont="1" applyFill="1" applyBorder="1" applyAlignment="1">
      <alignment/>
    </xf>
    <xf numFmtId="0" fontId="0" fillId="6" borderId="27" xfId="0" applyFill="1" applyBorder="1" applyAlignment="1">
      <alignment/>
    </xf>
    <xf numFmtId="0" fontId="8" fillId="6" borderId="26" xfId="0" applyFont="1" applyFill="1" applyBorder="1" applyAlignment="1">
      <alignment horizontal="center" wrapText="1"/>
    </xf>
    <xf numFmtId="0" fontId="8" fillId="6" borderId="0" xfId="0" applyFont="1" applyFill="1" applyAlignment="1">
      <alignment horizontal="left"/>
    </xf>
    <xf numFmtId="0" fontId="9" fillId="6" borderId="0" xfId="0" applyFont="1" applyFill="1" applyBorder="1" applyAlignment="1">
      <alignment/>
    </xf>
    <xf numFmtId="0" fontId="0" fillId="0" borderId="11" xfId="0" applyFill="1" applyBorder="1" applyAlignment="1">
      <alignment horizontal="center" wrapText="1"/>
    </xf>
    <xf numFmtId="0" fontId="22" fillId="0" borderId="0" xfId="0" applyFont="1" applyFill="1" applyAlignment="1">
      <alignment/>
    </xf>
    <xf numFmtId="10" fontId="0" fillId="0" borderId="0" xfId="0" applyNumberFormat="1" applyFill="1" applyAlignment="1">
      <alignment/>
    </xf>
    <xf numFmtId="0" fontId="0" fillId="0" borderId="0" xfId="0" applyFont="1" applyFill="1" applyAlignment="1">
      <alignment/>
    </xf>
    <xf numFmtId="0" fontId="0" fillId="0" borderId="10" xfId="0" applyFill="1" applyBorder="1" applyAlignment="1">
      <alignment horizontal="center" wrapText="1"/>
    </xf>
    <xf numFmtId="11" fontId="0" fillId="0" borderId="0" xfId="0" applyNumberFormat="1" applyFill="1" applyAlignment="1">
      <alignment wrapText="1"/>
    </xf>
    <xf numFmtId="11" fontId="0" fillId="0" borderId="20" xfId="15" applyNumberFormat="1" applyFont="1" applyFill="1" applyBorder="1" applyAlignment="1">
      <alignment horizontal="right" vertical="center"/>
    </xf>
    <xf numFmtId="11" fontId="0" fillId="0" borderId="0" xfId="0" applyNumberFormat="1" applyBorder="1" applyAlignment="1">
      <alignment/>
    </xf>
    <xf numFmtId="0" fontId="8"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0" xfId="0" applyNumberFormat="1" applyFont="1" applyFill="1" applyBorder="1" applyAlignment="1">
      <alignment vertical="center"/>
    </xf>
    <xf numFmtId="0" fontId="0" fillId="6" borderId="0" xfId="0" applyFill="1" applyBorder="1" applyAlignment="1">
      <alignment/>
    </xf>
    <xf numFmtId="0" fontId="0" fillId="0" borderId="0" xfId="0" applyBorder="1" applyAlignment="1">
      <alignment wrapText="1"/>
    </xf>
    <xf numFmtId="1" fontId="0" fillId="6" borderId="0" xfId="0" applyNumberFormat="1" applyFill="1" applyBorder="1" applyAlignment="1">
      <alignment/>
    </xf>
    <xf numFmtId="11" fontId="0" fillId="0" borderId="0" xfId="15" applyNumberFormat="1" applyFont="1" applyFill="1" applyBorder="1" applyAlignment="1">
      <alignment horizontal="right" vertical="center"/>
    </xf>
    <xf numFmtId="0" fontId="0" fillId="4" borderId="0" xfId="0" applyFill="1" applyBorder="1" applyAlignment="1">
      <alignment/>
    </xf>
    <xf numFmtId="11" fontId="0" fillId="4" borderId="0" xfId="0" applyNumberFormat="1" applyFill="1" applyBorder="1" applyAlignment="1">
      <alignment/>
    </xf>
    <xf numFmtId="0" fontId="0" fillId="0" borderId="0" xfId="0" applyFont="1" applyFill="1" applyBorder="1" applyAlignment="1">
      <alignment/>
    </xf>
    <xf numFmtId="9" fontId="0" fillId="4" borderId="0" xfId="0" applyNumberFormat="1" applyFill="1" applyBorder="1" applyAlignment="1">
      <alignment/>
    </xf>
    <xf numFmtId="0" fontId="16" fillId="4" borderId="0" xfId="0" applyFont="1" applyFill="1" applyBorder="1" applyAlignment="1">
      <alignment/>
    </xf>
    <xf numFmtId="0" fontId="18" fillId="4" borderId="0" xfId="0" applyFont="1" applyFill="1" applyAlignment="1">
      <alignment/>
    </xf>
    <xf numFmtId="0" fontId="0" fillId="4" borderId="0" xfId="0" applyFont="1" applyFill="1" applyBorder="1" applyAlignment="1">
      <alignment/>
    </xf>
    <xf numFmtId="9" fontId="0" fillId="4" borderId="0" xfId="0" applyNumberFormat="1" applyFill="1" applyAlignment="1">
      <alignment wrapText="1"/>
    </xf>
    <xf numFmtId="0" fontId="16" fillId="4" borderId="0" xfId="0" applyFont="1" applyFill="1" applyAlignment="1">
      <alignment/>
    </xf>
    <xf numFmtId="0" fontId="0" fillId="4" borderId="0" xfId="0" applyFill="1" applyAlignment="1">
      <alignment horizontal="right"/>
    </xf>
    <xf numFmtId="11" fontId="16" fillId="4" borderId="0" xfId="0" applyNumberFormat="1" applyFont="1" applyFill="1" applyAlignment="1">
      <alignment/>
    </xf>
    <xf numFmtId="11" fontId="18" fillId="4" borderId="0" xfId="0" applyNumberFormat="1" applyFont="1" applyFill="1" applyAlignment="1">
      <alignment/>
    </xf>
    <xf numFmtId="0" fontId="8" fillId="4" borderId="12" xfId="0" applyFont="1" applyFill="1" applyBorder="1" applyAlignment="1">
      <alignment/>
    </xf>
    <xf numFmtId="0" fontId="0" fillId="4" borderId="11" xfId="0" applyFill="1" applyBorder="1" applyAlignment="1">
      <alignment/>
    </xf>
    <xf numFmtId="11" fontId="0" fillId="4" borderId="11" xfId="0" applyNumberFormat="1" applyFill="1" applyBorder="1" applyAlignment="1">
      <alignment/>
    </xf>
    <xf numFmtId="0" fontId="0" fillId="4" borderId="10" xfId="0" applyFill="1" applyBorder="1" applyAlignment="1">
      <alignment/>
    </xf>
    <xf numFmtId="0" fontId="0" fillId="4" borderId="6" xfId="0" applyFill="1" applyBorder="1" applyAlignment="1">
      <alignment/>
    </xf>
    <xf numFmtId="0" fontId="0" fillId="4" borderId="0" xfId="0" applyFill="1" applyBorder="1" applyAlignment="1">
      <alignment wrapText="1"/>
    </xf>
    <xf numFmtId="11" fontId="0" fillId="4" borderId="0" xfId="0" applyNumberFormat="1" applyFill="1" applyBorder="1" applyAlignment="1">
      <alignment wrapText="1"/>
    </xf>
    <xf numFmtId="11" fontId="0" fillId="4" borderId="5" xfId="0" applyNumberFormat="1" applyFill="1" applyBorder="1" applyAlignment="1">
      <alignment wrapText="1"/>
    </xf>
    <xf numFmtId="43" fontId="0" fillId="4" borderId="0" xfId="15" applyFont="1" applyFill="1" applyBorder="1" applyAlignment="1">
      <alignment/>
    </xf>
    <xf numFmtId="11" fontId="0" fillId="4" borderId="0" xfId="15" applyNumberFormat="1" applyFont="1" applyFill="1" applyBorder="1" applyAlignment="1">
      <alignment/>
    </xf>
    <xf numFmtId="11" fontId="0" fillId="4" borderId="5" xfId="0" applyNumberFormat="1" applyFill="1" applyBorder="1" applyAlignment="1">
      <alignment/>
    </xf>
    <xf numFmtId="2" fontId="0" fillId="4" borderId="0" xfId="0" applyNumberFormat="1" applyFill="1" applyBorder="1" applyAlignment="1">
      <alignment/>
    </xf>
    <xf numFmtId="0" fontId="0" fillId="4" borderId="4" xfId="0" applyFill="1" applyBorder="1" applyAlignment="1">
      <alignment/>
    </xf>
    <xf numFmtId="0" fontId="0" fillId="4" borderId="3" xfId="0" applyFill="1" applyBorder="1" applyAlignment="1">
      <alignment/>
    </xf>
    <xf numFmtId="2" fontId="0" fillId="4" borderId="3" xfId="0" applyNumberFormat="1" applyFill="1" applyBorder="1" applyAlignment="1">
      <alignment/>
    </xf>
    <xf numFmtId="11" fontId="0" fillId="4" borderId="3" xfId="15" applyNumberFormat="1" applyFont="1" applyFill="1" applyBorder="1" applyAlignment="1">
      <alignment/>
    </xf>
    <xf numFmtId="43" fontId="0" fillId="4" borderId="3" xfId="15" applyFont="1" applyFill="1" applyBorder="1" applyAlignment="1">
      <alignment/>
    </xf>
    <xf numFmtId="11" fontId="0" fillId="4" borderId="3" xfId="0" applyNumberFormat="1" applyFill="1" applyBorder="1" applyAlignment="1">
      <alignment/>
    </xf>
    <xf numFmtId="11" fontId="0" fillId="4" borderId="2" xfId="0" applyNumberFormat="1" applyFill="1" applyBorder="1" applyAlignment="1">
      <alignment/>
    </xf>
    <xf numFmtId="0" fontId="8" fillId="10" borderId="0" xfId="0" applyFont="1" applyFill="1" applyAlignment="1">
      <alignment horizontal="center"/>
    </xf>
    <xf numFmtId="0" fontId="0" fillId="10" borderId="0" xfId="0" applyFill="1" applyAlignment="1">
      <alignment/>
    </xf>
    <xf numFmtId="0" fontId="0" fillId="10" borderId="0" xfId="0" applyFill="1" applyBorder="1" applyAlignment="1">
      <alignment/>
    </xf>
    <xf numFmtId="11" fontId="0" fillId="10" borderId="0" xfId="0" applyNumberFormat="1" applyFill="1" applyAlignment="1">
      <alignment/>
    </xf>
    <xf numFmtId="0" fontId="8" fillId="10" borderId="0" xfId="0" applyFont="1" applyFill="1" applyAlignment="1">
      <alignment/>
    </xf>
    <xf numFmtId="0" fontId="0" fillId="10" borderId="0" xfId="0" applyFont="1" applyFill="1" applyAlignment="1">
      <alignment/>
    </xf>
    <xf numFmtId="0" fontId="1" fillId="10" borderId="0" xfId="20" applyFill="1" applyAlignment="1" applyProtection="1">
      <alignment/>
      <protection/>
    </xf>
    <xf numFmtId="0" fontId="0" fillId="10" borderId="0" xfId="0" applyFont="1" applyFill="1" applyBorder="1" applyAlignment="1">
      <alignment horizontal="left" vertical="center"/>
    </xf>
    <xf numFmtId="0" fontId="8" fillId="10" borderId="0" xfId="0" applyFont="1" applyFill="1" applyBorder="1" applyAlignment="1">
      <alignment horizontal="right" vertical="center"/>
    </xf>
    <xf numFmtId="164" fontId="8" fillId="10" borderId="0" xfId="0" applyNumberFormat="1" applyFont="1" applyFill="1" applyBorder="1" applyAlignment="1">
      <alignment/>
    </xf>
    <xf numFmtId="0" fontId="17" fillId="10" borderId="0" xfId="0" applyFont="1" applyFill="1" applyAlignment="1">
      <alignment horizontal="center"/>
    </xf>
    <xf numFmtId="0" fontId="18" fillId="10" borderId="0" xfId="0" applyFont="1" applyFill="1" applyAlignment="1">
      <alignment/>
    </xf>
    <xf numFmtId="11" fontId="18" fillId="10" borderId="0" xfId="0" applyNumberFormat="1" applyFont="1" applyFill="1" applyAlignment="1">
      <alignment/>
    </xf>
    <xf numFmtId="0" fontId="0" fillId="7" borderId="14" xfId="0" applyNumberFormat="1" applyFill="1" applyBorder="1" applyAlignment="1">
      <alignment vertical="center" wrapText="1"/>
    </xf>
    <xf numFmtId="0" fontId="0" fillId="7" borderId="13" xfId="0" applyNumberFormat="1" applyFill="1" applyBorder="1" applyAlignment="1">
      <alignment vertical="center" wrapText="1"/>
    </xf>
    <xf numFmtId="0" fontId="8" fillId="7" borderId="17" xfId="0" applyNumberFormat="1" applyFont="1" applyFill="1" applyBorder="1" applyAlignment="1">
      <alignment vertical="center" wrapText="1"/>
    </xf>
    <xf numFmtId="0" fontId="0" fillId="7" borderId="14" xfId="0" applyFont="1" applyFill="1" applyBorder="1" applyAlignment="1">
      <alignment vertical="center" wrapText="1"/>
    </xf>
    <xf numFmtId="0" fontId="0" fillId="7" borderId="13" xfId="0" applyFont="1" applyFill="1" applyBorder="1" applyAlignment="1">
      <alignment vertical="center" wrapText="1"/>
    </xf>
    <xf numFmtId="0" fontId="8" fillId="0" borderId="28" xfId="0" applyFont="1" applyBorder="1" applyAlignment="1">
      <alignment horizontal="center" vertical="center" wrapText="1"/>
    </xf>
    <xf numFmtId="0" fontId="8" fillId="0" borderId="29" xfId="0" applyFont="1" applyFill="1" applyBorder="1" applyAlignment="1">
      <alignment horizontal="center" vertical="center" wrapText="1"/>
    </xf>
    <xf numFmtId="0" fontId="8" fillId="0" borderId="29" xfId="0" applyFont="1" applyBorder="1" applyAlignment="1">
      <alignment horizontal="center" vertical="center" wrapText="1"/>
    </xf>
    <xf numFmtId="0" fontId="8" fillId="0" borderId="25" xfId="0" applyFont="1" applyBorder="1" applyAlignment="1">
      <alignment horizontal="center"/>
    </xf>
    <xf numFmtId="0" fontId="8" fillId="0" borderId="20" xfId="0" applyFont="1" applyBorder="1" applyAlignment="1">
      <alignment horizontal="center"/>
    </xf>
    <xf numFmtId="0" fontId="8" fillId="0" borderId="0" xfId="0" applyFont="1" applyFill="1" applyBorder="1" applyAlignment="1">
      <alignment horizontal="center" vertical="center" wrapText="1"/>
    </xf>
    <xf numFmtId="0" fontId="0" fillId="0" borderId="16" xfId="0" applyFont="1" applyBorder="1" applyAlignment="1">
      <alignment horizontal="center"/>
    </xf>
    <xf numFmtId="2" fontId="0" fillId="2" borderId="16" xfId="0" applyNumberFormat="1" applyFont="1" applyFill="1" applyBorder="1" applyAlignment="1">
      <alignment horizontal="center"/>
    </xf>
    <xf numFmtId="2" fontId="8" fillId="2" borderId="16" xfId="0" applyNumberFormat="1" applyFont="1" applyFill="1" applyBorder="1" applyAlignment="1">
      <alignment horizontal="center"/>
    </xf>
    <xf numFmtId="0" fontId="8" fillId="0" borderId="15" xfId="0" applyFont="1" applyFill="1" applyBorder="1" applyAlignment="1">
      <alignment horizontal="center"/>
    </xf>
    <xf numFmtId="2" fontId="0" fillId="2" borderId="13" xfId="0" applyNumberFormat="1" applyFont="1" applyFill="1" applyBorder="1" applyAlignment="1">
      <alignment horizontal="center"/>
    </xf>
    <xf numFmtId="0" fontId="8" fillId="0" borderId="30" xfId="0" applyFont="1" applyBorder="1" applyAlignment="1">
      <alignment horizontal="center" vertical="center" wrapText="1"/>
    </xf>
    <xf numFmtId="0" fontId="8" fillId="0" borderId="31" xfId="0" applyFont="1" applyFill="1" applyBorder="1" applyAlignment="1">
      <alignment horizontal="center" vertical="center" wrapText="1"/>
    </xf>
    <xf numFmtId="164" fontId="0" fillId="0" borderId="0" xfId="15" applyNumberFormat="1" applyFont="1" applyBorder="1" applyAlignment="1">
      <alignment/>
    </xf>
    <xf numFmtId="164" fontId="0" fillId="0" borderId="0" xfId="15" applyNumberFormat="1" applyFont="1" applyFill="1" applyBorder="1" applyAlignment="1">
      <alignment/>
    </xf>
    <xf numFmtId="0" fontId="0" fillId="2" borderId="0" xfId="0" applyFont="1" applyFill="1" applyBorder="1" applyAlignment="1">
      <alignment horizontal="center"/>
    </xf>
    <xf numFmtId="0" fontId="0" fillId="2" borderId="14" xfId="0" applyFont="1" applyFill="1" applyBorder="1" applyAlignment="1">
      <alignment horizontal="center"/>
    </xf>
    <xf numFmtId="11" fontId="0" fillId="0" borderId="0" xfId="15" applyNumberFormat="1" applyFont="1" applyFill="1" applyBorder="1" applyAlignment="1">
      <alignment horizontal="center"/>
    </xf>
    <xf numFmtId="11" fontId="0" fillId="0" borderId="0" xfId="0" applyNumberFormat="1" applyFont="1" applyFill="1" applyBorder="1" applyAlignment="1">
      <alignment horizontal="center"/>
    </xf>
    <xf numFmtId="10" fontId="0" fillId="0" borderId="0" xfId="21" applyNumberFormat="1" applyFont="1" applyFill="1" applyBorder="1" applyAlignment="1">
      <alignment horizontal="center"/>
    </xf>
    <xf numFmtId="1" fontId="0" fillId="0" borderId="0" xfId="21" applyNumberFormat="1" applyFont="1" applyFill="1" applyBorder="1" applyAlignment="1">
      <alignment horizontal="center"/>
    </xf>
    <xf numFmtId="165" fontId="0" fillId="0" borderId="16" xfId="0" applyNumberFormat="1" applyFont="1" applyFill="1" applyBorder="1" applyAlignment="1">
      <alignment horizontal="center"/>
    </xf>
    <xf numFmtId="10" fontId="0" fillId="0" borderId="0" xfId="21" applyNumberFormat="1" applyFont="1" applyBorder="1" applyAlignment="1">
      <alignment horizontal="center"/>
    </xf>
    <xf numFmtId="165" fontId="0" fillId="2" borderId="16" xfId="0" applyNumberFormat="1" applyFont="1" applyFill="1" applyBorder="1" applyAlignment="1">
      <alignment horizontal="center"/>
    </xf>
    <xf numFmtId="0" fontId="8" fillId="2" borderId="15" xfId="0" applyFont="1" applyFill="1" applyBorder="1" applyAlignment="1">
      <alignment horizontal="center"/>
    </xf>
    <xf numFmtId="11" fontId="0" fillId="2" borderId="14" xfId="15" applyNumberFormat="1" applyFont="1" applyFill="1" applyBorder="1" applyAlignment="1">
      <alignment horizontal="center"/>
    </xf>
    <xf numFmtId="10" fontId="0" fillId="2" borderId="14" xfId="21" applyNumberFormat="1" applyFont="1" applyFill="1" applyBorder="1" applyAlignment="1">
      <alignment horizontal="center"/>
    </xf>
    <xf numFmtId="1" fontId="0" fillId="2" borderId="14" xfId="21" applyNumberFormat="1" applyFont="1" applyFill="1" applyBorder="1" applyAlignment="1">
      <alignment horizontal="center"/>
    </xf>
    <xf numFmtId="11" fontId="0" fillId="2" borderId="14" xfId="0" applyNumberFormat="1" applyFont="1" applyFill="1" applyBorder="1" applyAlignment="1">
      <alignment horizontal="center"/>
    </xf>
    <xf numFmtId="165" fontId="0" fillId="2" borderId="13" xfId="0" applyNumberFormat="1" applyFont="1" applyFill="1" applyBorder="1" applyAlignment="1">
      <alignment horizontal="center"/>
    </xf>
    <xf numFmtId="0" fontId="8" fillId="0" borderId="32" xfId="0" applyFont="1" applyBorder="1" applyAlignment="1">
      <alignment horizontal="center" vertical="center" wrapText="1"/>
    </xf>
    <xf numFmtId="0" fontId="8" fillId="0" borderId="32" xfId="0" applyFont="1" applyFill="1" applyBorder="1" applyAlignment="1">
      <alignment horizontal="center" vertical="center" wrapText="1"/>
    </xf>
    <xf numFmtId="0" fontId="8" fillId="0" borderId="19" xfId="0" applyFont="1" applyBorder="1" applyAlignment="1">
      <alignment horizontal="center" vertical="center" wrapText="1"/>
    </xf>
    <xf numFmtId="0" fontId="8" fillId="0" borderId="15" xfId="0" applyFont="1" applyBorder="1" applyAlignment="1">
      <alignment horizontal="center" vertical="center" wrapText="1"/>
    </xf>
    <xf numFmtId="11" fontId="0" fillId="0" borderId="0" xfId="0" applyNumberFormat="1" applyFont="1" applyBorder="1" applyAlignment="1">
      <alignment horizontal="center" vertical="center" wrapText="1"/>
    </xf>
    <xf numFmtId="9" fontId="0" fillId="0" borderId="0" xfId="21" applyFont="1" applyFill="1" applyBorder="1" applyAlignment="1">
      <alignment horizontal="center"/>
    </xf>
    <xf numFmtId="11" fontId="0" fillId="0" borderId="14" xfId="15" applyNumberFormat="1" applyFont="1" applyFill="1" applyBorder="1" applyAlignment="1">
      <alignment horizontal="center"/>
    </xf>
    <xf numFmtId="11" fontId="0" fillId="0" borderId="14" xfId="0" applyNumberFormat="1" applyFont="1" applyFill="1" applyBorder="1" applyAlignment="1">
      <alignment horizontal="center"/>
    </xf>
    <xf numFmtId="0" fontId="0" fillId="0" borderId="14" xfId="0" applyFont="1" applyFill="1" applyBorder="1" applyAlignment="1">
      <alignment horizontal="center"/>
    </xf>
    <xf numFmtId="9" fontId="0" fillId="0" borderId="14" xfId="21" applyFont="1" applyFill="1" applyBorder="1" applyAlignment="1">
      <alignment horizontal="center"/>
    </xf>
    <xf numFmtId="1" fontId="0" fillId="0" borderId="14" xfId="21" applyNumberFormat="1" applyFont="1" applyFill="1" applyBorder="1" applyAlignment="1">
      <alignment horizontal="center"/>
    </xf>
    <xf numFmtId="0" fontId="8" fillId="2" borderId="19" xfId="0" applyFont="1" applyFill="1" applyBorder="1" applyAlignment="1">
      <alignment horizontal="center" vertical="center" wrapText="1"/>
    </xf>
    <xf numFmtId="11" fontId="0" fillId="2" borderId="0" xfId="15" applyNumberFormat="1" applyFont="1" applyFill="1" applyBorder="1" applyAlignment="1">
      <alignment horizontal="center"/>
    </xf>
    <xf numFmtId="11" fontId="0" fillId="2" borderId="0" xfId="0" applyNumberFormat="1" applyFont="1" applyFill="1" applyBorder="1" applyAlignment="1">
      <alignment horizontal="center"/>
    </xf>
    <xf numFmtId="9" fontId="0" fillId="2" borderId="0" xfId="21" applyFont="1" applyFill="1" applyBorder="1" applyAlignment="1">
      <alignment horizontal="center"/>
    </xf>
    <xf numFmtId="1" fontId="0" fillId="2" borderId="0" xfId="21" applyNumberFormat="1" applyFont="1" applyFill="1" applyBorder="1" applyAlignment="1">
      <alignment horizontal="center"/>
    </xf>
    <xf numFmtId="0" fontId="0" fillId="0" borderId="16" xfId="0" applyBorder="1" applyAlignment="1">
      <alignment horizontal="center"/>
    </xf>
    <xf numFmtId="11" fontId="0" fillId="0" borderId="0" xfId="15" applyNumberFormat="1" applyFont="1" applyFill="1" applyBorder="1" applyAlignment="1">
      <alignment horizontal="center"/>
    </xf>
    <xf numFmtId="11" fontId="0" fillId="0" borderId="0" xfId="0" applyNumberFormat="1" applyFill="1" applyBorder="1" applyAlignment="1">
      <alignment horizontal="center"/>
    </xf>
    <xf numFmtId="2" fontId="0" fillId="0" borderId="16" xfId="0" applyNumberFormat="1" applyFill="1" applyBorder="1" applyAlignment="1">
      <alignment horizontal="center"/>
    </xf>
    <xf numFmtId="2" fontId="0" fillId="2" borderId="16" xfId="0" applyNumberFormat="1" applyFill="1" applyBorder="1" applyAlignment="1">
      <alignment horizontal="center"/>
    </xf>
    <xf numFmtId="11" fontId="8" fillId="0" borderId="0" xfId="15" applyNumberFormat="1" applyFont="1" applyFill="1" applyBorder="1" applyAlignment="1">
      <alignment horizontal="center"/>
    </xf>
    <xf numFmtId="11" fontId="8" fillId="0" borderId="0" xfId="0" applyNumberFormat="1" applyFont="1" applyFill="1" applyBorder="1" applyAlignment="1">
      <alignment horizontal="center"/>
    </xf>
    <xf numFmtId="11" fontId="0" fillId="0" borderId="14" xfId="15" applyNumberFormat="1" applyFont="1" applyFill="1" applyBorder="1" applyAlignment="1">
      <alignment horizontal="center"/>
    </xf>
    <xf numFmtId="11" fontId="0" fillId="0" borderId="14" xfId="0" applyNumberFormat="1" applyFill="1" applyBorder="1" applyAlignment="1">
      <alignment horizontal="center"/>
    </xf>
    <xf numFmtId="2" fontId="0" fillId="2" borderId="13" xfId="0" applyNumberFormat="1" applyFill="1" applyBorder="1" applyAlignment="1">
      <alignment horizontal="center"/>
    </xf>
    <xf numFmtId="2" fontId="0" fillId="0" borderId="16" xfId="0" applyNumberFormat="1" applyBorder="1" applyAlignment="1">
      <alignment horizontal="center"/>
    </xf>
    <xf numFmtId="0" fontId="8" fillId="2" borderId="19" xfId="0" applyFont="1" applyFill="1" applyBorder="1" applyAlignment="1">
      <alignment horizontal="center"/>
    </xf>
    <xf numFmtId="169" fontId="0" fillId="5" borderId="0" xfId="0" applyNumberFormat="1" applyFill="1" applyAlignment="1">
      <alignment/>
    </xf>
    <xf numFmtId="164" fontId="0" fillId="5" borderId="0" xfId="15" applyNumberFormat="1" applyFont="1" applyFill="1" applyAlignment="1">
      <alignment/>
    </xf>
    <xf numFmtId="0" fontId="8" fillId="7" borderId="23" xfId="0" applyFont="1" applyFill="1" applyBorder="1" applyAlignment="1">
      <alignment/>
    </xf>
    <xf numFmtId="0" fontId="0" fillId="7" borderId="23" xfId="0" applyFont="1" applyFill="1" applyBorder="1" applyAlignment="1">
      <alignment/>
    </xf>
    <xf numFmtId="0" fontId="0" fillId="7" borderId="22" xfId="0" applyFont="1" applyFill="1" applyBorder="1" applyAlignment="1">
      <alignment/>
    </xf>
    <xf numFmtId="169" fontId="0" fillId="5" borderId="0" xfId="0" applyNumberFormat="1" applyFill="1" applyBorder="1" applyAlignment="1">
      <alignment/>
    </xf>
    <xf numFmtId="0" fontId="1" fillId="7" borderId="15" xfId="20" applyNumberFormat="1" applyFill="1" applyBorder="1" applyAlignment="1" applyProtection="1">
      <alignment vertical="center" wrapText="1"/>
      <protection/>
    </xf>
    <xf numFmtId="0" fontId="23" fillId="0" borderId="0" xfId="0" applyFont="1" applyAlignment="1">
      <alignment/>
    </xf>
    <xf numFmtId="0" fontId="24" fillId="0" borderId="0" xfId="0" applyFont="1" applyAlignment="1">
      <alignment/>
    </xf>
    <xf numFmtId="0" fontId="23" fillId="0" borderId="0" xfId="0" applyFont="1" applyAlignment="1">
      <alignment horizontal="left" indent="3"/>
    </xf>
    <xf numFmtId="0" fontId="26" fillId="0" borderId="0" xfId="20" applyFont="1" applyAlignment="1" applyProtection="1">
      <alignment/>
      <protection/>
    </xf>
    <xf numFmtId="0" fontId="0" fillId="0" borderId="0" xfId="0" applyFont="1" applyFill="1" applyBorder="1" applyAlignment="1">
      <alignment horizontal="center" wrapText="1"/>
    </xf>
    <xf numFmtId="165" fontId="0" fillId="2" borderId="5" xfId="21" applyNumberFormat="1" applyFont="1" applyFill="1" applyBorder="1" applyAlignment="1">
      <alignment horizontal="center"/>
    </xf>
    <xf numFmtId="165" fontId="8" fillId="2" borderId="5" xfId="21" applyNumberFormat="1" applyFont="1" applyFill="1" applyBorder="1" applyAlignment="1">
      <alignment horizontal="center"/>
    </xf>
    <xf numFmtId="0" fontId="0" fillId="3" borderId="0" xfId="0" applyFont="1" applyFill="1" applyAlignment="1">
      <alignment vertical="center" wrapText="1"/>
    </xf>
    <xf numFmtId="2" fontId="0" fillId="3" borderId="0" xfId="0" applyNumberFormat="1" applyFont="1" applyFill="1" applyAlignment="1">
      <alignment wrapText="1"/>
    </xf>
    <xf numFmtId="0" fontId="0" fillId="0" borderId="1" xfId="0" applyBorder="1" applyAlignment="1">
      <alignment/>
    </xf>
    <xf numFmtId="0" fontId="0" fillId="3" borderId="0" xfId="0" applyFont="1" applyFill="1" applyBorder="1" applyAlignment="1">
      <alignment vertical="center" wrapText="1"/>
    </xf>
    <xf numFmtId="0" fontId="1" fillId="7" borderId="19" xfId="20" applyNumberFormat="1" applyFill="1" applyBorder="1" applyAlignment="1" applyProtection="1">
      <alignment horizontal="left" vertical="center"/>
      <protection/>
    </xf>
    <xf numFmtId="0" fontId="1" fillId="7" borderId="19" xfId="20" applyFill="1" applyBorder="1" applyAlignment="1" applyProtection="1">
      <alignment horizontal="left" vertical="center"/>
      <protection/>
    </xf>
    <xf numFmtId="0" fontId="8" fillId="7" borderId="21" xfId="0" applyNumberFormat="1" applyFont="1" applyFill="1" applyBorder="1" applyAlignment="1">
      <alignment vertical="center"/>
    </xf>
    <xf numFmtId="0" fontId="8" fillId="7" borderId="19" xfId="0" applyNumberFormat="1" applyFont="1" applyFill="1" applyBorder="1" applyAlignment="1">
      <alignment vertical="center"/>
    </xf>
    <xf numFmtId="0" fontId="0" fillId="7" borderId="15" xfId="0" applyNumberFormat="1" applyFill="1" applyBorder="1" applyAlignment="1">
      <alignment vertical="center"/>
    </xf>
    <xf numFmtId="0" fontId="1" fillId="7" borderId="19" xfId="20" applyNumberFormat="1" applyFill="1" applyBorder="1" applyAlignment="1" applyProtection="1">
      <alignment vertical="center"/>
      <protection/>
    </xf>
    <xf numFmtId="0" fontId="1" fillId="7" borderId="19" xfId="20" applyNumberFormat="1" applyFill="1" applyBorder="1" applyAlignment="1" applyProtection="1">
      <alignment vertical="center" wrapText="1"/>
      <protection/>
    </xf>
    <xf numFmtId="0" fontId="1" fillId="0" borderId="0" xfId="20" applyFill="1" applyBorder="1" applyAlignment="1" applyProtection="1">
      <alignment horizontal="right" vertical="center"/>
      <protection/>
    </xf>
    <xf numFmtId="0" fontId="2" fillId="2" borderId="1" xfId="20" applyFont="1" applyFill="1" applyBorder="1" applyAlignment="1" applyProtection="1">
      <alignment/>
      <protection/>
    </xf>
    <xf numFmtId="0" fontId="2" fillId="0" borderId="1" xfId="20" applyFont="1" applyBorder="1" applyAlignment="1" applyProtection="1">
      <alignment/>
      <protection/>
    </xf>
    <xf numFmtId="9" fontId="0" fillId="0" borderId="0" xfId="21" applyFont="1" applyAlignment="1">
      <alignment/>
    </xf>
    <xf numFmtId="43" fontId="0" fillId="4" borderId="0" xfId="0" applyNumberFormat="1" applyFill="1" applyAlignment="1">
      <alignment/>
    </xf>
    <xf numFmtId="43" fontId="0" fillId="4" borderId="0" xfId="0" applyNumberFormat="1" applyFill="1" applyBorder="1" applyAlignment="1">
      <alignment/>
    </xf>
    <xf numFmtId="43" fontId="0" fillId="8" borderId="0" xfId="0" applyNumberFormat="1" applyFill="1" applyAlignment="1">
      <alignment/>
    </xf>
    <xf numFmtId="43" fontId="0" fillId="4" borderId="3" xfId="0" applyNumberFormat="1" applyFill="1" applyBorder="1" applyAlignment="1">
      <alignment/>
    </xf>
    <xf numFmtId="164" fontId="0" fillId="4" borderId="0" xfId="15" applyNumberFormat="1" applyFont="1" applyFill="1" applyAlignment="1">
      <alignment/>
    </xf>
    <xf numFmtId="0" fontId="8" fillId="8" borderId="20" xfId="0" applyNumberFormat="1" applyFont="1" applyFill="1" applyBorder="1" applyAlignment="1">
      <alignment vertical="center" wrapText="1"/>
    </xf>
    <xf numFmtId="0" fontId="0" fillId="8" borderId="20" xfId="0" applyFont="1" applyFill="1" applyBorder="1" applyAlignment="1">
      <alignment vertical="center" wrapText="1"/>
    </xf>
    <xf numFmtId="0" fontId="8" fillId="0" borderId="0" xfId="0" applyFont="1" applyFill="1" applyAlignment="1">
      <alignment/>
    </xf>
    <xf numFmtId="0" fontId="8" fillId="7" borderId="20" xfId="0" applyNumberFormat="1" applyFont="1" applyFill="1" applyBorder="1" applyAlignment="1">
      <alignment vertical="center" wrapText="1"/>
    </xf>
    <xf numFmtId="0" fontId="0" fillId="7" borderId="20" xfId="0" applyFont="1" applyFill="1" applyBorder="1" applyAlignment="1">
      <alignment vertical="center" wrapText="1"/>
    </xf>
    <xf numFmtId="0" fontId="1" fillId="8" borderId="23" xfId="20" applyFill="1" applyBorder="1" applyAlignment="1" applyProtection="1">
      <alignment/>
      <protection/>
    </xf>
    <xf numFmtId="0" fontId="0" fillId="8" borderId="23" xfId="0" applyFont="1" applyFill="1" applyBorder="1" applyAlignment="1">
      <alignment/>
    </xf>
    <xf numFmtId="10" fontId="0" fillId="4" borderId="0" xfId="0" applyNumberFormat="1" applyFill="1" applyAlignment="1">
      <alignment horizontal="center"/>
    </xf>
    <xf numFmtId="43" fontId="0" fillId="0" borderId="0" xfId="0" applyNumberFormat="1" applyFill="1" applyAlignment="1">
      <alignment/>
    </xf>
    <xf numFmtId="0" fontId="0" fillId="0" borderId="23" xfId="0" applyFont="1" applyFill="1" applyBorder="1" applyAlignment="1">
      <alignment horizontal="right" vertical="center"/>
    </xf>
    <xf numFmtId="0" fontId="0" fillId="0" borderId="22" xfId="0" applyFont="1" applyFill="1" applyBorder="1" applyAlignment="1">
      <alignment horizontal="right" vertical="center"/>
    </xf>
    <xf numFmtId="0" fontId="0" fillId="7" borderId="16" xfId="0" applyFont="1" applyFill="1" applyBorder="1" applyAlignment="1">
      <alignment vertical="center" wrapText="1"/>
    </xf>
    <xf numFmtId="0" fontId="8" fillId="7" borderId="17" xfId="0" applyFont="1" applyFill="1" applyBorder="1" applyAlignment="1">
      <alignment vertical="center" wrapText="1"/>
    </xf>
    <xf numFmtId="0" fontId="0" fillId="0" borderId="0" xfId="0" applyNumberFormat="1" applyBorder="1" applyAlignment="1">
      <alignment vertical="center" wrapText="1"/>
    </xf>
    <xf numFmtId="0" fontId="0" fillId="0" borderId="0" xfId="0" applyBorder="1" applyAlignment="1">
      <alignment vertical="center" wrapText="1"/>
    </xf>
    <xf numFmtId="0" fontId="8" fillId="0" borderId="0" xfId="0" applyNumberFormat="1" applyFont="1" applyBorder="1" applyAlignment="1">
      <alignment vertical="center" wrapText="1"/>
    </xf>
    <xf numFmtId="0" fontId="1" fillId="7" borderId="15" xfId="20" applyFill="1" applyBorder="1" applyAlignment="1" applyProtection="1">
      <alignment horizontal="left"/>
      <protection/>
    </xf>
    <xf numFmtId="0" fontId="0" fillId="7" borderId="14" xfId="0" applyFill="1" applyBorder="1" applyAlignment="1">
      <alignment horizontal="left"/>
    </xf>
    <xf numFmtId="0" fontId="0" fillId="7" borderId="13" xfId="0" applyFill="1" applyBorder="1" applyAlignment="1">
      <alignment horizontal="left"/>
    </xf>
    <xf numFmtId="0" fontId="1" fillId="7" borderId="15" xfId="20" applyNumberFormat="1" applyFont="1" applyFill="1" applyBorder="1" applyAlignment="1" applyProtection="1">
      <alignment vertical="center" wrapText="1"/>
      <protection/>
    </xf>
    <xf numFmtId="0" fontId="0" fillId="7" borderId="14" xfId="0" applyNumberFormat="1" applyFill="1" applyBorder="1" applyAlignment="1">
      <alignment vertical="center" wrapText="1"/>
    </xf>
    <xf numFmtId="0" fontId="0" fillId="7" borderId="0" xfId="0" applyNumberFormat="1" applyFill="1" applyBorder="1" applyAlignment="1">
      <alignment vertical="center" wrapText="1"/>
    </xf>
    <xf numFmtId="0" fontId="1" fillId="7" borderId="15" xfId="20" applyFill="1" applyBorder="1" applyAlignment="1" applyProtection="1">
      <alignment wrapText="1"/>
      <protection/>
    </xf>
    <xf numFmtId="0" fontId="0" fillId="7" borderId="14" xfId="0" applyFill="1" applyBorder="1" applyAlignment="1">
      <alignment wrapText="1"/>
    </xf>
    <xf numFmtId="0" fontId="0" fillId="7" borderId="13" xfId="0" applyFill="1" applyBorder="1" applyAlignment="1">
      <alignment/>
    </xf>
    <xf numFmtId="0" fontId="8" fillId="7" borderId="16" xfId="0" applyNumberFormat="1" applyFont="1" applyFill="1" applyBorder="1" applyAlignment="1">
      <alignment vertical="center" wrapText="1"/>
    </xf>
    <xf numFmtId="0" fontId="0" fillId="7" borderId="16" xfId="0" applyNumberFormat="1" applyFill="1" applyBorder="1" applyAlignment="1">
      <alignment vertical="center" wrapText="1"/>
    </xf>
    <xf numFmtId="0" fontId="2" fillId="9" borderId="0" xfId="20" applyFont="1" applyFill="1" applyAlignment="1" applyProtection="1">
      <alignment horizontal="center" wrapText="1"/>
      <protection/>
    </xf>
    <xf numFmtId="0" fontId="2" fillId="9" borderId="0" xfId="20" applyFont="1" applyFill="1" applyAlignment="1" applyProtection="1">
      <alignment horizontal="center"/>
      <protection/>
    </xf>
    <xf numFmtId="0" fontId="1" fillId="0" borderId="0" xfId="20" applyBorder="1" applyAlignment="1" applyProtection="1">
      <alignment/>
      <protection/>
    </xf>
    <xf numFmtId="0" fontId="0" fillId="0" borderId="0" xfId="0" applyBorder="1" applyAlignment="1">
      <alignment/>
    </xf>
    <xf numFmtId="0" fontId="0" fillId="7" borderId="0" xfId="0" applyFont="1" applyFill="1" applyBorder="1" applyAlignment="1">
      <alignment vertical="center" wrapText="1"/>
    </xf>
    <xf numFmtId="0" fontId="1" fillId="7" borderId="15" xfId="20" applyFont="1" applyFill="1" applyBorder="1" applyAlignment="1" applyProtection="1">
      <alignment vertical="center" wrapText="1"/>
      <protection/>
    </xf>
    <xf numFmtId="0" fontId="8" fillId="0" borderId="24" xfId="0" applyFont="1" applyFill="1" applyBorder="1" applyAlignment="1">
      <alignment horizontal="right" vertical="center"/>
    </xf>
    <xf numFmtId="0" fontId="1" fillId="7" borderId="15" xfId="20" applyFill="1" applyBorder="1" applyAlignment="1" applyProtection="1">
      <alignment/>
      <protection/>
    </xf>
    <xf numFmtId="0" fontId="1" fillId="7" borderId="14" xfId="20" applyFill="1" applyBorder="1" applyAlignment="1" applyProtection="1">
      <alignment/>
      <protection/>
    </xf>
    <xf numFmtId="0" fontId="8" fillId="7" borderId="18" xfId="0" applyNumberFormat="1" applyFont="1" applyFill="1" applyBorder="1" applyAlignment="1">
      <alignment vertical="center" wrapText="1"/>
    </xf>
    <xf numFmtId="0" fontId="0" fillId="7" borderId="14" xfId="0" applyFill="1" applyBorder="1" applyAlignment="1">
      <alignment/>
    </xf>
    <xf numFmtId="0" fontId="8" fillId="7" borderId="0" xfId="0" applyNumberFormat="1" applyFont="1" applyFill="1" applyBorder="1" applyAlignment="1">
      <alignment vertical="center" wrapText="1"/>
    </xf>
    <xf numFmtId="0" fontId="6" fillId="0" borderId="33" xfId="0" applyFont="1" applyBorder="1" applyAlignment="1">
      <alignment horizontal="center" vertical="center"/>
    </xf>
    <xf numFmtId="0" fontId="6" fillId="0" borderId="0" xfId="0" applyFont="1" applyAlignment="1">
      <alignment horizontal="center" vertical="center"/>
    </xf>
    <xf numFmtId="0" fontId="8" fillId="7" borderId="21" xfId="0" applyNumberFormat="1" applyFont="1" applyFill="1" applyBorder="1" applyAlignment="1">
      <alignment vertical="center" wrapText="1"/>
    </xf>
    <xf numFmtId="0" fontId="0" fillId="7" borderId="18" xfId="0" applyFill="1" applyBorder="1" applyAlignment="1">
      <alignment vertical="center" wrapText="1"/>
    </xf>
    <xf numFmtId="0" fontId="8" fillId="7" borderId="19" xfId="0" applyNumberFormat="1" applyFont="1" applyFill="1" applyBorder="1" applyAlignment="1">
      <alignment vertical="center" wrapText="1"/>
    </xf>
    <xf numFmtId="0" fontId="0" fillId="7" borderId="0" xfId="0" applyFill="1" applyBorder="1" applyAlignment="1">
      <alignment vertical="center" wrapText="1"/>
    </xf>
    <xf numFmtId="0" fontId="0" fillId="7" borderId="19" xfId="0" applyNumberFormat="1" applyFill="1" applyBorder="1" applyAlignment="1">
      <alignment vertical="center" wrapText="1"/>
    </xf>
    <xf numFmtId="0" fontId="8" fillId="7" borderId="0" xfId="0" applyFont="1" applyFill="1" applyBorder="1" applyAlignment="1">
      <alignment vertical="center" wrapText="1"/>
    </xf>
    <xf numFmtId="0" fontId="0" fillId="7" borderId="19" xfId="0" applyFill="1" applyBorder="1" applyAlignment="1">
      <alignment vertical="center" wrapText="1"/>
    </xf>
    <xf numFmtId="0" fontId="1" fillId="7" borderId="15" xfId="20" applyNumberFormat="1" applyFill="1" applyBorder="1" applyAlignment="1" applyProtection="1">
      <alignment vertical="center" wrapText="1"/>
      <protection/>
    </xf>
    <xf numFmtId="0" fontId="0" fillId="7" borderId="14" xfId="0" applyFill="1" applyBorder="1" applyAlignment="1">
      <alignment vertical="center" wrapText="1"/>
    </xf>
    <xf numFmtId="0" fontId="11" fillId="4" borderId="20" xfId="0" applyFont="1" applyFill="1" applyBorder="1" applyAlignment="1">
      <alignment horizontal="center" vertical="center"/>
    </xf>
    <xf numFmtId="0" fontId="10" fillId="4" borderId="20" xfId="0" applyFont="1" applyFill="1" applyBorder="1" applyAlignment="1">
      <alignment horizontal="center" vertical="center"/>
    </xf>
    <xf numFmtId="0" fontId="0" fillId="7" borderId="17" xfId="0" applyFill="1" applyBorder="1" applyAlignment="1">
      <alignment vertical="center" wrapText="1"/>
    </xf>
    <xf numFmtId="0" fontId="0" fillId="7" borderId="16" xfId="0" applyFill="1" applyBorder="1" applyAlignment="1">
      <alignment vertical="center" wrapText="1"/>
    </xf>
    <xf numFmtId="0" fontId="1" fillId="7" borderId="15" xfId="20" applyFill="1" applyBorder="1" applyAlignment="1" applyProtection="1">
      <alignment vertical="center" wrapText="1"/>
      <protection/>
    </xf>
    <xf numFmtId="0" fontId="0" fillId="7" borderId="13" xfId="0" applyFill="1" applyBorder="1" applyAlignment="1">
      <alignment vertical="center" wrapText="1"/>
    </xf>
    <xf numFmtId="0" fontId="8" fillId="7" borderId="21" xfId="0" applyFont="1" applyFill="1" applyBorder="1" applyAlignment="1">
      <alignment vertical="center" wrapText="1"/>
    </xf>
    <xf numFmtId="0" fontId="8" fillId="7" borderId="18" xfId="0" applyFont="1" applyFill="1" applyBorder="1" applyAlignment="1">
      <alignment vertical="center" wrapText="1"/>
    </xf>
    <xf numFmtId="0" fontId="0" fillId="7" borderId="18" xfId="0" applyFill="1" applyBorder="1" applyAlignment="1">
      <alignment/>
    </xf>
    <xf numFmtId="0" fontId="0" fillId="7" borderId="17" xfId="0" applyFill="1" applyBorder="1" applyAlignment="1">
      <alignment/>
    </xf>
    <xf numFmtId="0" fontId="0" fillId="7" borderId="19" xfId="0" applyFont="1" applyFill="1" applyBorder="1" applyAlignment="1">
      <alignment vertical="center" wrapText="1"/>
    </xf>
    <xf numFmtId="0" fontId="0" fillId="7" borderId="0" xfId="0" applyFill="1" applyBorder="1" applyAlignment="1">
      <alignment/>
    </xf>
    <xf numFmtId="0" fontId="0" fillId="7" borderId="16" xfId="0" applyFill="1" applyBorder="1" applyAlignment="1">
      <alignment/>
    </xf>
    <xf numFmtId="0" fontId="8" fillId="7" borderId="19" xfId="0" applyFont="1" applyFill="1" applyBorder="1" applyAlignment="1">
      <alignment vertical="center" wrapText="1"/>
    </xf>
    <xf numFmtId="0" fontId="1" fillId="7" borderId="15" xfId="20" applyFill="1" applyBorder="1" applyAlignment="1" applyProtection="1">
      <alignment horizontal="center"/>
      <protection/>
    </xf>
    <xf numFmtId="0" fontId="0" fillId="7" borderId="0" xfId="0" applyFont="1" applyFill="1" applyBorder="1" applyAlignment="1">
      <alignment/>
    </xf>
    <xf numFmtId="0" fontId="0" fillId="7" borderId="16" xfId="0" applyFont="1" applyFill="1" applyBorder="1" applyAlignment="1">
      <alignment/>
    </xf>
    <xf numFmtId="0" fontId="1" fillId="7" borderId="15" xfId="20" applyFont="1" applyFill="1" applyBorder="1" applyAlignment="1" applyProtection="1">
      <alignment/>
      <protection/>
    </xf>
    <xf numFmtId="0" fontId="0" fillId="0" borderId="0" xfId="0" applyFill="1" applyBorder="1" applyAlignment="1">
      <alignment/>
    </xf>
    <xf numFmtId="0" fontId="1" fillId="0" borderId="0" xfId="20" applyFill="1" applyAlignment="1" applyProtection="1">
      <alignment/>
      <protection/>
    </xf>
    <xf numFmtId="0" fontId="11" fillId="4" borderId="0" xfId="0" applyFont="1" applyFill="1" applyBorder="1" applyAlignment="1">
      <alignment horizontal="center" vertical="center"/>
    </xf>
    <xf numFmtId="0" fontId="1" fillId="0" borderId="14" xfId="20" applyFill="1" applyBorder="1" applyAlignment="1" applyProtection="1">
      <alignment/>
      <protection/>
    </xf>
    <xf numFmtId="0" fontId="0" fillId="0" borderId="14" xfId="0" applyFont="1" applyFill="1" applyBorder="1" applyAlignment="1">
      <alignment/>
    </xf>
    <xf numFmtId="0" fontId="14" fillId="7" borderId="0" xfId="0" applyFont="1" applyFill="1" applyAlignment="1">
      <alignment wrapText="1"/>
    </xf>
    <xf numFmtId="0" fontId="0" fillId="7" borderId="0" xfId="0" applyFill="1" applyAlignment="1">
      <alignment wrapText="1"/>
    </xf>
    <xf numFmtId="0" fontId="8" fillId="7" borderId="24" xfId="0" applyNumberFormat="1" applyFont="1" applyFill="1" applyBorder="1" applyAlignment="1">
      <alignment vertical="center" wrapText="1"/>
    </xf>
    <xf numFmtId="0" fontId="8" fillId="7" borderId="23" xfId="0" applyNumberFormat="1" applyFont="1" applyFill="1" applyBorder="1" applyAlignment="1">
      <alignment vertical="center" wrapText="1"/>
    </xf>
    <xf numFmtId="0" fontId="0" fillId="7" borderId="24" xfId="0" applyNumberFormat="1" applyFont="1" applyFill="1" applyBorder="1" applyAlignment="1">
      <alignment horizontal="left" wrapText="1"/>
    </xf>
    <xf numFmtId="0" fontId="0" fillId="7" borderId="23" xfId="0" applyNumberFormat="1" applyFont="1" applyFill="1" applyBorder="1" applyAlignment="1">
      <alignment horizontal="left" wrapText="1"/>
    </xf>
    <xf numFmtId="0" fontId="0" fillId="7" borderId="22" xfId="0" applyNumberFormat="1" applyFont="1" applyFill="1" applyBorder="1" applyAlignment="1">
      <alignment horizontal="left" wrapText="1"/>
    </xf>
    <xf numFmtId="0" fontId="0" fillId="7" borderId="24" xfId="0" applyNumberFormat="1" applyFont="1" applyFill="1" applyBorder="1" applyAlignment="1">
      <alignment horizontal="left" vertical="center" wrapText="1"/>
    </xf>
    <xf numFmtId="0" fontId="0" fillId="7" borderId="23" xfId="0" applyNumberFormat="1" applyFont="1" applyFill="1" applyBorder="1" applyAlignment="1">
      <alignment horizontal="left" vertical="center" wrapText="1"/>
    </xf>
    <xf numFmtId="0" fontId="0" fillId="7" borderId="22" xfId="0" applyNumberFormat="1" applyFont="1" applyFill="1" applyBorder="1" applyAlignment="1">
      <alignment horizontal="left" vertical="center" wrapText="1"/>
    </xf>
    <xf numFmtId="0" fontId="8" fillId="8" borderId="24" xfId="0" applyNumberFormat="1" applyFont="1" applyFill="1" applyBorder="1" applyAlignment="1">
      <alignment vertical="center" wrapText="1"/>
    </xf>
    <xf numFmtId="0" fontId="8" fillId="8" borderId="23" xfId="0" applyNumberFormat="1" applyFont="1" applyFill="1" applyBorder="1" applyAlignment="1">
      <alignment vertical="center" wrapText="1"/>
    </xf>
    <xf numFmtId="0" fontId="8" fillId="8" borderId="22" xfId="0" applyNumberFormat="1" applyFont="1" applyFill="1" applyBorder="1" applyAlignment="1">
      <alignment vertical="center" wrapText="1"/>
    </xf>
    <xf numFmtId="0" fontId="8" fillId="7" borderId="22" xfId="0" applyNumberFormat="1" applyFont="1" applyFill="1" applyBorder="1" applyAlignment="1">
      <alignment vertical="center" wrapText="1"/>
    </xf>
    <xf numFmtId="0" fontId="0" fillId="7" borderId="24" xfId="0" applyNumberFormat="1" applyFill="1" applyBorder="1" applyAlignment="1">
      <alignment vertical="center" wrapText="1"/>
    </xf>
    <xf numFmtId="0" fontId="0" fillId="7" borderId="23" xfId="0" applyNumberFormat="1" applyFill="1" applyBorder="1" applyAlignment="1">
      <alignment vertical="center" wrapText="1"/>
    </xf>
    <xf numFmtId="0" fontId="0" fillId="7" borderId="22" xfId="0" applyNumberFormat="1" applyFill="1" applyBorder="1" applyAlignment="1">
      <alignment vertical="center" wrapText="1"/>
    </xf>
    <xf numFmtId="0" fontId="1" fillId="8" borderId="23" xfId="20" applyFill="1" applyBorder="1" applyAlignment="1" applyProtection="1">
      <alignment/>
      <protection/>
    </xf>
    <xf numFmtId="0" fontId="8" fillId="0" borderId="23" xfId="0" applyFont="1" applyFill="1" applyBorder="1" applyAlignment="1">
      <alignment horizontal="right" vertical="center"/>
    </xf>
    <xf numFmtId="0" fontId="8" fillId="0" borderId="22" xfId="0" applyFont="1" applyFill="1" applyBorder="1" applyAlignment="1">
      <alignment horizontal="right" vertical="center"/>
    </xf>
    <xf numFmtId="0" fontId="0" fillId="0" borderId="18" xfId="0" applyBorder="1" applyAlignment="1">
      <alignment/>
    </xf>
    <xf numFmtId="0" fontId="0" fillId="0" borderId="17" xfId="0" applyBorder="1" applyAlignment="1">
      <alignment/>
    </xf>
    <xf numFmtId="0" fontId="0" fillId="7" borderId="19" xfId="0" applyNumberFormat="1" applyFont="1" applyFill="1" applyBorder="1" applyAlignment="1">
      <alignment vertical="center" wrapText="1"/>
    </xf>
    <xf numFmtId="0" fontId="0" fillId="0" borderId="0" xfId="0" applyAlignment="1">
      <alignment/>
    </xf>
    <xf numFmtId="0" fontId="0" fillId="0" borderId="16" xfId="0" applyBorder="1" applyAlignment="1">
      <alignment/>
    </xf>
    <xf numFmtId="0" fontId="8" fillId="0" borderId="20" xfId="0" applyFont="1" applyFill="1" applyBorder="1" applyAlignment="1">
      <alignment horizontal="right" vertical="center"/>
    </xf>
    <xf numFmtId="0" fontId="0" fillId="0" borderId="20" xfId="0" applyFont="1" applyFill="1" applyBorder="1" applyAlignment="1">
      <alignment/>
    </xf>
    <xf numFmtId="0" fontId="0" fillId="7" borderId="14" xfId="0" applyFont="1" applyFill="1" applyBorder="1" applyAlignment="1">
      <alignment vertical="center" wrapText="1"/>
    </xf>
    <xf numFmtId="0" fontId="0" fillId="7" borderId="15" xfId="0" applyNumberFormat="1" applyFill="1" applyBorder="1" applyAlignment="1">
      <alignment vertical="center" wrapText="1"/>
    </xf>
    <xf numFmtId="0" fontId="0" fillId="0" borderId="0" xfId="0" applyBorder="1" applyAlignment="1">
      <alignment/>
    </xf>
    <xf numFmtId="0" fontId="0" fillId="7" borderId="13" xfId="0" applyNumberFormat="1" applyFill="1" applyBorder="1" applyAlignment="1">
      <alignment vertical="center" wrapText="1"/>
    </xf>
    <xf numFmtId="0" fontId="8" fillId="7" borderId="17" xfId="0" applyNumberFormat="1" applyFont="1" applyFill="1" applyBorder="1" applyAlignment="1">
      <alignment vertical="center" wrapText="1"/>
    </xf>
    <xf numFmtId="0" fontId="0" fillId="7" borderId="18" xfId="0" applyFont="1" applyFill="1" applyBorder="1" applyAlignment="1">
      <alignment vertical="center" wrapText="1"/>
    </xf>
    <xf numFmtId="0" fontId="0" fillId="7" borderId="17" xfId="0" applyFont="1" applyFill="1" applyBorder="1" applyAlignment="1">
      <alignment vertical="center" wrapText="1"/>
    </xf>
    <xf numFmtId="0" fontId="0" fillId="7" borderId="15" xfId="0" applyNumberFormat="1" applyFont="1" applyFill="1" applyBorder="1" applyAlignment="1">
      <alignment vertical="center" wrapText="1"/>
    </xf>
    <xf numFmtId="0" fontId="0" fillId="7" borderId="13" xfId="0" applyFont="1" applyFill="1" applyBorder="1" applyAlignment="1">
      <alignment vertical="center" wrapText="1"/>
    </xf>
    <xf numFmtId="0" fontId="0" fillId="0" borderId="23" xfId="0" applyFill="1" applyBorder="1" applyAlignment="1">
      <alignment horizontal="right" vertical="center"/>
    </xf>
    <xf numFmtId="0" fontId="0" fillId="0" borderId="22" xfId="0" applyFill="1" applyBorder="1" applyAlignment="1">
      <alignment horizontal="right" vertical="center"/>
    </xf>
    <xf numFmtId="0" fontId="0" fillId="0" borderId="20" xfId="0"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marker val="1"/>
        <c:axId val="20557490"/>
        <c:axId val="50799683"/>
      </c:lineChart>
      <c:catAx>
        <c:axId val="20557490"/>
        <c:scaling>
          <c:orientation val="minMax"/>
        </c:scaling>
        <c:axPos val="b"/>
        <c:delete val="0"/>
        <c:numFmt formatCode="General" sourceLinked="1"/>
        <c:majorTickMark val="out"/>
        <c:minorTickMark val="none"/>
        <c:tickLblPos val="nextTo"/>
        <c:spPr>
          <a:ln w="3175">
            <a:solidFill/>
          </a:ln>
        </c:spPr>
        <c:crossAx val="50799683"/>
        <c:crosses val="autoZero"/>
        <c:auto val="1"/>
        <c:lblOffset val="100"/>
        <c:tickLblSkip val="1"/>
        <c:noMultiLvlLbl val="0"/>
      </c:catAx>
      <c:valAx>
        <c:axId val="50799683"/>
        <c:scaling>
          <c:orientation val="minMax"/>
        </c:scaling>
        <c:axPos val="l"/>
        <c:majorGridlines>
          <c:spPr>
            <a:ln w="3175">
              <a:solidFill/>
            </a:ln>
          </c:spPr>
        </c:majorGridlines>
        <c:delete val="0"/>
        <c:numFmt formatCode="General" sourceLinked="1"/>
        <c:majorTickMark val="out"/>
        <c:minorTickMark val="none"/>
        <c:tickLblPos val="nextTo"/>
        <c:spPr>
          <a:ln w="3175">
            <a:solidFill/>
          </a:ln>
        </c:spPr>
        <c:crossAx val="2055749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marker val="1"/>
        <c:axId val="54543964"/>
        <c:axId val="21133629"/>
      </c:lineChart>
      <c:catAx>
        <c:axId val="54543964"/>
        <c:scaling>
          <c:orientation val="minMax"/>
        </c:scaling>
        <c:axPos val="b"/>
        <c:delete val="0"/>
        <c:numFmt formatCode="General" sourceLinked="1"/>
        <c:majorTickMark val="out"/>
        <c:minorTickMark val="none"/>
        <c:tickLblPos val="nextTo"/>
        <c:spPr>
          <a:ln w="3175">
            <a:solidFill/>
          </a:ln>
        </c:spPr>
        <c:crossAx val="21133629"/>
        <c:crosses val="autoZero"/>
        <c:auto val="1"/>
        <c:lblOffset val="100"/>
        <c:tickLblSkip val="1"/>
        <c:noMultiLvlLbl val="0"/>
      </c:catAx>
      <c:valAx>
        <c:axId val="21133629"/>
        <c:scaling>
          <c:orientation val="minMax"/>
        </c:scaling>
        <c:axPos val="l"/>
        <c:majorGridlines>
          <c:spPr>
            <a:ln w="3175">
              <a:solidFill/>
            </a:ln>
          </c:spPr>
        </c:majorGridlines>
        <c:delete val="0"/>
        <c:numFmt formatCode="General" sourceLinked="1"/>
        <c:majorTickMark val="out"/>
        <c:minorTickMark val="none"/>
        <c:tickLblPos val="nextTo"/>
        <c:spPr>
          <a:ln w="3175">
            <a:solidFill/>
          </a:ln>
        </c:spPr>
        <c:crossAx val="5454396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marker val="1"/>
        <c:axId val="55984934"/>
        <c:axId val="34102359"/>
      </c:lineChart>
      <c:catAx>
        <c:axId val="55984934"/>
        <c:scaling>
          <c:orientation val="minMax"/>
        </c:scaling>
        <c:axPos val="b"/>
        <c:delete val="0"/>
        <c:numFmt formatCode="General" sourceLinked="1"/>
        <c:majorTickMark val="out"/>
        <c:minorTickMark val="none"/>
        <c:tickLblPos val="nextTo"/>
        <c:spPr>
          <a:ln w="3175">
            <a:solidFill/>
          </a:ln>
        </c:spPr>
        <c:crossAx val="34102359"/>
        <c:crosses val="autoZero"/>
        <c:auto val="1"/>
        <c:lblOffset val="100"/>
        <c:tickLblSkip val="1"/>
        <c:noMultiLvlLbl val="0"/>
      </c:catAx>
      <c:valAx>
        <c:axId val="34102359"/>
        <c:scaling>
          <c:orientation val="minMax"/>
        </c:scaling>
        <c:axPos val="l"/>
        <c:majorGridlines>
          <c:spPr>
            <a:ln w="3175">
              <a:solidFill/>
            </a:ln>
          </c:spPr>
        </c:majorGridlines>
        <c:delete val="0"/>
        <c:numFmt formatCode="General" sourceLinked="1"/>
        <c:majorTickMark val="out"/>
        <c:minorTickMark val="none"/>
        <c:tickLblPos val="nextTo"/>
        <c:spPr>
          <a:ln w="3175">
            <a:solidFill/>
          </a:ln>
        </c:spPr>
        <c:crossAx val="5598493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marker val="1"/>
        <c:axId val="38485776"/>
        <c:axId val="10827665"/>
      </c:lineChart>
      <c:catAx>
        <c:axId val="38485776"/>
        <c:scaling>
          <c:orientation val="minMax"/>
        </c:scaling>
        <c:axPos val="b"/>
        <c:delete val="0"/>
        <c:numFmt formatCode="General" sourceLinked="1"/>
        <c:majorTickMark val="out"/>
        <c:minorTickMark val="none"/>
        <c:tickLblPos val="nextTo"/>
        <c:spPr>
          <a:ln w="3175">
            <a:solidFill/>
          </a:ln>
        </c:spPr>
        <c:crossAx val="10827665"/>
        <c:crosses val="autoZero"/>
        <c:auto val="1"/>
        <c:lblOffset val="100"/>
        <c:tickLblSkip val="1"/>
        <c:noMultiLvlLbl val="0"/>
      </c:catAx>
      <c:valAx>
        <c:axId val="10827665"/>
        <c:scaling>
          <c:orientation val="minMax"/>
        </c:scaling>
        <c:axPos val="l"/>
        <c:majorGridlines>
          <c:spPr>
            <a:ln w="3175">
              <a:solidFill/>
            </a:ln>
          </c:spPr>
        </c:majorGridlines>
        <c:delete val="0"/>
        <c:numFmt formatCode="General" sourceLinked="1"/>
        <c:majorTickMark val="out"/>
        <c:minorTickMark val="none"/>
        <c:tickLblPos val="nextTo"/>
        <c:spPr>
          <a:ln w="3175">
            <a:solidFill/>
          </a:ln>
        </c:spPr>
        <c:crossAx val="3848577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#REF!</c:f>
              <c:strCache>
                <c:ptCount val="1"/>
                <c:pt idx="0">
                  <c:v>1</c:v>
                </c:pt>
              </c:strCache>
            </c:strRef>
          </c:cat>
          <c:val>
            <c:numRef>
              <c:f>#REF!</c:f>
              <c:numCache>
                <c:ptCount val="1"/>
                <c:pt idx="0">
                  <c:v>1</c:v>
                </c:pt>
              </c:numCache>
            </c:numRef>
          </c:val>
          <c:smooth val="0"/>
        </c:ser>
        <c:marker val="1"/>
        <c:axId val="30340122"/>
        <c:axId val="4625643"/>
      </c:lineChart>
      <c:catAx>
        <c:axId val="30340122"/>
        <c:scaling>
          <c:orientation val="minMax"/>
        </c:scaling>
        <c:axPos val="b"/>
        <c:delete val="0"/>
        <c:numFmt formatCode="General" sourceLinked="1"/>
        <c:majorTickMark val="out"/>
        <c:minorTickMark val="none"/>
        <c:tickLblPos val="nextTo"/>
        <c:spPr>
          <a:ln w="3175">
            <a:solidFill/>
          </a:ln>
        </c:spPr>
        <c:crossAx val="4625643"/>
        <c:crosses val="autoZero"/>
        <c:auto val="1"/>
        <c:lblOffset val="100"/>
        <c:tickLblSkip val="1"/>
        <c:noMultiLvlLbl val="0"/>
      </c:catAx>
      <c:valAx>
        <c:axId val="4625643"/>
        <c:scaling>
          <c:orientation val="minMax"/>
        </c:scaling>
        <c:axPos val="l"/>
        <c:majorGridlines>
          <c:spPr>
            <a:ln w="3175">
              <a:solidFill/>
            </a:ln>
          </c:spPr>
        </c:majorGridlines>
        <c:delete val="0"/>
        <c:numFmt formatCode="General" sourceLinked="1"/>
        <c:majorTickMark val="out"/>
        <c:minorTickMark val="none"/>
        <c:tickLblPos val="nextTo"/>
        <c:spPr>
          <a:ln w="3175">
            <a:solidFill/>
          </a:ln>
        </c:spPr>
        <c:crossAx val="3034012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#REF!</c:f>
              <c:strCache>
                <c:ptCount val="1"/>
                <c:pt idx="0">
                  <c:v>1</c:v>
                </c:pt>
              </c:strCache>
            </c:strRef>
          </c:cat>
          <c:val>
            <c:numRef>
              <c:f>#REF!</c:f>
              <c:numCache>
                <c:ptCount val="1"/>
                <c:pt idx="0">
                  <c:v>1</c:v>
                </c:pt>
              </c:numCache>
            </c:numRef>
          </c:val>
          <c:smooth val="0"/>
        </c:ser>
        <c:marker val="1"/>
        <c:axId val="41630788"/>
        <c:axId val="39132773"/>
      </c:lineChart>
      <c:catAx>
        <c:axId val="41630788"/>
        <c:scaling>
          <c:orientation val="minMax"/>
        </c:scaling>
        <c:axPos val="b"/>
        <c:delete val="0"/>
        <c:numFmt formatCode="General" sourceLinked="1"/>
        <c:majorTickMark val="out"/>
        <c:minorTickMark val="none"/>
        <c:tickLblPos val="nextTo"/>
        <c:spPr>
          <a:ln w="3175">
            <a:solidFill/>
          </a:ln>
        </c:spPr>
        <c:crossAx val="39132773"/>
        <c:crosses val="autoZero"/>
        <c:auto val="1"/>
        <c:lblOffset val="100"/>
        <c:tickLblSkip val="1"/>
        <c:noMultiLvlLbl val="0"/>
      </c:catAx>
      <c:valAx>
        <c:axId val="39132773"/>
        <c:scaling>
          <c:orientation val="minMax"/>
        </c:scaling>
        <c:axPos val="l"/>
        <c:majorGridlines>
          <c:spPr>
            <a:ln w="3175">
              <a:solidFill/>
            </a:ln>
          </c:spPr>
        </c:majorGridlines>
        <c:delete val="0"/>
        <c:numFmt formatCode="General" sourceLinked="1"/>
        <c:majorTickMark val="out"/>
        <c:minorTickMark val="none"/>
        <c:tickLblPos val="nextTo"/>
        <c:spPr>
          <a:ln w="3175">
            <a:solidFill/>
          </a:ln>
        </c:spPr>
        <c:crossAx val="4163078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marker val="1"/>
        <c:axId val="16650638"/>
        <c:axId val="15638015"/>
      </c:lineChart>
      <c:catAx>
        <c:axId val="16650638"/>
        <c:scaling>
          <c:orientation val="minMax"/>
        </c:scaling>
        <c:axPos val="b"/>
        <c:delete val="0"/>
        <c:numFmt formatCode="General" sourceLinked="1"/>
        <c:majorTickMark val="out"/>
        <c:minorTickMark val="none"/>
        <c:tickLblPos val="nextTo"/>
        <c:spPr>
          <a:ln w="3175">
            <a:solidFill/>
          </a:ln>
        </c:spPr>
        <c:crossAx val="15638015"/>
        <c:crosses val="autoZero"/>
        <c:auto val="1"/>
        <c:lblOffset val="100"/>
        <c:tickLblSkip val="1"/>
        <c:noMultiLvlLbl val="0"/>
      </c:catAx>
      <c:valAx>
        <c:axId val="15638015"/>
        <c:scaling>
          <c:orientation val="minMax"/>
        </c:scaling>
        <c:axPos val="l"/>
        <c:majorGridlines>
          <c:spPr>
            <a:ln w="3175">
              <a:solidFill/>
            </a:ln>
          </c:spPr>
        </c:majorGridlines>
        <c:delete val="0"/>
        <c:numFmt formatCode="General" sourceLinked="1"/>
        <c:majorTickMark val="out"/>
        <c:minorTickMark val="none"/>
        <c:tickLblPos val="nextTo"/>
        <c:spPr>
          <a:ln w="3175">
            <a:solidFill/>
          </a:ln>
        </c:spPr>
        <c:crossAx val="1665063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marker val="1"/>
        <c:axId val="6524408"/>
        <c:axId val="58719673"/>
      </c:lineChart>
      <c:catAx>
        <c:axId val="6524408"/>
        <c:scaling>
          <c:orientation val="minMax"/>
        </c:scaling>
        <c:axPos val="b"/>
        <c:delete val="0"/>
        <c:numFmt formatCode="General" sourceLinked="1"/>
        <c:majorTickMark val="out"/>
        <c:minorTickMark val="none"/>
        <c:tickLblPos val="nextTo"/>
        <c:spPr>
          <a:ln w="3175">
            <a:solidFill/>
          </a:ln>
        </c:spPr>
        <c:crossAx val="58719673"/>
        <c:crosses val="autoZero"/>
        <c:auto val="1"/>
        <c:lblOffset val="100"/>
        <c:tickLblSkip val="1"/>
        <c:noMultiLvlLbl val="0"/>
      </c:catAx>
      <c:valAx>
        <c:axId val="58719673"/>
        <c:scaling>
          <c:orientation val="minMax"/>
        </c:scaling>
        <c:axPos val="l"/>
        <c:majorGridlines>
          <c:spPr>
            <a:ln w="3175">
              <a:solidFill/>
            </a:ln>
          </c:spPr>
        </c:majorGridlines>
        <c:delete val="0"/>
        <c:numFmt formatCode="General" sourceLinked="1"/>
        <c:majorTickMark val="out"/>
        <c:minorTickMark val="none"/>
        <c:tickLblPos val="nextTo"/>
        <c:spPr>
          <a:ln w="3175">
            <a:solidFill/>
          </a:ln>
        </c:spPr>
        <c:crossAx val="652440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114</xdr:row>
      <xdr:rowOff>0</xdr:rowOff>
    </xdr:from>
    <xdr:to>
      <xdr:col>13</xdr:col>
      <xdr:colOff>295275</xdr:colOff>
      <xdr:row>114</xdr:row>
      <xdr:rowOff>0</xdr:rowOff>
    </xdr:to>
    <xdr:graphicFrame>
      <xdr:nvGraphicFramePr>
        <xdr:cNvPr id="1" name="Chart 1"/>
        <xdr:cNvGraphicFramePr/>
      </xdr:nvGraphicFramePr>
      <xdr:xfrm>
        <a:off x="9515475" y="22640925"/>
        <a:ext cx="7658100" cy="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86</xdr:row>
      <xdr:rowOff>0</xdr:rowOff>
    </xdr:from>
    <xdr:to>
      <xdr:col>13</xdr:col>
      <xdr:colOff>295275</xdr:colOff>
      <xdr:row>86</xdr:row>
      <xdr:rowOff>0</xdr:rowOff>
    </xdr:to>
    <xdr:graphicFrame>
      <xdr:nvGraphicFramePr>
        <xdr:cNvPr id="1" name="Chart 1"/>
        <xdr:cNvGraphicFramePr/>
      </xdr:nvGraphicFramePr>
      <xdr:xfrm>
        <a:off x="9067800" y="17087850"/>
        <a:ext cx="73818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122</xdr:row>
      <xdr:rowOff>0</xdr:rowOff>
    </xdr:from>
    <xdr:to>
      <xdr:col>13</xdr:col>
      <xdr:colOff>295275</xdr:colOff>
      <xdr:row>122</xdr:row>
      <xdr:rowOff>0</xdr:rowOff>
    </xdr:to>
    <xdr:graphicFrame>
      <xdr:nvGraphicFramePr>
        <xdr:cNvPr id="1" name="Chart 1"/>
        <xdr:cNvGraphicFramePr/>
      </xdr:nvGraphicFramePr>
      <xdr:xfrm>
        <a:off x="8486775" y="24288750"/>
        <a:ext cx="7162800" cy="0"/>
      </xdr:xfrm>
      <a:graphic>
        <a:graphicData uri="http://schemas.openxmlformats.org/drawingml/2006/chart">
          <c:chart xmlns:c="http://schemas.openxmlformats.org/drawingml/2006/chart" r:id="rId1"/>
        </a:graphicData>
      </a:graphic>
    </xdr:graphicFrame>
    <xdr:clientData/>
  </xdr:twoCellAnchor>
  <xdr:twoCellAnchor>
    <xdr:from>
      <xdr:col>7</xdr:col>
      <xdr:colOff>28575</xdr:colOff>
      <xdr:row>196</xdr:row>
      <xdr:rowOff>0</xdr:rowOff>
    </xdr:from>
    <xdr:to>
      <xdr:col>13</xdr:col>
      <xdr:colOff>295275</xdr:colOff>
      <xdr:row>196</xdr:row>
      <xdr:rowOff>0</xdr:rowOff>
    </xdr:to>
    <xdr:graphicFrame>
      <xdr:nvGraphicFramePr>
        <xdr:cNvPr id="2" name="Chart 1"/>
        <xdr:cNvGraphicFramePr/>
      </xdr:nvGraphicFramePr>
      <xdr:xfrm>
        <a:off x="8486775" y="38566725"/>
        <a:ext cx="7162800" cy="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152</xdr:row>
      <xdr:rowOff>0</xdr:rowOff>
    </xdr:from>
    <xdr:to>
      <xdr:col>13</xdr:col>
      <xdr:colOff>304800</xdr:colOff>
      <xdr:row>152</xdr:row>
      <xdr:rowOff>0</xdr:rowOff>
    </xdr:to>
    <xdr:graphicFrame>
      <xdr:nvGraphicFramePr>
        <xdr:cNvPr id="1" name="Chart 1"/>
        <xdr:cNvGraphicFramePr/>
      </xdr:nvGraphicFramePr>
      <xdr:xfrm>
        <a:off x="9744075" y="28898850"/>
        <a:ext cx="5581650" cy="0"/>
      </xdr:xfrm>
      <a:graphic>
        <a:graphicData uri="http://schemas.openxmlformats.org/drawingml/2006/chart">
          <c:chart xmlns:c="http://schemas.openxmlformats.org/drawingml/2006/chart" r:id="rId1"/>
        </a:graphicData>
      </a:graphic>
    </xdr:graphicFrame>
    <xdr:clientData/>
  </xdr:twoCellAnchor>
  <xdr:twoCellAnchor>
    <xdr:from>
      <xdr:col>7</xdr:col>
      <xdr:colOff>28575</xdr:colOff>
      <xdr:row>152</xdr:row>
      <xdr:rowOff>0</xdr:rowOff>
    </xdr:from>
    <xdr:to>
      <xdr:col>13</xdr:col>
      <xdr:colOff>304800</xdr:colOff>
      <xdr:row>152</xdr:row>
      <xdr:rowOff>0</xdr:rowOff>
    </xdr:to>
    <xdr:graphicFrame>
      <xdr:nvGraphicFramePr>
        <xdr:cNvPr id="2" name="Chart 1"/>
        <xdr:cNvGraphicFramePr/>
      </xdr:nvGraphicFramePr>
      <xdr:xfrm>
        <a:off x="9744075" y="28898850"/>
        <a:ext cx="5581650" cy="0"/>
      </xdr:xfrm>
      <a:graphic>
        <a:graphicData uri="http://schemas.openxmlformats.org/drawingml/2006/chart">
          <c:chart xmlns:c="http://schemas.openxmlformats.org/drawingml/2006/chart" r:id="rId2"/>
        </a:graphicData>
      </a:graphic>
    </xdr:graphicFrame>
    <xdr:clientData/>
  </xdr:twoCellAnchor>
  <xdr:twoCellAnchor>
    <xdr:from>
      <xdr:col>7</xdr:col>
      <xdr:colOff>28575</xdr:colOff>
      <xdr:row>152</xdr:row>
      <xdr:rowOff>0</xdr:rowOff>
    </xdr:from>
    <xdr:to>
      <xdr:col>13</xdr:col>
      <xdr:colOff>304800</xdr:colOff>
      <xdr:row>152</xdr:row>
      <xdr:rowOff>0</xdr:rowOff>
    </xdr:to>
    <xdr:graphicFrame>
      <xdr:nvGraphicFramePr>
        <xdr:cNvPr id="3" name="Chart 1"/>
        <xdr:cNvGraphicFramePr/>
      </xdr:nvGraphicFramePr>
      <xdr:xfrm>
        <a:off x="9744075" y="28898850"/>
        <a:ext cx="5581650" cy="0"/>
      </xdr:xfrm>
      <a:graphic>
        <a:graphicData uri="http://schemas.openxmlformats.org/drawingml/2006/chart">
          <c:chart xmlns:c="http://schemas.openxmlformats.org/drawingml/2006/chart" r:id="rId3"/>
        </a:graphicData>
      </a:graphic>
    </xdr:graphicFrame>
    <xdr:clientData/>
  </xdr:twoCellAnchor>
  <xdr:twoCellAnchor>
    <xdr:from>
      <xdr:col>7</xdr:col>
      <xdr:colOff>28575</xdr:colOff>
      <xdr:row>152</xdr:row>
      <xdr:rowOff>0</xdr:rowOff>
    </xdr:from>
    <xdr:to>
      <xdr:col>13</xdr:col>
      <xdr:colOff>304800</xdr:colOff>
      <xdr:row>152</xdr:row>
      <xdr:rowOff>0</xdr:rowOff>
    </xdr:to>
    <xdr:graphicFrame>
      <xdr:nvGraphicFramePr>
        <xdr:cNvPr id="4" name="Chart 1"/>
        <xdr:cNvGraphicFramePr/>
      </xdr:nvGraphicFramePr>
      <xdr:xfrm>
        <a:off x="9744075" y="28898850"/>
        <a:ext cx="5581650" cy="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21.net/wiap/detail.asp?id=59" TargetMode="External" /><Relationship Id="rId2" Type="http://schemas.openxmlformats.org/officeDocument/2006/relationships/hyperlink" Target="http://www.ren21.net/wiap/detail.asp?id=146" TargetMode="External" /><Relationship Id="rId3" Type="http://schemas.openxmlformats.org/officeDocument/2006/relationships/hyperlink" Target="http://www.ren21.net/wiap/detail.asp?id=323" TargetMode="External" /><Relationship Id="rId4" Type="http://schemas.openxmlformats.org/officeDocument/2006/relationships/hyperlink" Target="http://www.ren21.net/wiap/detail.asp?id=111" TargetMode="External" /><Relationship Id="rId5" Type="http://schemas.openxmlformats.org/officeDocument/2006/relationships/hyperlink" Target="http://www.ren21.net/wiap/detail.asp?id=218" TargetMode="External" /><Relationship Id="rId6" Type="http://schemas.openxmlformats.org/officeDocument/2006/relationships/hyperlink" Target="http://www.ren21.net/wiap/detail.asp?id=98" TargetMode="External" /><Relationship Id="rId7" Type="http://schemas.openxmlformats.org/officeDocument/2006/relationships/hyperlink" Target="http://www.ren21.net/wiap/detail.asp?id=213" TargetMode="External" /><Relationship Id="rId8" Type="http://schemas.openxmlformats.org/officeDocument/2006/relationships/hyperlink" Target="http://www.ren21.net/wiap/detail.asp?id=60" TargetMode="External" /><Relationship Id="rId9" Type="http://schemas.openxmlformats.org/officeDocument/2006/relationships/hyperlink" Target="http://www.ren21.net/wiap/detail.asp?id=234" TargetMode="External" /><Relationship Id="rId10" Type="http://schemas.openxmlformats.org/officeDocument/2006/relationships/hyperlink" Target="http://www.ren21.net/wiap/detail.asp?id=155" TargetMode="External" /><Relationship Id="rId11" Type="http://schemas.openxmlformats.org/officeDocument/2006/relationships/hyperlink" Target="http://www.ren21.net/wiap/detail.asp?id=56" TargetMode="External" /><Relationship Id="rId12" Type="http://schemas.openxmlformats.org/officeDocument/2006/relationships/hyperlink" Target="http://www.ren21.net/wiap/detail.asp?id=99" TargetMode="External" /><Relationship Id="rId13" Type="http://schemas.openxmlformats.org/officeDocument/2006/relationships/hyperlink" Target="http://www.ren21.net/wiap/detail.asp?id=340" TargetMode="External" /><Relationship Id="rId14" Type="http://schemas.openxmlformats.org/officeDocument/2006/relationships/hyperlink" Target="http://www.ren21.net/wiap/detail.asp?id=74" TargetMode="External" /><Relationship Id="rId15" Type="http://schemas.openxmlformats.org/officeDocument/2006/relationships/hyperlink" Target="http://www.ren21.net/wiap/detail.asp?id=157" TargetMode="External" /><Relationship Id="rId16" Type="http://schemas.openxmlformats.org/officeDocument/2006/relationships/hyperlink" Target="http://www.ren21.net/wiap/detail.asp?id=219" TargetMode="External" /><Relationship Id="rId17" Type="http://schemas.openxmlformats.org/officeDocument/2006/relationships/hyperlink" Target="http://www.ren21.net/wiap/detail.asp?id=82" TargetMode="External" /><Relationship Id="rId18" Type="http://schemas.openxmlformats.org/officeDocument/2006/relationships/hyperlink" Target="http://www.ren21.net/wiap/detail.asp?id=115" TargetMode="External" /><Relationship Id="rId19" Type="http://schemas.openxmlformats.org/officeDocument/2006/relationships/hyperlink" Target="http://www.ren21.net/wiap/detail.asp?id=110" TargetMode="External" /><Relationship Id="rId20" Type="http://schemas.openxmlformats.org/officeDocument/2006/relationships/hyperlink" Target="http://www.ren21.net/wiap/detail.asp?id=203" TargetMode="External" /><Relationship Id="rId21" Type="http://schemas.openxmlformats.org/officeDocument/2006/relationships/hyperlink" Target="http://www.ren21.net/wiap/detail.asp?id=92" TargetMode="External" /><Relationship Id="rId22" Type="http://schemas.openxmlformats.org/officeDocument/2006/relationships/hyperlink" Target="http://www.ren21.net/wiap/detail.asp?id=189" TargetMode="External" /><Relationship Id="rId23" Type="http://schemas.openxmlformats.org/officeDocument/2006/relationships/hyperlink" Target="http://www.ren21.net/wiap/detail.asp?id=15" TargetMode="External" /><Relationship Id="rId24" Type="http://schemas.openxmlformats.org/officeDocument/2006/relationships/hyperlink" Target="http://www.ren21.net/wiap/detail.asp?id=198" TargetMode="External" /><Relationship Id="rId25" Type="http://schemas.openxmlformats.org/officeDocument/2006/relationships/hyperlink" Target="http://www.ren21.net/wiap/detail.asp?id=91" TargetMode="External" /><Relationship Id="rId26" Type="http://schemas.openxmlformats.org/officeDocument/2006/relationships/hyperlink" Target="http://www.ren21.net/wiap/detail.asp?id=151" TargetMode="External" /><Relationship Id="rId27" Type="http://schemas.openxmlformats.org/officeDocument/2006/relationships/hyperlink" Target="http://www.ren21.net/wiap/detail.asp?id=153" TargetMode="External" /><Relationship Id="rId28" Type="http://schemas.openxmlformats.org/officeDocument/2006/relationships/hyperlink" Target="http://www.ren21.net/wiap/detail.asp?id=79" TargetMode="External" /><Relationship Id="rId29" Type="http://schemas.openxmlformats.org/officeDocument/2006/relationships/hyperlink" Target="http://www.ren21.net/wiap/detail.asp?id=196" TargetMode="External" /><Relationship Id="rId30" Type="http://schemas.openxmlformats.org/officeDocument/2006/relationships/hyperlink" Target="http://www.ren21.net/wiap/detail.asp?id=93" TargetMode="External" /><Relationship Id="rId31" Type="http://schemas.openxmlformats.org/officeDocument/2006/relationships/hyperlink" Target="http://www.ren21.net/wiap/detail.asp?id=71" TargetMode="External" /><Relationship Id="rId32" Type="http://schemas.openxmlformats.org/officeDocument/2006/relationships/hyperlink" Target="http://www.ren21.net/wiap/detail.asp?id=86" TargetMode="External" /><Relationship Id="rId33" Type="http://schemas.openxmlformats.org/officeDocument/2006/relationships/hyperlink" Target="http://www.ren21.net/wiap/detail.asp?id=201" TargetMode="External" /><Relationship Id="rId34" Type="http://schemas.openxmlformats.org/officeDocument/2006/relationships/hyperlink" Target="http://www.ren21.net/wiap/detail.asp?id=183" TargetMode="External" /><Relationship Id="rId35" Type="http://schemas.openxmlformats.org/officeDocument/2006/relationships/hyperlink" Target="http://www.ren21.net/wiap/detail.asp?id=105" TargetMode="External" /><Relationship Id="rId36" Type="http://schemas.openxmlformats.org/officeDocument/2006/relationships/hyperlink" Target="http://www.ren21.net/wiap/detail.asp?id=339" TargetMode="External" /><Relationship Id="rId37" Type="http://schemas.openxmlformats.org/officeDocument/2006/relationships/hyperlink" Target="http://www.ren21.net/wiap/detail.asp?id=72" TargetMode="External" /><Relationship Id="rId38" Type="http://schemas.openxmlformats.org/officeDocument/2006/relationships/hyperlink" Target="http://www.ren21.net/wiap/detail.asp?id=41" TargetMode="External" /><Relationship Id="rId39" Type="http://schemas.openxmlformats.org/officeDocument/2006/relationships/hyperlink" Target="http://www.ren21.net/wiap/detail.asp?id=207" TargetMode="External" /><Relationship Id="rId40" Type="http://schemas.openxmlformats.org/officeDocument/2006/relationships/hyperlink" Target="http://www.ren21.net/wiap/detail.asp?id=38" TargetMode="External" /><Relationship Id="rId41" Type="http://schemas.openxmlformats.org/officeDocument/2006/relationships/hyperlink" Target="http://www.ren21.net/wiap/detail.asp?id=117" TargetMode="External" /><Relationship Id="rId42" Type="http://schemas.openxmlformats.org/officeDocument/2006/relationships/hyperlink" Target="http://www.ren21.net/wiap/detail.asp?id=70" TargetMode="External" /><Relationship Id="rId43" Type="http://schemas.openxmlformats.org/officeDocument/2006/relationships/hyperlink" Target="http://www.ren21.net/wiap/detail.asp?id=236" TargetMode="External" /><Relationship Id="rId44" Type="http://schemas.openxmlformats.org/officeDocument/2006/relationships/hyperlink" Target="http://www.ren21.net/wiap/detail.asp?id=204" TargetMode="External" /><Relationship Id="rId45" Type="http://schemas.openxmlformats.org/officeDocument/2006/relationships/hyperlink" Target="http://www.ren21.net/wiap/detail.asp?id=208" TargetMode="External" /><Relationship Id="rId46" Type="http://schemas.openxmlformats.org/officeDocument/2006/relationships/hyperlink" Target="http://www.ren21.net/wiap/detail.asp?id=206" TargetMode="External" /><Relationship Id="rId47" Type="http://schemas.openxmlformats.org/officeDocument/2006/relationships/hyperlink" Target="http://www.ren21.net/wiap/detail.asp?id=116" TargetMode="External" /><Relationship Id="rId48" Type="http://schemas.openxmlformats.org/officeDocument/2006/relationships/hyperlink" Target="http://www.ren21.net/wiap/detail.asp?id=64" TargetMode="External" /><Relationship Id="rId49" Type="http://schemas.openxmlformats.org/officeDocument/2006/relationships/hyperlink" Target="http://www.ren21.net/wiap/detail.asp?id=333" TargetMode="External" /><Relationship Id="rId50" Type="http://schemas.openxmlformats.org/officeDocument/2006/relationships/hyperlink" Target="http://www.ren21.net/wiap/detail.asp?id=322" TargetMode="External" /><Relationship Id="rId51" Type="http://schemas.openxmlformats.org/officeDocument/2006/relationships/hyperlink" Target="http://www.ren21.net/wiap/detail.asp?id=123" TargetMode="External" /><Relationship Id="rId52" Type="http://schemas.openxmlformats.org/officeDocument/2006/relationships/hyperlink" Target="http://www.ren21.net/wiap/detail.asp?id=138" TargetMode="External" /><Relationship Id="rId53" Type="http://schemas.openxmlformats.org/officeDocument/2006/relationships/hyperlink" Target="http://www.ren21.net/wiap/detail.asp?id=233" TargetMode="External" /><Relationship Id="rId54" Type="http://schemas.openxmlformats.org/officeDocument/2006/relationships/hyperlink" Target="http://www.ren21.net/wiap/detail.asp?id=94" TargetMode="External" /><Relationship Id="rId55" Type="http://schemas.openxmlformats.org/officeDocument/2006/relationships/hyperlink" Target="http://www.ren21.net/wiap/detail.asp?id=124" TargetMode="External" /><Relationship Id="rId56" Type="http://schemas.openxmlformats.org/officeDocument/2006/relationships/hyperlink" Target="http://www.ren21.net/wiap/detail.asp?id=222" TargetMode="External" /><Relationship Id="rId57" Type="http://schemas.openxmlformats.org/officeDocument/2006/relationships/hyperlink" Target="http://www.ren21.net/wiap/detail.asp?id=55" TargetMode="External" /><Relationship Id="rId58" Type="http://schemas.openxmlformats.org/officeDocument/2006/relationships/hyperlink" Target="http://www.ren21.net/wiap/detail.asp?id=144" TargetMode="External" /><Relationship Id="rId59" Type="http://schemas.openxmlformats.org/officeDocument/2006/relationships/hyperlink" Target="http://www.ren21.net/wiap/detail.asp?id=31" TargetMode="External" /><Relationship Id="rId60" Type="http://schemas.openxmlformats.org/officeDocument/2006/relationships/hyperlink" Target="http://www.ren21.net/wiap/detail.asp?id=156" TargetMode="External" /><Relationship Id="rId61" Type="http://schemas.openxmlformats.org/officeDocument/2006/relationships/hyperlink" Target="http://www.ren21.net/wiap/detail.asp?id=114" TargetMode="External" /><Relationship Id="rId62" Type="http://schemas.openxmlformats.org/officeDocument/2006/relationships/hyperlink" Target="http://www.ren21.net/wiap/detail.asp?id=52" TargetMode="External" /><Relationship Id="rId63" Type="http://schemas.openxmlformats.org/officeDocument/2006/relationships/hyperlink" Target="http://www.ren21.net/wiap/detail.asp?id=83" TargetMode="External" /><Relationship Id="rId64" Type="http://schemas.openxmlformats.org/officeDocument/2006/relationships/hyperlink" Target="http://www.ren21.net/wiap/detail.asp?id=137" TargetMode="External" /><Relationship Id="rId65" Type="http://schemas.openxmlformats.org/officeDocument/2006/relationships/hyperlink" Target="http://www.ren21.net/wiap/detail.asp?id=69" TargetMode="External" /><Relationship Id="rId66" Type="http://schemas.openxmlformats.org/officeDocument/2006/relationships/hyperlink" Target="http://www.ren21.net/wiap/detail.asp?id=106" TargetMode="External" /><Relationship Id="rId67" Type="http://schemas.openxmlformats.org/officeDocument/2006/relationships/hyperlink" Target="http://www.ren21.net/wiap/detail.asp?id=96" TargetMode="External" /><Relationship Id="rId68" Type="http://schemas.openxmlformats.org/officeDocument/2006/relationships/hyperlink" Target="http://www.ren21.net/wiap/detail.asp?id=28" TargetMode="External" /><Relationship Id="rId69" Type="http://schemas.openxmlformats.org/officeDocument/2006/relationships/hyperlink" Target="http://www.ren21.net/wiap/detail.asp?id=87" TargetMode="External" /><Relationship Id="rId70" Type="http://schemas.openxmlformats.org/officeDocument/2006/relationships/hyperlink" Target="http://www.ren21.net/wiap/detail.asp?id=108" TargetMode="External" /><Relationship Id="rId71" Type="http://schemas.openxmlformats.org/officeDocument/2006/relationships/hyperlink" Target="http://www.ren21.net/wiap/detail.asp?id=109" TargetMode="External" /><Relationship Id="rId72" Type="http://schemas.openxmlformats.org/officeDocument/2006/relationships/hyperlink" Target="http://www.ren21.net/wiap/detail.asp?id=63" TargetMode="External" /><Relationship Id="rId73" Type="http://schemas.openxmlformats.org/officeDocument/2006/relationships/hyperlink" Target="http://www.ren21.net/wiap/detail.asp?id=12" TargetMode="External" /><Relationship Id="rId74" Type="http://schemas.openxmlformats.org/officeDocument/2006/relationships/hyperlink" Target="http://www.ren21.net/wiap/detail.asp?id=225" TargetMode="External" /><Relationship Id="rId75" Type="http://schemas.openxmlformats.org/officeDocument/2006/relationships/hyperlink" Target="http://www.ren21.net/wiap/detail.asp?id=341" TargetMode="External" /><Relationship Id="rId76" Type="http://schemas.openxmlformats.org/officeDocument/2006/relationships/hyperlink" Target="http://www.ren21.net/wiap/detail.asp?id=173" TargetMode="External" /><Relationship Id="rId77" Type="http://schemas.openxmlformats.org/officeDocument/2006/relationships/hyperlink" Target="http://www.ren21.net/wiap/detail.asp?id=147" TargetMode="External" /><Relationship Id="rId78" Type="http://schemas.openxmlformats.org/officeDocument/2006/relationships/hyperlink" Target="http://www.ren21.net/wiap/detail.asp?id=166" TargetMode="External" /><Relationship Id="rId79" Type="http://schemas.openxmlformats.org/officeDocument/2006/relationships/hyperlink" Target="http://www.ren21.net/wiap/detail.asp?id=20" TargetMode="External" /><Relationship Id="rId80" Type="http://schemas.openxmlformats.org/officeDocument/2006/relationships/hyperlink" Target="http://www.ren21.net/wiap/detail.asp?id=139" TargetMode="External" /><Relationship Id="rId81" Type="http://schemas.openxmlformats.org/officeDocument/2006/relationships/hyperlink" Target="http://www.ren21.net/wiap/detail.asp?id=152" TargetMode="External" /><Relationship Id="rId82" Type="http://schemas.openxmlformats.org/officeDocument/2006/relationships/hyperlink" Target="http://www.ren21.net/wiap/detail.asp?id=107" TargetMode="External" /><Relationship Id="rId83" Type="http://schemas.openxmlformats.org/officeDocument/2006/relationships/hyperlink" Target="http://www.ren21.net/wiap/detail.asp?id=136" TargetMode="External" /><Relationship Id="rId84" Type="http://schemas.openxmlformats.org/officeDocument/2006/relationships/hyperlink" Target="http://www.ren21.net/wiap/detail.asp?id=17" TargetMode="External" /><Relationship Id="rId85" Type="http://schemas.openxmlformats.org/officeDocument/2006/relationships/hyperlink" Target="http://www.ren21.net/wiap/detail.asp?id=102" TargetMode="External" /><Relationship Id="rId86" Type="http://schemas.openxmlformats.org/officeDocument/2006/relationships/hyperlink" Target="http://www.ren21.net/wiap/detail.asp?id=185" TargetMode="External" /><Relationship Id="rId87" Type="http://schemas.openxmlformats.org/officeDocument/2006/relationships/hyperlink" Target="http://www.ren21.net/wiap/detail.asp?id=191" TargetMode="External" /><Relationship Id="rId88" Type="http://schemas.openxmlformats.org/officeDocument/2006/relationships/hyperlink" Target="http://www.ren21.net/wiap/detail.asp?id=195" TargetMode="External" /><Relationship Id="rId89" Type="http://schemas.openxmlformats.org/officeDocument/2006/relationships/hyperlink" Target="http://www.ren21.net/wiap/detail.asp?id=75" TargetMode="External" /><Relationship Id="rId90" Type="http://schemas.openxmlformats.org/officeDocument/2006/relationships/hyperlink" Target="http://www.ren21.net/wiap/detail.asp?id=197" TargetMode="External" /><Relationship Id="rId91" Type="http://schemas.openxmlformats.org/officeDocument/2006/relationships/hyperlink" Target="http://www.ren21.net/wiap/detail.asp?id=97" TargetMode="External" /><Relationship Id="rId92" Type="http://schemas.openxmlformats.org/officeDocument/2006/relationships/hyperlink" Target="http://www.ren21.net/wiap/detail.asp?id=5" TargetMode="External" /><Relationship Id="rId93" Type="http://schemas.openxmlformats.org/officeDocument/2006/relationships/hyperlink" Target="http://www.ren21.net/wiap/detail.asp?id=37" TargetMode="External" /><Relationship Id="rId94" Type="http://schemas.openxmlformats.org/officeDocument/2006/relationships/hyperlink" Target="http://www.ren21.net/wiap/detail.asp?id=232" TargetMode="External" /><Relationship Id="rId95" Type="http://schemas.openxmlformats.org/officeDocument/2006/relationships/hyperlink" Target="http://www.ren21.net/wiap/detail.asp?id=58" TargetMode="External" /><Relationship Id="rId96" Type="http://schemas.openxmlformats.org/officeDocument/2006/relationships/hyperlink" Target="http://www.ren21.net/wiap/detail.asp?id=42" TargetMode="External" /><Relationship Id="rId97" Type="http://schemas.openxmlformats.org/officeDocument/2006/relationships/hyperlink" Target="http://www.ren21.net/wiap/detail.asp?id=223" TargetMode="External" /><Relationship Id="rId98" Type="http://schemas.openxmlformats.org/officeDocument/2006/relationships/hyperlink" Target="http://www.ren21.net/wiap/detail.asp?id=247" TargetMode="External" /><Relationship Id="rId99" Type="http://schemas.openxmlformats.org/officeDocument/2006/relationships/hyperlink" Target="http://www.ren21.net/wiap/detail.asp?id=81" TargetMode="External" /><Relationship Id="rId100" Type="http://schemas.openxmlformats.org/officeDocument/2006/relationships/hyperlink" Target="http://www.ren21.net/wiap/detail.asp?id=171" TargetMode="External" /><Relationship Id="rId101" Type="http://schemas.openxmlformats.org/officeDocument/2006/relationships/hyperlink" Target="http://www.ren21.net/wiap/detail.asp?id=118" TargetMode="External" /><Relationship Id="rId102" Type="http://schemas.openxmlformats.org/officeDocument/2006/relationships/hyperlink" Target="http://www.ren21.net/wiap/detail.asp?id=54" TargetMode="External" /><Relationship Id="rId103" Type="http://schemas.openxmlformats.org/officeDocument/2006/relationships/hyperlink" Target="http://www.ren21.net/wiap/detail.asp?id=342" TargetMode="External" /><Relationship Id="rId104" Type="http://schemas.openxmlformats.org/officeDocument/2006/relationships/hyperlink" Target="http://www.ren21.net/wiap/detail.asp?id=194" TargetMode="External" /><Relationship Id="rId105" Type="http://schemas.openxmlformats.org/officeDocument/2006/relationships/hyperlink" Target="http://www.ren21.net/wiap/detail.asp?id=127" TargetMode="External" /><Relationship Id="rId106" Type="http://schemas.openxmlformats.org/officeDocument/2006/relationships/hyperlink" Target="http://www.ren21.net/wiap/detail.asp?id=131" TargetMode="External" /><Relationship Id="rId107" Type="http://schemas.openxmlformats.org/officeDocument/2006/relationships/hyperlink" Target="http://www.ren21.net/wiap/detail.asp?id=104" TargetMode="External" /><Relationship Id="rId108" Type="http://schemas.openxmlformats.org/officeDocument/2006/relationships/hyperlink" Target="http://www.ren21.net/wiap/detail.asp?id=129" TargetMode="External" /><Relationship Id="rId109" Type="http://schemas.openxmlformats.org/officeDocument/2006/relationships/hyperlink" Target="http://www.ren21.net/wiap/detail.asp?id=44" TargetMode="External" /><Relationship Id="rId110" Type="http://schemas.openxmlformats.org/officeDocument/2006/relationships/hyperlink" Target="http://www.ren21.net/wiap/detail.asp?id=212" TargetMode="External" /><Relationship Id="rId111" Type="http://schemas.openxmlformats.org/officeDocument/2006/relationships/hyperlink" Target="http://www.ren21.net/wiap/detail.asp?id=6" TargetMode="External" /><Relationship Id="rId112" Type="http://schemas.openxmlformats.org/officeDocument/2006/relationships/hyperlink" Target="http://www.ren21.net/wiap/detail.asp?id=57" TargetMode="External" /><Relationship Id="rId113" Type="http://schemas.openxmlformats.org/officeDocument/2006/relationships/hyperlink" Target="http://www.ren21.net/wiap/detail.asp?id=80" TargetMode="External" /><Relationship Id="rId114" Type="http://schemas.openxmlformats.org/officeDocument/2006/relationships/hyperlink" Target="http://www.ren21.net/wiap/detail.asp?id=143" TargetMode="External" /><Relationship Id="rId115" Type="http://schemas.openxmlformats.org/officeDocument/2006/relationships/hyperlink" Target="http://www.ren21.net/wiap/detail.asp?id=73" TargetMode="External" /><Relationship Id="rId116" Type="http://schemas.openxmlformats.org/officeDocument/2006/relationships/hyperlink" Target="http://www.ren21.net/wiap/detail.asp?id=68" TargetMode="External" /><Relationship Id="rId117" Type="http://schemas.openxmlformats.org/officeDocument/2006/relationships/hyperlink" Target="http://www.ren21.net/wiap/detail.asp?id=125" TargetMode="External" /><Relationship Id="rId118" Type="http://schemas.openxmlformats.org/officeDocument/2006/relationships/hyperlink" Target="http://www.ren21.net/wiap/detail.asp?id=90" TargetMode="External" /><Relationship Id="rId119" Type="http://schemas.openxmlformats.org/officeDocument/2006/relationships/hyperlink" Target="http://www.ren21.net/wiap/detail.asp?id=217" TargetMode="External" /><Relationship Id="rId120" Type="http://schemas.openxmlformats.org/officeDocument/2006/relationships/hyperlink" Target="http://www.ren21.net/wiap/detail.asp?id=149" TargetMode="External" /><Relationship Id="rId121" Type="http://schemas.openxmlformats.org/officeDocument/2006/relationships/hyperlink" Target="http://www.ren21.net/wiap/detail.asp?id=89" TargetMode="External" /><Relationship Id="rId122" Type="http://schemas.openxmlformats.org/officeDocument/2006/relationships/hyperlink" Target="http://www.ren21.net/wiap/detail.asp?id=229" TargetMode="External" /><Relationship Id="rId123" Type="http://schemas.openxmlformats.org/officeDocument/2006/relationships/hyperlink" Target="http://www.ren21.net/wiap/detail.asp?id=220" TargetMode="External" /><Relationship Id="rId124" Type="http://schemas.openxmlformats.org/officeDocument/2006/relationships/hyperlink" Target="http://www.ren21.net/wiap/detail.asp?id=154" TargetMode="External" /><Relationship Id="rId125" Type="http://schemas.openxmlformats.org/officeDocument/2006/relationships/hyperlink" Target="http://www.ren21.net/wiap/detail.asp?id=214" TargetMode="External" /><Relationship Id="rId126" Type="http://schemas.openxmlformats.org/officeDocument/2006/relationships/hyperlink" Target="http://www.ren21.net/wiap/detail.asp?id=182" TargetMode="External" /><Relationship Id="rId127" Type="http://schemas.openxmlformats.org/officeDocument/2006/relationships/hyperlink" Target="http://www.ren21.net/wiap/detail.asp?id=88" TargetMode="External" /><Relationship Id="rId128" Type="http://schemas.openxmlformats.org/officeDocument/2006/relationships/hyperlink" Target="http://www.ren21.net/wiap/detail.asp?id=251" TargetMode="External" /><Relationship Id="rId129" Type="http://schemas.openxmlformats.org/officeDocument/2006/relationships/hyperlink" Target="http://www.ren21.net/wiap/detail.asp?id=200" TargetMode="External" /><Relationship Id="rId130" Type="http://schemas.openxmlformats.org/officeDocument/2006/relationships/hyperlink" Target="http://www.ren21.net/wiap/detail.asp?id=231" TargetMode="External" /><Relationship Id="rId131" Type="http://schemas.openxmlformats.org/officeDocument/2006/relationships/hyperlink" Target="http://www.ren21.net/wiap/detail.asp?id=238" TargetMode="External" /><Relationship Id="rId132" Type="http://schemas.openxmlformats.org/officeDocument/2006/relationships/hyperlink" Target="http://www.ren21.net/wiap/detail.asp?id=221" TargetMode="External" /><Relationship Id="rId133" Type="http://schemas.openxmlformats.org/officeDocument/2006/relationships/hyperlink" Target="http://www.ren21.net/wiap/detail.asp?id=180" TargetMode="External" /><Relationship Id="rId134" Type="http://schemas.openxmlformats.org/officeDocument/2006/relationships/hyperlink" Target="http://www.ren21.net/wiap/detail.asp?id=53" TargetMode="External" /><Relationship Id="rId135" Type="http://schemas.openxmlformats.org/officeDocument/2006/relationships/hyperlink" Target="http://www.ren21.net/wiap/detail.asp?id=43" TargetMode="External" /><Relationship Id="rId136" Type="http://schemas.openxmlformats.org/officeDocument/2006/relationships/hyperlink" Target="http://www.ren21.net/wiap/detail.asp?id=230" TargetMode="External" /><Relationship Id="rId137" Type="http://schemas.openxmlformats.org/officeDocument/2006/relationships/hyperlink" Target="http://www.ren21.net/wiap/detail.asp?id=327" TargetMode="External" /><Relationship Id="rId138" Type="http://schemas.openxmlformats.org/officeDocument/2006/relationships/hyperlink" Target="http://www.ren21.net/wiap/detail.asp?id=205" TargetMode="External" /><Relationship Id="rId139" Type="http://schemas.openxmlformats.org/officeDocument/2006/relationships/hyperlink" Target="http://www.ren21.net/wiap/detail.asp?id=66" TargetMode="External" /><Relationship Id="rId140" Type="http://schemas.openxmlformats.org/officeDocument/2006/relationships/hyperlink" Target="http://www.ren21.net/wiap/detail.asp?id=150" TargetMode="External" /><Relationship Id="rId141" Type="http://schemas.openxmlformats.org/officeDocument/2006/relationships/hyperlink" Target="http://www.ren21.net/wiap/detail.asp?id=14" TargetMode="External" /><Relationship Id="rId142" Type="http://schemas.openxmlformats.org/officeDocument/2006/relationships/hyperlink" Target="http://www.ren21.net/wiap/detail.asp?id=237" TargetMode="External" /><Relationship Id="rId143" Type="http://schemas.openxmlformats.org/officeDocument/2006/relationships/hyperlink" Target="http://www.ren21.net/wiap/detail.asp?id=184" TargetMode="External" /><Relationship Id="rId144" Type="http://schemas.openxmlformats.org/officeDocument/2006/relationships/hyperlink" Target="http://www.ren21.net/wiap/detail.asp?id=210" TargetMode="External" /><Relationship Id="rId145" Type="http://schemas.openxmlformats.org/officeDocument/2006/relationships/hyperlink" Target="http://www.ren21.net/wiap/detail.asp?id=224" TargetMode="External" /><Relationship Id="rId14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bioenergy.ornl.gov/main.aspx" TargetMode="External" /><Relationship Id="rId2" Type="http://schemas.openxmlformats.org/officeDocument/2006/relationships/hyperlink" Target="http://ec.europa.eu/dgs/energy_transport/figures/pocketbook/2007_en.htm"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iea.org/Textbase/country/m_country.asp?COUNTRY_CODE=DE&amp;Submit=Submit" TargetMode="External" /><Relationship Id="rId2" Type="http://schemas.openxmlformats.org/officeDocument/2006/relationships/hyperlink" Target="http://www.iea.org/Textbase/country/n_country.asp?COUNTRY_CODE=BR&amp;Submit=Submit" TargetMode="External" /><Relationship Id="rId3" Type="http://schemas.openxmlformats.org/officeDocument/2006/relationships/hyperlink" Target="http://www.iea.org/Textbase/country/m_country.asp?COUNTRY_CODE=NZ&amp;Submit=Submit" TargetMode="External" /><Relationship Id="rId4" Type="http://schemas.openxmlformats.org/officeDocument/2006/relationships/hyperlink" Target="http://www.iea.org/Textbase/country/n_country.asp?COUNTRY_CODE=JM&amp;Submit=Submit" TargetMode="External" /><Relationship Id="rId5" Type="http://schemas.openxmlformats.org/officeDocument/2006/relationships/hyperlink" Target="http://www.ren21.net/wiap/detail.asp?id=89" TargetMode="External" /><Relationship Id="rId6" Type="http://schemas.openxmlformats.org/officeDocument/2006/relationships/hyperlink" Target="http://www.ren21.net/wiap/detail.asp?id=96" TargetMode="External" /><Relationship Id="rId7" Type="http://schemas.openxmlformats.org/officeDocument/2006/relationships/hyperlink" Target="http://www.ren21.net/wiap/detail.asp?id=57" TargetMode="External" /><Relationship Id="rId8" Type="http://schemas.openxmlformats.org/officeDocument/2006/relationships/hyperlink" Target="http://www.ren21.net/wiap/detail.asp?id=146" TargetMode="External" /><Relationship Id="rId9" Type="http://schemas.openxmlformats.org/officeDocument/2006/relationships/hyperlink" Target="http://www.ren21.net/wiap/detail.asp?id=31" TargetMode="External" /><Relationship Id="rId10" Type="http://schemas.openxmlformats.org/officeDocument/2006/relationships/hyperlink" Target="http://www.ren21.net/wiap/detail.asp?id=73" TargetMode="External" /><Relationship Id="rId11" Type="http://schemas.openxmlformats.org/officeDocument/2006/relationships/hyperlink" Target="http://www.ren21.net/wiap/detail.asp?id=37" TargetMode="External" /><Relationship Id="rId12"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www.iea.org/Textbase/stats/balancetable.asp?COUNTRY_CODE=IT" TargetMode="External" /><Relationship Id="rId2" Type="http://schemas.openxmlformats.org/officeDocument/2006/relationships/hyperlink" Target="http://www.iea.org/Textbase/stats/balancetable.asp?COUNTRY_CODE=CH" TargetMode="External" /><Relationship Id="rId3" Type="http://schemas.openxmlformats.org/officeDocument/2006/relationships/hyperlink" Target="http://www.iea.org/Textbase/stats/balancetable.asp?COUNTRY_CODE=CH" TargetMode="External" /><Relationship Id="rId4" Type="http://schemas.openxmlformats.org/officeDocument/2006/relationships/hyperlink" Target="http://www.iea.org/Textbase/stats/renewdata.asp?COUNTRY_CODE=TR" TargetMode="External" /><Relationship Id="rId5" Type="http://schemas.openxmlformats.org/officeDocument/2006/relationships/hyperlink" Target="http://www.ren21.net/wiap/detail.asp?id=83" TargetMode="External" /><Relationship Id="rId6" Type="http://schemas.openxmlformats.org/officeDocument/2006/relationships/hyperlink" Target="http://www.ren21.net/wiap/detail.asp?id=63" TargetMode="External" /><Relationship Id="rId7" Type="http://schemas.openxmlformats.org/officeDocument/2006/relationships/hyperlink" Target="http://www.ren21.net/wiap/detail.asp?id=17" TargetMode="External" /><Relationship Id="rId8" Type="http://schemas.openxmlformats.org/officeDocument/2006/relationships/hyperlink" Target="http://www.ren21.net/wiap/detail.asp?id=80" TargetMode="External" /><Relationship Id="rId9" Type="http://schemas.openxmlformats.org/officeDocument/2006/relationships/hyperlink" Target="http://www.ren21.net/wiap/detail.asp?id=251" TargetMode="External" /><Relationship Id="rId10" Type="http://schemas.openxmlformats.org/officeDocument/2006/relationships/hyperlink" Target="http://www.ren21.net/wiap/detail.asp?id=111" TargetMode="External" /><Relationship Id="rId11" Type="http://schemas.openxmlformats.org/officeDocument/2006/relationships/hyperlink" Target="http://www.ren21.net/wiap/detail.asp?id=217" TargetMode="External" /><Relationship Id="rId12" Type="http://schemas.openxmlformats.org/officeDocument/2006/relationships/hyperlink" Target="http://www.ren21.net/wiap/detail.asp?id=123" TargetMode="External" /><Relationship Id="rId13" Type="http://schemas.openxmlformats.org/officeDocument/2006/relationships/hyperlink" Target="http://www.ren21.net/wiap/detail.asp?id=66" TargetMode="External" /><Relationship Id="rId14" Type="http://schemas.openxmlformats.org/officeDocument/2006/relationships/hyperlink" Target="http://www.ren21.net/wiap/detail.asp?id=225" TargetMode="External" /><Relationship Id="rId15" Type="http://schemas.openxmlformats.org/officeDocument/2006/relationships/hyperlink" Target="http://www.ren21.net/wiap/detail.asp?id=105" TargetMode="External" /><Relationship Id="rId16" Type="http://schemas.openxmlformats.org/officeDocument/2006/relationships/hyperlink" Target="http://www.ren21.net/wiap/detail.asp?id=180" TargetMode="External" /><Relationship Id="rId17" Type="http://schemas.openxmlformats.org/officeDocument/2006/relationships/hyperlink" Target="http://www.ren21.net/wiap/detail.asp?id=155" TargetMode="External" /><Relationship Id="rId18" Type="http://schemas.openxmlformats.org/officeDocument/2006/relationships/hyperlink" Target="http://www.ren21.net/wiap/detail.asp?id=229" TargetMode="External" /><Relationship Id="rId19" Type="http://schemas.openxmlformats.org/officeDocument/2006/relationships/hyperlink" Target="http://www.ren21.net/wiap/detail.asp?id=88" TargetMode="External" /><Relationship Id="rId20" Type="http://schemas.openxmlformats.org/officeDocument/2006/relationships/hyperlink" Target="http://www.ren21.net/wiap/detail.asp?id=149" TargetMode="External" /><Relationship Id="rId21" Type="http://schemas.openxmlformats.org/officeDocument/2006/relationships/hyperlink" Target="http://www.ren21.net/wiap/detail.asp?id=14"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www.iea.org/Textbase/stats/balancetable.asp?COUNTRY_CODE=CH" TargetMode="External" /><Relationship Id="rId2" Type="http://schemas.openxmlformats.org/officeDocument/2006/relationships/hyperlink" Target="http://www.iea.org/Textbase/stats/balancetable.asp?COUNTRY_CODE=CH" TargetMode="External" /><Relationship Id="rId3" Type="http://schemas.openxmlformats.org/officeDocument/2006/relationships/hyperlink" Target="http://www.iea.org/Textbase/stats/balancetable.asp?COUNTRY_CODE=JO" TargetMode="External" /><Relationship Id="rId4" Type="http://schemas.openxmlformats.org/officeDocument/2006/relationships/hyperlink" Target="http://www.iea.org/Textbase/stats/balancetable.asp?COUNTRY_CODE=MA" TargetMode="External" /><Relationship Id="rId5" Type="http://schemas.openxmlformats.org/officeDocument/2006/relationships/hyperlink" Target="http://www.iea.org/Textbase/stats/balancetable.asp?COUNTRY_CODE=PK" TargetMode="External" /><Relationship Id="rId6" Type="http://schemas.openxmlformats.org/officeDocument/2006/relationships/hyperlink" Target="http://www.ren21.net/wiap/detail.asp?id=17" TargetMode="External" /><Relationship Id="rId7" Type="http://schemas.openxmlformats.org/officeDocument/2006/relationships/hyperlink" Target="http://www.ren21.net/wiap/detail.asp?id=54" TargetMode="External" /><Relationship Id="rId8" Type="http://schemas.openxmlformats.org/officeDocument/2006/relationships/hyperlink" Target="http://www.ren21.net/wiap/detail.asp?id=109" TargetMode="External" /><Relationship Id="rId9" Type="http://schemas.openxmlformats.org/officeDocument/2006/relationships/hyperlink" Target="http://www.ren21.net/wiap/detail.asp?id=98" TargetMode="External" /><Relationship Id="rId10"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hyperlink" Target="http://www.iea.org/Textbase/stats/balancetable.asp?COUNTRY_CODE=LT" TargetMode="External" /><Relationship Id="rId2" Type="http://schemas.openxmlformats.org/officeDocument/2006/relationships/hyperlink" Target="http://www.iea.org/Textbase/stats/balancetable.asp?COUNTRY_CODE=LT" TargetMode="External" /><Relationship Id="rId3" Type="http://schemas.openxmlformats.org/officeDocument/2006/relationships/hyperlink" Target="http://tonto.eia.doe.gov/country/country_energy_data.cfm?fips=FR" TargetMode="External" /><Relationship Id="rId4" Type="http://schemas.openxmlformats.org/officeDocument/2006/relationships/hyperlink" Target="http://tonto.eia.doe.gov/country/country_energy_data.cfm?fips=SP" TargetMode="External" /><Relationship Id="rId5" Type="http://schemas.openxmlformats.org/officeDocument/2006/relationships/hyperlink" Target="http://tonto.eia.doe.gov/country/country_energy_data.cfm?fips=LH" TargetMode="External" /><Relationship Id="rId6" Type="http://schemas.openxmlformats.org/officeDocument/2006/relationships/hyperlink" Target="http://tonto.eia.doe.gov/country/country_energy_data.cfm?fips=SW" TargetMode="External" /><Relationship Id="rId7" Type="http://schemas.openxmlformats.org/officeDocument/2006/relationships/hyperlink" Target="http://tonto.eia.doe.gov/country/country_energy_data.cfm?fips=UG" TargetMode="External" /><Relationship Id="rId8" Type="http://schemas.openxmlformats.org/officeDocument/2006/relationships/hyperlink" Target="http://www.ren21.net/wiap/detail.asp?id=74" TargetMode="External" /><Relationship Id="rId9" Type="http://schemas.openxmlformats.org/officeDocument/2006/relationships/hyperlink" Target="http://www.ren21.net/wiap/detail.asp?id=60" TargetMode="External" /><Relationship Id="rId10" Type="http://schemas.openxmlformats.org/officeDocument/2006/relationships/hyperlink" Target="http://www.ren21.net/wiap/detail.asp?id=108" TargetMode="External" /><Relationship Id="rId11" Type="http://schemas.openxmlformats.org/officeDocument/2006/relationships/hyperlink" Target="http://www.ren21.net/wiap/detail.asp?id=52" TargetMode="External" /><Relationship Id="rId12" Type="http://schemas.openxmlformats.org/officeDocument/2006/relationships/hyperlink" Target="http://www.ren21.net/wiap/detail.asp?id=185" TargetMode="External" /><Relationship Id="rId13" Type="http://schemas.openxmlformats.org/officeDocument/2006/relationships/hyperlink" Target="http://www.iea.org/Textbase/stats/renewdata.asp?COUNTRY_CODE=AR" TargetMode="External" /><Relationship Id="rId14" Type="http://schemas.openxmlformats.org/officeDocument/2006/relationships/hyperlink" Target="http://www.ren21.net/wiap/detail.asp?id=341" TargetMode="External" /><Relationship Id="rId15"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hyperlink" Target="http://www.iea.org/Textbase/stats/balancetable.asp?COUNTRY_CODE=IT" TargetMode="External" /><Relationship Id="rId2" Type="http://schemas.openxmlformats.org/officeDocument/2006/relationships/hyperlink" Target="http://www.iea.org/Textbase/stats/balancetable.asp?COUNTRY_CODE=LT" TargetMode="External" /><Relationship Id="rId3" Type="http://schemas.openxmlformats.org/officeDocument/2006/relationships/hyperlink" Target="http://www.iea.org/Textbase/stats/balancetable.asp?COUNTRY_CODE=IT" TargetMode="External" /><Relationship Id="rId4" Type="http://schemas.openxmlformats.org/officeDocument/2006/relationships/hyperlink" Target="http://www.iea.org/Textbase/stats/oildata.asp?COUNTRY_CODE=FR" TargetMode="External" /><Relationship Id="rId5" Type="http://schemas.openxmlformats.org/officeDocument/2006/relationships/hyperlink" Target="http://www.iea.org/Textbase/stats/oildata.asp?COUNTRY_CODE=ES" TargetMode="External" /><Relationship Id="rId6" Type="http://schemas.openxmlformats.org/officeDocument/2006/relationships/hyperlink" Target="http://www.iea.org/Textbase/stats/oildata.asp?COUNTRY_CODE=IT" TargetMode="External" /><Relationship Id="rId7" Type="http://schemas.openxmlformats.org/officeDocument/2006/relationships/hyperlink" Target="http://www.iea.org/Textbase/stats/oildata.asp?COUNTRY_CODE=LT" TargetMode="External" /><Relationship Id="rId8" Type="http://schemas.openxmlformats.org/officeDocument/2006/relationships/hyperlink" Target="http://www.iea.org/Textbase/stats/oildata.asp?COUNTRY_CODE=TR" TargetMode="External" /><Relationship Id="rId9" Type="http://schemas.openxmlformats.org/officeDocument/2006/relationships/hyperlink" Target="http://www.iea.org/Textbase/stats/oildata.asp?COUNTRY_CODE=PY" TargetMode="External" /><Relationship Id="rId10" Type="http://schemas.openxmlformats.org/officeDocument/2006/relationships/hyperlink" Target="http://www.ren21.net/wiap/detail.asp?id=154" TargetMode="External" /><Relationship Id="rId11" Type="http://schemas.openxmlformats.org/officeDocument/2006/relationships/hyperlink" Target="http://www.ren21.net/wiap/detail.asp?id=74" TargetMode="External" /><Relationship Id="rId12" Type="http://schemas.openxmlformats.org/officeDocument/2006/relationships/hyperlink" Target="http://www.ren21.net/wiap/detail.asp?id=74" TargetMode="External" /><Relationship Id="rId13" Type="http://schemas.openxmlformats.org/officeDocument/2006/relationships/hyperlink" Target="http://www.ren21.net/wiap/detail.asp?id=74" TargetMode="External" /><Relationship Id="rId14" Type="http://schemas.openxmlformats.org/officeDocument/2006/relationships/hyperlink" Target="http://www.ren21.net/wiap/detail.asp?id=74" TargetMode="External" /><Relationship Id="rId15" Type="http://schemas.openxmlformats.org/officeDocument/2006/relationships/hyperlink" Target="http://www.ren21.net/wiap/detail.asp?id=74" TargetMode="External" /><Relationship Id="rId16" Type="http://schemas.openxmlformats.org/officeDocument/2006/relationships/hyperlink" Target="http://www.ren21.net/wiap/detail.asp?id=74" TargetMode="External" /><Relationship Id="rId17" Type="http://schemas.openxmlformats.org/officeDocument/2006/relationships/hyperlink" Target="http://www.ren21.net/wiap/detail.asp?id=74" TargetMode="External" /><Relationship Id="rId18" Type="http://schemas.openxmlformats.org/officeDocument/2006/relationships/hyperlink" Target="http://www.ren21.net/wiap/detail.asp?id=74" TargetMode="External" /><Relationship Id="rId19" Type="http://schemas.openxmlformats.org/officeDocument/2006/relationships/hyperlink" Target="http://www.ren21.net/wiap/detail.asp?id=74" TargetMode="External" /><Relationship Id="rId20" Type="http://schemas.openxmlformats.org/officeDocument/2006/relationships/hyperlink" Target="http://www.ren21.net/wiap/detail.asp?id=60" TargetMode="External" /><Relationship Id="rId21" Type="http://schemas.openxmlformats.org/officeDocument/2006/relationships/hyperlink" Target="http://www.ren21.net/wiap/detail.asp?id=63" TargetMode="External" /><Relationship Id="rId22" Type="http://schemas.openxmlformats.org/officeDocument/2006/relationships/hyperlink" Target="http://www.ren21.net/wiap/detail.asp?id=108" TargetMode="External" /><Relationship Id="rId23" Type="http://schemas.openxmlformats.org/officeDocument/2006/relationships/hyperlink" Target="http://www.ren21.net/wiap/detail.asp?id=217" TargetMode="External" /><Relationship Id="rId24" Type="http://schemas.openxmlformats.org/officeDocument/2006/relationships/hyperlink" Target="http://www.ren21.net/wiap/detail.asp?id=195" TargetMode="External" /><Relationship Id="rId25" Type="http://schemas.openxmlformats.org/officeDocument/2006/relationships/hyperlink" Target="http://www.ren21.net/wiap/detail.asp?id=154" TargetMode="External" /><Relationship Id="rId26" Type="http://schemas.openxmlformats.org/officeDocument/2006/relationships/hyperlink" Target="http://www.ren21.net/wiap/detail.asp?id=225" TargetMode="External" /><Relationship Id="rId27" Type="http://schemas.openxmlformats.org/officeDocument/2006/relationships/hyperlink" Target="http://www.ren21.net/wiap/detail.asp?id=220" TargetMode="External" /><Relationship Id="rId28" Type="http://schemas.openxmlformats.org/officeDocument/2006/relationships/hyperlink" Target="http://www.ren21.net/wiap/detail.asp?id=231" TargetMode="External" /><Relationship Id="rId29"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hyperlink" Target="http://www.ren21.net/wiap/detail.asp?id=90" TargetMode="External" /><Relationship Id="rId2" Type="http://schemas.openxmlformats.org/officeDocument/2006/relationships/hyperlink" Target="http://www.ren21.net/wiap/detail.asp?id=173" TargetMode="External" /><Relationship Id="rId3" Type="http://schemas.openxmlformats.org/officeDocument/2006/relationships/hyperlink" Target="http://www.ren21.net/wiap/detail.asp?id=143" TargetMode="External" /><Relationship Id="rId4" Type="http://schemas.openxmlformats.org/officeDocument/2006/relationships/hyperlink" Target="http://www.ren21.net/wiap/detail.asp?id=64" TargetMode="External" /><Relationship Id="rId5" Type="http://schemas.openxmlformats.org/officeDocument/2006/relationships/hyperlink" Target="http://www.ren21.net/wiap/detail.asp?id=12" TargetMode="External" /><Relationship Id="rId6" Type="http://schemas.openxmlformats.org/officeDocument/2006/relationships/hyperlink" Target="http://www.ren21.net/wiap/detail.asp?id=68" TargetMode="External" /><Relationship Id="rId7" Type="http://schemas.openxmlformats.org/officeDocument/2006/relationships/hyperlink" Target="http://www.ren21.net/wiap/detail.asp?id=333" TargetMode="External" /><Relationship Id="rId8" Type="http://schemas.openxmlformats.org/officeDocument/2006/relationships/hyperlink" Target="http://www.ren21.net/wiap/detail.asp?id=59" TargetMode="External" /><Relationship Id="rId9" Type="http://schemas.openxmlformats.org/officeDocument/2006/relationships/hyperlink" Target="http://www.ren21.net/wiap/detail.asp?id=340" TargetMode="External" /><Relationship Id="rId10" Type="http://schemas.openxmlformats.org/officeDocument/2006/relationships/hyperlink" Target="http://www.ren21.net/wiap/detail.asp?id=94" TargetMode="External" /><Relationship Id="rId11" Type="http://schemas.openxmlformats.org/officeDocument/2006/relationships/hyperlink" Target="http://www.ren21.net/wiap/detail.asp?id=41"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www.ren21.net/wiap/detail.asp?id=97" TargetMode="External" /><Relationship Id="rId2" Type="http://schemas.openxmlformats.org/officeDocument/2006/relationships/hyperlink" Target="http://www.ren21.net/wiap/detail.asp?id=75" TargetMode="External" /><Relationship Id="rId3" Type="http://schemas.openxmlformats.org/officeDocument/2006/relationships/hyperlink" Target="http://www.ren21.net/wiap/detail.asp?id=220" TargetMode="External" /><Relationship Id="rId4" Type="http://schemas.openxmlformats.org/officeDocument/2006/relationships/hyperlink" Target="http://www.ren21.net/wiap/detail.asp?id=87" TargetMode="External" /><Relationship Id="rId5" Type="http://schemas.openxmlformats.org/officeDocument/2006/relationships/hyperlink" Target="http://www.ren21.net/wiap/detail.asp?id=247" TargetMode="External" /><Relationship Id="rId6" Type="http://schemas.openxmlformats.org/officeDocument/2006/relationships/hyperlink" Target="http://www.ren21.net/wiap/detail.asp?id=247" TargetMode="External" /><Relationship Id="rId7" Type="http://schemas.openxmlformats.org/officeDocument/2006/relationships/hyperlink" Target="http://www.ren21.net/wiap/detail.asp?id=42"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www.ren21.net/wiap/detail.asp?id=131" TargetMode="External" /><Relationship Id="rId2" Type="http://schemas.openxmlformats.org/officeDocument/2006/relationships/hyperlink" Target="http://www.ren21.net/wiap/detail.asp?id=131" TargetMode="External" /><Relationship Id="rId3" Type="http://schemas.openxmlformats.org/officeDocument/2006/relationships/hyperlink" Target="http://www.ren21.net/wiap/detail.asp?id=144" TargetMode="External" /><Relationship Id="rId4" Type="http://schemas.openxmlformats.org/officeDocument/2006/relationships/hyperlink" Target="http://tonto.eia.doe.gov/country/country_energy_data.cfm?fips=TS" TargetMode="External" /></Relationships>
</file>

<file path=xl/worksheets/sheet1.xml><?xml version="1.0" encoding="utf-8"?>
<worksheet xmlns="http://schemas.openxmlformats.org/spreadsheetml/2006/main" xmlns:r="http://schemas.openxmlformats.org/officeDocument/2006/relationships">
  <dimension ref="A1:J150"/>
  <sheetViews>
    <sheetView tabSelected="1" zoomScale="85" zoomScaleNormal="85" workbookViewId="0" topLeftCell="A1">
      <pane xSplit="2" ySplit="3" topLeftCell="C4" activePane="bottomRight" state="frozen"/>
      <selection pane="topLeft" activeCell="A1" sqref="A1"/>
      <selection pane="topRight" activeCell="C1" sqref="C1"/>
      <selection pane="bottomLeft" activeCell="A4" sqref="A4"/>
      <selection pane="bottomRight" activeCell="A4" sqref="A4"/>
    </sheetView>
  </sheetViews>
  <sheetFormatPr defaultColWidth="9.140625" defaultRowHeight="12.75"/>
  <cols>
    <col min="1" max="1" width="9.140625" style="1" customWidth="1"/>
    <col min="2" max="2" width="36.7109375" style="3" customWidth="1"/>
    <col min="3" max="3" width="57.421875" style="3" customWidth="1"/>
    <col min="4" max="4" width="9.140625" style="2" customWidth="1"/>
    <col min="5" max="5" width="16.421875" style="2" customWidth="1"/>
    <col min="6" max="8" width="17.140625" style="2" customWidth="1"/>
    <col min="9" max="9" width="16.140625" style="2" customWidth="1"/>
    <col min="10" max="10" width="16.7109375" style="2" customWidth="1"/>
    <col min="11" max="16384" width="9.140625" style="2" customWidth="1"/>
  </cols>
  <sheetData>
    <row r="1" spans="1:10" ht="41.25" customHeight="1">
      <c r="A1" s="465" t="s">
        <v>324</v>
      </c>
      <c r="B1" s="465"/>
      <c r="C1" s="465"/>
      <c r="D1" s="465"/>
      <c r="E1" s="465"/>
      <c r="F1" s="465"/>
      <c r="G1" s="465"/>
      <c r="H1" s="465"/>
      <c r="I1" s="465"/>
      <c r="J1" s="465"/>
    </row>
    <row r="2" spans="1:10" ht="41.25" customHeight="1">
      <c r="A2" s="464" t="s">
        <v>325</v>
      </c>
      <c r="B2" s="464"/>
      <c r="C2" s="464"/>
      <c r="D2" s="464"/>
      <c r="E2" s="464"/>
      <c r="F2" s="464"/>
      <c r="G2" s="464"/>
      <c r="H2" s="464"/>
      <c r="I2" s="464"/>
      <c r="J2" s="464"/>
    </row>
    <row r="3" spans="1:10" ht="94.5">
      <c r="A3" s="4" t="s">
        <v>393</v>
      </c>
      <c r="B3" s="4" t="s">
        <v>391</v>
      </c>
      <c r="C3" s="4" t="s">
        <v>392</v>
      </c>
      <c r="D3" s="5" t="s">
        <v>394</v>
      </c>
      <c r="E3" s="5" t="s">
        <v>343</v>
      </c>
      <c r="F3" s="5" t="s">
        <v>100</v>
      </c>
      <c r="G3" s="5" t="s">
        <v>781</v>
      </c>
      <c r="H3" s="5" t="s">
        <v>782</v>
      </c>
      <c r="I3" s="5" t="s">
        <v>65</v>
      </c>
      <c r="J3" s="5" t="s">
        <v>66</v>
      </c>
    </row>
    <row r="4" spans="1:10" ht="12.75">
      <c r="A4" s="6">
        <v>1</v>
      </c>
      <c r="B4" s="7" t="s">
        <v>872</v>
      </c>
      <c r="C4" s="7" t="s">
        <v>873</v>
      </c>
      <c r="D4" s="214">
        <f>'Group 6'!B204</f>
        <v>2020</v>
      </c>
      <c r="E4" s="217">
        <f>'Group 6'!B211</f>
        <v>31.258186534516494</v>
      </c>
      <c r="F4" s="217">
        <f>'Group 6'!B212</f>
        <v>506.39516436869724</v>
      </c>
      <c r="G4" s="217"/>
      <c r="H4" s="217"/>
      <c r="I4" s="220"/>
      <c r="J4" s="220"/>
    </row>
    <row r="5" spans="1:10" ht="24.75" customHeight="1">
      <c r="A5" s="8">
        <v>1</v>
      </c>
      <c r="B5" s="10" t="s">
        <v>874</v>
      </c>
      <c r="C5" s="10" t="s">
        <v>949</v>
      </c>
      <c r="D5" s="106">
        <f>'Group 1'!B129</f>
        <v>2012</v>
      </c>
      <c r="E5" s="215">
        <f>'Group 1'!B136</f>
        <v>0.02730165510342189</v>
      </c>
      <c r="F5" s="215">
        <f>'Group 1'!B137</f>
        <v>0.5575051059298789</v>
      </c>
      <c r="G5" s="215"/>
      <c r="H5" s="215"/>
      <c r="I5" s="218"/>
      <c r="J5" s="218"/>
    </row>
    <row r="6" spans="1:10" ht="14.25">
      <c r="A6" s="12">
        <v>1</v>
      </c>
      <c r="B6" s="13" t="s">
        <v>821</v>
      </c>
      <c r="C6" s="7" t="s">
        <v>739</v>
      </c>
      <c r="D6" s="14"/>
      <c r="E6" s="216"/>
      <c r="F6" s="216"/>
      <c r="G6" s="216"/>
      <c r="H6" s="216"/>
      <c r="I6" s="219"/>
      <c r="J6" s="219"/>
    </row>
    <row r="7" spans="1:10" ht="38.25">
      <c r="A7" s="8">
        <v>1</v>
      </c>
      <c r="B7" s="10" t="s">
        <v>740</v>
      </c>
      <c r="C7" s="10" t="s">
        <v>595</v>
      </c>
      <c r="D7" s="106">
        <f>'Group 2'!B196</f>
        <v>2020</v>
      </c>
      <c r="E7" s="215">
        <f>'Group 2'!B203</f>
        <v>0.424603104</v>
      </c>
      <c r="F7" s="215">
        <f>'Group 2'!B204</f>
        <v>7.005951216</v>
      </c>
      <c r="G7" s="215"/>
      <c r="H7" s="215"/>
      <c r="I7" s="218"/>
      <c r="J7" s="218"/>
    </row>
    <row r="8" spans="1:10" ht="12.75">
      <c r="A8" s="12">
        <v>2</v>
      </c>
      <c r="B8" s="13" t="s">
        <v>1028</v>
      </c>
      <c r="C8" s="7" t="s">
        <v>1029</v>
      </c>
      <c r="D8" s="14"/>
      <c r="E8" s="216"/>
      <c r="F8" s="216"/>
      <c r="G8" s="216"/>
      <c r="H8" s="216"/>
      <c r="I8" s="219"/>
      <c r="J8" s="219"/>
    </row>
    <row r="9" spans="1:10" ht="25.5">
      <c r="A9" s="8">
        <v>1</v>
      </c>
      <c r="B9" s="10" t="s">
        <v>1030</v>
      </c>
      <c r="C9" s="10" t="s">
        <v>1031</v>
      </c>
      <c r="D9" s="106">
        <f>'Group 3'!B130</f>
        <v>2012</v>
      </c>
      <c r="E9" s="215">
        <f>'Group 3'!B137</f>
        <v>6.321757037637766</v>
      </c>
      <c r="F9" s="215">
        <f>'Group 3'!B138</f>
        <v>129.19727648275486</v>
      </c>
      <c r="G9" s="215"/>
      <c r="H9" s="215"/>
      <c r="I9" s="218"/>
      <c r="J9" s="218"/>
    </row>
    <row r="10" spans="1:10" ht="12.75">
      <c r="A10" s="12">
        <v>2</v>
      </c>
      <c r="B10" s="13" t="s">
        <v>1032</v>
      </c>
      <c r="C10" s="7" t="s">
        <v>883</v>
      </c>
      <c r="D10" s="14"/>
      <c r="E10" s="216"/>
      <c r="F10" s="216"/>
      <c r="G10" s="216"/>
      <c r="H10" s="216"/>
      <c r="I10" s="219"/>
      <c r="J10" s="219"/>
    </row>
    <row r="11" spans="1:10" ht="25.5">
      <c r="A11" s="8">
        <v>1</v>
      </c>
      <c r="B11" s="10" t="s">
        <v>817</v>
      </c>
      <c r="C11" s="10" t="s">
        <v>828</v>
      </c>
      <c r="D11" s="106">
        <f>'Group 4'!B54</f>
        <v>2010</v>
      </c>
      <c r="E11" s="215">
        <f>'Group 4'!B61+'Group 5'!B64</f>
        <v>12.800168632849475</v>
      </c>
      <c r="F11" s="215">
        <f>'Group 4'!B62+'Group 5'!B65</f>
        <v>275.1571780969454</v>
      </c>
      <c r="G11" s="215">
        <f>'Group 5'!B67</f>
        <v>804.8299172799805</v>
      </c>
      <c r="H11" s="215">
        <f>'Group 5'!B66</f>
        <v>17303.04229869396</v>
      </c>
      <c r="I11" s="232">
        <f>'Group 5'!B64</f>
        <v>1.1292751931584697</v>
      </c>
      <c r="J11" s="232">
        <f>'Group 5'!B65</f>
        <v>24.27829285984326</v>
      </c>
    </row>
    <row r="12" spans="1:10" ht="25.5">
      <c r="A12" s="12">
        <v>2</v>
      </c>
      <c r="B12" s="13" t="s">
        <v>829</v>
      </c>
      <c r="C12" s="7" t="s">
        <v>830</v>
      </c>
      <c r="D12" s="14"/>
      <c r="E12" s="216"/>
      <c r="F12" s="216"/>
      <c r="G12" s="216"/>
      <c r="H12" s="216"/>
      <c r="I12" s="219"/>
      <c r="J12" s="219"/>
    </row>
    <row r="13" spans="1:10" ht="12.75">
      <c r="A13" s="8">
        <v>1</v>
      </c>
      <c r="B13" s="10" t="s">
        <v>831</v>
      </c>
      <c r="C13" s="10" t="s">
        <v>832</v>
      </c>
      <c r="D13" s="106">
        <f>'Group 2'!B461</f>
        <v>2015</v>
      </c>
      <c r="E13" s="215">
        <f>'Group 2'!B468</f>
        <v>0.181526790864</v>
      </c>
      <c r="F13" s="215">
        <f>'Group 2'!B469</f>
        <v>3.449009026416</v>
      </c>
      <c r="G13" s="215"/>
      <c r="H13" s="215"/>
      <c r="I13" s="232"/>
      <c r="J13" s="232"/>
    </row>
    <row r="14" spans="1:10" ht="38.25">
      <c r="A14" s="12">
        <v>2</v>
      </c>
      <c r="B14" s="13" t="s">
        <v>895</v>
      </c>
      <c r="C14" s="7" t="s">
        <v>896</v>
      </c>
      <c r="D14" s="14"/>
      <c r="E14" s="216"/>
      <c r="F14" s="216"/>
      <c r="G14" s="216"/>
      <c r="H14" s="216"/>
      <c r="I14" s="219"/>
      <c r="J14" s="219"/>
    </row>
    <row r="15" spans="1:10" ht="25.5">
      <c r="A15" s="8">
        <v>2</v>
      </c>
      <c r="B15" s="9" t="s">
        <v>897</v>
      </c>
      <c r="C15" s="10" t="s">
        <v>898</v>
      </c>
      <c r="D15" s="11"/>
      <c r="E15" s="215"/>
      <c r="F15" s="215"/>
      <c r="G15" s="215"/>
      <c r="H15" s="215"/>
      <c r="I15" s="218"/>
      <c r="J15" s="218"/>
    </row>
    <row r="16" spans="1:10" ht="24.75" customHeight="1">
      <c r="A16" s="12">
        <v>1</v>
      </c>
      <c r="B16" s="7" t="s">
        <v>899</v>
      </c>
      <c r="C16" s="7" t="s">
        <v>900</v>
      </c>
      <c r="D16" s="14">
        <v>2012</v>
      </c>
      <c r="E16" s="216">
        <f>'Group 6'!G263</f>
        <v>7.3035</v>
      </c>
      <c r="F16" s="216">
        <f>'Group 6'!G264</f>
        <v>149.72175</v>
      </c>
      <c r="G16" s="216"/>
      <c r="H16" s="216"/>
      <c r="I16" s="219"/>
      <c r="J16" s="219"/>
    </row>
    <row r="17" spans="1:10" ht="12.75">
      <c r="A17" s="8">
        <v>1</v>
      </c>
      <c r="B17" s="10" t="s">
        <v>901</v>
      </c>
      <c r="C17" s="10" t="s">
        <v>902</v>
      </c>
      <c r="D17" s="106">
        <f>'Group 4'!B18</f>
        <v>2020</v>
      </c>
      <c r="E17" s="215">
        <f>'Group 4'!B25+'Group 5'!B30</f>
        <v>54.9182409458657</v>
      </c>
      <c r="F17" s="215">
        <f>'Group 4'!B26+'Group 5'!B31</f>
        <v>897.0548497914399</v>
      </c>
      <c r="G17" s="215">
        <f>'Group 5'!B33</f>
        <v>3787.1047308977736</v>
      </c>
      <c r="H17" s="215">
        <f>'Group 5'!B32</f>
        <v>62308.60230161303</v>
      </c>
      <c r="I17" s="232">
        <f>'Group 5'!B30</f>
        <v>5.224384958952824</v>
      </c>
      <c r="J17" s="232">
        <f>'Group 5'!B31</f>
        <v>85.95593409975528</v>
      </c>
    </row>
    <row r="18" spans="1:10" ht="12.75">
      <c r="A18" s="12">
        <v>2</v>
      </c>
      <c r="B18" s="13" t="s">
        <v>903</v>
      </c>
      <c r="C18" s="7" t="s">
        <v>904</v>
      </c>
      <c r="D18" s="14"/>
      <c r="E18" s="216"/>
      <c r="F18" s="216"/>
      <c r="G18" s="216"/>
      <c r="H18" s="216"/>
      <c r="I18" s="219"/>
      <c r="J18" s="219"/>
    </row>
    <row r="19" spans="1:10" ht="24.75" customHeight="1">
      <c r="A19" s="8">
        <v>2</v>
      </c>
      <c r="B19" s="9" t="s">
        <v>905</v>
      </c>
      <c r="C19" s="10" t="s">
        <v>906</v>
      </c>
      <c r="D19" s="11"/>
      <c r="E19" s="215"/>
      <c r="F19" s="407"/>
      <c r="G19" s="407"/>
      <c r="H19" s="407"/>
      <c r="I19" s="218"/>
      <c r="J19" s="218"/>
    </row>
    <row r="20" spans="1:10" ht="25.5">
      <c r="A20" s="12">
        <v>2</v>
      </c>
      <c r="B20" s="13" t="s">
        <v>907</v>
      </c>
      <c r="C20" s="7" t="s">
        <v>990</v>
      </c>
      <c r="D20" s="14"/>
      <c r="E20" s="216"/>
      <c r="F20" s="216"/>
      <c r="G20" s="216"/>
      <c r="H20" s="216"/>
      <c r="I20" s="219"/>
      <c r="J20" s="219"/>
    </row>
    <row r="21" spans="1:10" ht="24.75" customHeight="1">
      <c r="A21" s="8">
        <v>2</v>
      </c>
      <c r="B21" s="9" t="s">
        <v>841</v>
      </c>
      <c r="C21" s="10" t="s">
        <v>842</v>
      </c>
      <c r="D21" s="11"/>
      <c r="E21" s="215"/>
      <c r="F21" s="215"/>
      <c r="G21" s="215"/>
      <c r="H21" s="215"/>
      <c r="I21" s="218"/>
      <c r="J21" s="218"/>
    </row>
    <row r="22" spans="1:10" ht="25.5">
      <c r="A22" s="12">
        <v>2</v>
      </c>
      <c r="B22" s="13" t="s">
        <v>843</v>
      </c>
      <c r="C22" s="7" t="s">
        <v>844</v>
      </c>
      <c r="D22" s="14"/>
      <c r="E22" s="216"/>
      <c r="F22" s="216"/>
      <c r="G22" s="216"/>
      <c r="H22" s="216"/>
      <c r="I22" s="219"/>
      <c r="J22" s="219"/>
    </row>
    <row r="23" spans="1:10" ht="25.5">
      <c r="A23" s="8">
        <v>2</v>
      </c>
      <c r="B23" s="408" t="s">
        <v>845</v>
      </c>
      <c r="C23" s="10" t="s">
        <v>761</v>
      </c>
      <c r="D23" s="11"/>
      <c r="E23" s="215"/>
      <c r="F23" s="215"/>
      <c r="G23" s="215"/>
      <c r="H23" s="215"/>
      <c r="I23" s="218"/>
      <c r="J23" s="218"/>
    </row>
    <row r="24" spans="1:10" ht="25.5">
      <c r="A24" s="12">
        <v>2</v>
      </c>
      <c r="B24" s="13" t="s">
        <v>749</v>
      </c>
      <c r="C24" s="7" t="s">
        <v>93</v>
      </c>
      <c r="D24" s="14"/>
      <c r="E24" s="216"/>
      <c r="F24" s="216"/>
      <c r="G24" s="216"/>
      <c r="H24" s="216"/>
      <c r="I24" s="219"/>
      <c r="J24" s="219"/>
    </row>
    <row r="25" spans="1:10" ht="38.25">
      <c r="A25" s="8">
        <v>2</v>
      </c>
      <c r="B25" s="9" t="s">
        <v>909</v>
      </c>
      <c r="C25" s="10" t="s">
        <v>994</v>
      </c>
      <c r="D25" s="11"/>
      <c r="E25" s="215"/>
      <c r="F25" s="215"/>
      <c r="G25" s="215"/>
      <c r="H25" s="215"/>
      <c r="I25" s="218"/>
      <c r="J25" s="218"/>
    </row>
    <row r="26" spans="1:10" ht="14.25">
      <c r="A26" s="12">
        <v>1</v>
      </c>
      <c r="B26" s="13" t="s">
        <v>822</v>
      </c>
      <c r="C26" s="7" t="s">
        <v>995</v>
      </c>
      <c r="D26" s="14"/>
      <c r="E26" s="216"/>
      <c r="F26" s="216"/>
      <c r="G26" s="216"/>
      <c r="H26" s="216"/>
      <c r="I26" s="219"/>
      <c r="J26" s="219"/>
    </row>
    <row r="27" spans="1:10" ht="25.5">
      <c r="A27" s="8">
        <v>2</v>
      </c>
      <c r="B27" s="9" t="s">
        <v>913</v>
      </c>
      <c r="C27" s="10" t="s">
        <v>852</v>
      </c>
      <c r="D27" s="11"/>
      <c r="E27" s="215"/>
      <c r="F27" s="215"/>
      <c r="G27" s="215"/>
      <c r="H27" s="215"/>
      <c r="I27" s="218"/>
      <c r="J27" s="218"/>
    </row>
    <row r="28" spans="1:10" ht="14.25">
      <c r="A28" s="12">
        <v>1</v>
      </c>
      <c r="B28" s="13" t="s">
        <v>823</v>
      </c>
      <c r="C28" s="7" t="s">
        <v>853</v>
      </c>
      <c r="D28" s="14"/>
      <c r="E28" s="216"/>
      <c r="F28" s="216"/>
      <c r="G28" s="216"/>
      <c r="H28" s="216"/>
      <c r="I28" s="219"/>
      <c r="J28" s="219"/>
    </row>
    <row r="29" spans="1:10" ht="25.5">
      <c r="A29" s="8">
        <v>2</v>
      </c>
      <c r="B29" s="9" t="s">
        <v>876</v>
      </c>
      <c r="C29" s="10" t="s">
        <v>877</v>
      </c>
      <c r="D29" s="11"/>
      <c r="E29" s="215"/>
      <c r="F29" s="215"/>
      <c r="G29" s="215"/>
      <c r="H29" s="215"/>
      <c r="I29" s="218"/>
      <c r="J29" s="218"/>
    </row>
    <row r="30" spans="1:10" ht="25.5">
      <c r="A30" s="12">
        <v>2</v>
      </c>
      <c r="B30" s="13" t="s">
        <v>876</v>
      </c>
      <c r="C30" s="7" t="s">
        <v>878</v>
      </c>
      <c r="D30" s="14"/>
      <c r="E30" s="216"/>
      <c r="F30" s="216"/>
      <c r="G30" s="216"/>
      <c r="H30" s="216"/>
      <c r="I30" s="219"/>
      <c r="J30" s="219"/>
    </row>
    <row r="31" spans="1:10" ht="25.5">
      <c r="A31" s="8">
        <v>2</v>
      </c>
      <c r="B31" s="9" t="s">
        <v>879</v>
      </c>
      <c r="C31" s="10" t="s">
        <v>864</v>
      </c>
      <c r="D31" s="11"/>
      <c r="E31" s="215"/>
      <c r="F31" s="215"/>
      <c r="G31" s="215"/>
      <c r="H31" s="215"/>
      <c r="I31" s="218"/>
      <c r="J31" s="218"/>
    </row>
    <row r="32" spans="1:10" ht="38.25">
      <c r="A32" s="12">
        <v>2</v>
      </c>
      <c r="B32" s="13" t="s">
        <v>865</v>
      </c>
      <c r="C32" s="7" t="s">
        <v>866</v>
      </c>
      <c r="D32" s="14"/>
      <c r="E32" s="216"/>
      <c r="F32" s="216"/>
      <c r="G32" s="216"/>
      <c r="H32" s="216"/>
      <c r="I32" s="219"/>
      <c r="J32" s="219"/>
    </row>
    <row r="33" spans="1:10" ht="12.75">
      <c r="A33" s="8">
        <v>2</v>
      </c>
      <c r="B33" s="9" t="s">
        <v>867</v>
      </c>
      <c r="C33" s="10" t="s">
        <v>868</v>
      </c>
      <c r="D33" s="11"/>
      <c r="E33" s="215"/>
      <c r="F33" s="215"/>
      <c r="G33" s="215"/>
      <c r="H33" s="215"/>
      <c r="I33" s="218"/>
      <c r="J33" s="218"/>
    </row>
    <row r="34" spans="1:10" ht="25.5">
      <c r="A34" s="12">
        <v>2</v>
      </c>
      <c r="B34" s="13" t="s">
        <v>869</v>
      </c>
      <c r="C34" s="7" t="s">
        <v>870</v>
      </c>
      <c r="D34" s="14"/>
      <c r="E34" s="216"/>
      <c r="F34" s="216"/>
      <c r="G34" s="216"/>
      <c r="H34" s="216"/>
      <c r="I34" s="219"/>
      <c r="J34" s="219"/>
    </row>
    <row r="35" spans="1:10" ht="25.5">
      <c r="A35" s="8">
        <v>2</v>
      </c>
      <c r="B35" s="9" t="s">
        <v>871</v>
      </c>
      <c r="C35" s="10" t="s">
        <v>788</v>
      </c>
      <c r="D35" s="11"/>
      <c r="E35" s="215"/>
      <c r="F35" s="215"/>
      <c r="G35" s="215"/>
      <c r="H35" s="215"/>
      <c r="I35" s="218"/>
      <c r="J35" s="218"/>
    </row>
    <row r="36" spans="1:10" ht="38.25">
      <c r="A36" s="12">
        <v>2</v>
      </c>
      <c r="B36" s="13" t="s">
        <v>789</v>
      </c>
      <c r="C36" s="7" t="s">
        <v>717</v>
      </c>
      <c r="D36" s="14"/>
      <c r="E36" s="216"/>
      <c r="F36" s="216"/>
      <c r="G36" s="216"/>
      <c r="H36" s="216"/>
      <c r="I36" s="219"/>
      <c r="J36" s="219"/>
    </row>
    <row r="37" spans="1:10" ht="25.5">
      <c r="A37" s="8">
        <v>2</v>
      </c>
      <c r="B37" s="9" t="s">
        <v>738</v>
      </c>
      <c r="C37" s="10" t="s">
        <v>594</v>
      </c>
      <c r="D37" s="11"/>
      <c r="E37" s="215"/>
      <c r="F37" s="215"/>
      <c r="G37" s="215"/>
      <c r="H37" s="215"/>
      <c r="I37" s="218"/>
      <c r="J37" s="218"/>
    </row>
    <row r="38" spans="1:10" ht="25.5">
      <c r="A38" s="12">
        <v>1</v>
      </c>
      <c r="B38" s="7" t="s">
        <v>561</v>
      </c>
      <c r="C38" s="7" t="s">
        <v>596</v>
      </c>
      <c r="D38" s="105">
        <f>'Group 2'!B387</f>
        <v>2015</v>
      </c>
      <c r="E38" s="216">
        <f>'Group 2'!B394</f>
        <v>0.1554</v>
      </c>
      <c r="F38" s="216">
        <f>'Group 2'!B395</f>
        <v>2.9526</v>
      </c>
      <c r="G38" s="216"/>
      <c r="H38" s="216"/>
      <c r="I38" s="219"/>
      <c r="J38" s="219"/>
    </row>
    <row r="39" spans="1:10" ht="25.5">
      <c r="A39" s="8">
        <v>2</v>
      </c>
      <c r="B39" s="9" t="s">
        <v>35</v>
      </c>
      <c r="C39" s="10" t="s">
        <v>954</v>
      </c>
      <c r="D39" s="11"/>
      <c r="E39" s="215"/>
      <c r="F39" s="215"/>
      <c r="G39" s="215"/>
      <c r="H39" s="215"/>
      <c r="I39" s="218"/>
      <c r="J39" s="218"/>
    </row>
    <row r="40" spans="1:10" ht="25.5">
      <c r="A40" s="12">
        <v>2</v>
      </c>
      <c r="B40" s="13" t="s">
        <v>955</v>
      </c>
      <c r="C40" s="7" t="s">
        <v>956</v>
      </c>
      <c r="D40" s="14"/>
      <c r="E40" s="216"/>
      <c r="F40" s="216"/>
      <c r="G40" s="216"/>
      <c r="H40" s="216"/>
      <c r="I40" s="219"/>
      <c r="J40" s="219"/>
    </row>
    <row r="41" spans="1:10" ht="25.5">
      <c r="A41" s="8">
        <v>1</v>
      </c>
      <c r="B41" s="10" t="s">
        <v>880</v>
      </c>
      <c r="C41" s="10" t="s">
        <v>881</v>
      </c>
      <c r="D41" s="11">
        <v>2012</v>
      </c>
      <c r="E41" s="215">
        <f>'Group 6'!H371</f>
        <v>0.52390306453875</v>
      </c>
      <c r="F41" s="215">
        <f>'Group 6'!H372</f>
        <v>10.740012823044376</v>
      </c>
      <c r="G41" s="215"/>
      <c r="H41" s="215"/>
      <c r="I41" s="218"/>
      <c r="J41" s="218"/>
    </row>
    <row r="42" spans="1:10" ht="25.5">
      <c r="A42" s="12">
        <v>2</v>
      </c>
      <c r="B42" s="13" t="s">
        <v>960</v>
      </c>
      <c r="C42" s="7" t="s">
        <v>882</v>
      </c>
      <c r="D42" s="14"/>
      <c r="E42" s="216"/>
      <c r="F42" s="216"/>
      <c r="G42" s="216"/>
      <c r="H42" s="216"/>
      <c r="I42" s="219"/>
      <c r="J42" s="219"/>
    </row>
    <row r="43" spans="1:10" ht="38.25">
      <c r="A43" s="8">
        <v>2</v>
      </c>
      <c r="B43" s="9" t="s">
        <v>750</v>
      </c>
      <c r="C43" s="10" t="s">
        <v>751</v>
      </c>
      <c r="D43" s="11"/>
      <c r="E43" s="215"/>
      <c r="F43" s="215"/>
      <c r="G43" s="215"/>
      <c r="H43" s="215"/>
      <c r="I43" s="218"/>
      <c r="J43" s="218"/>
    </row>
    <row r="44" spans="1:10" ht="24.75" customHeight="1">
      <c r="A44" s="12">
        <v>2</v>
      </c>
      <c r="B44" s="13" t="s">
        <v>907</v>
      </c>
      <c r="C44" s="7" t="s">
        <v>827</v>
      </c>
      <c r="D44" s="14"/>
      <c r="E44" s="216"/>
      <c r="F44" s="216"/>
      <c r="G44" s="216"/>
      <c r="H44" s="216"/>
      <c r="I44" s="219"/>
      <c r="J44" s="219"/>
    </row>
    <row r="45" spans="1:10" ht="25.5">
      <c r="A45" s="8">
        <v>2</v>
      </c>
      <c r="B45" s="9" t="s">
        <v>730</v>
      </c>
      <c r="C45" s="10" t="s">
        <v>833</v>
      </c>
      <c r="D45" s="11"/>
      <c r="E45" s="215"/>
      <c r="F45" s="215"/>
      <c r="G45" s="215"/>
      <c r="H45" s="215"/>
      <c r="I45" s="218"/>
      <c r="J45" s="218"/>
    </row>
    <row r="46" spans="1:10" ht="12.75">
      <c r="A46" s="12">
        <v>2</v>
      </c>
      <c r="B46" s="13" t="s">
        <v>876</v>
      </c>
      <c r="C46" s="7" t="s">
        <v>834</v>
      </c>
      <c r="D46" s="14"/>
      <c r="E46" s="216"/>
      <c r="F46" s="216"/>
      <c r="G46" s="216"/>
      <c r="H46" s="216"/>
      <c r="I46" s="219"/>
      <c r="J46" s="219"/>
    </row>
    <row r="47" spans="1:10" ht="25.5">
      <c r="A47" s="8">
        <v>2</v>
      </c>
      <c r="B47" s="9" t="s">
        <v>835</v>
      </c>
      <c r="C47" s="10" t="s">
        <v>836</v>
      </c>
      <c r="D47" s="11"/>
      <c r="E47" s="215"/>
      <c r="F47" s="215"/>
      <c r="G47" s="215"/>
      <c r="H47" s="215"/>
      <c r="I47" s="218"/>
      <c r="J47" s="218"/>
    </row>
    <row r="48" spans="1:10" ht="25.5">
      <c r="A48" s="12">
        <v>2</v>
      </c>
      <c r="B48" s="13" t="s">
        <v>837</v>
      </c>
      <c r="C48" s="7" t="s">
        <v>838</v>
      </c>
      <c r="D48" s="14"/>
      <c r="E48" s="216"/>
      <c r="F48" s="216"/>
      <c r="G48" s="216"/>
      <c r="H48" s="216"/>
      <c r="I48" s="219"/>
      <c r="J48" s="219"/>
    </row>
    <row r="49" spans="1:10" ht="38.25">
      <c r="A49" s="8">
        <v>2</v>
      </c>
      <c r="B49" s="9" t="s">
        <v>839</v>
      </c>
      <c r="C49" s="10" t="s">
        <v>840</v>
      </c>
      <c r="D49" s="11"/>
      <c r="E49" s="215"/>
      <c r="F49" s="215"/>
      <c r="G49" s="215"/>
      <c r="H49" s="215"/>
      <c r="I49" s="218"/>
      <c r="J49" s="218"/>
    </row>
    <row r="50" spans="1:10" ht="24.75" customHeight="1">
      <c r="A50" s="12">
        <v>2</v>
      </c>
      <c r="B50" s="13" t="s">
        <v>907</v>
      </c>
      <c r="C50" s="7" t="s">
        <v>200</v>
      </c>
      <c r="D50" s="14"/>
      <c r="E50" s="216"/>
      <c r="F50" s="216"/>
      <c r="G50" s="216"/>
      <c r="H50" s="216"/>
      <c r="I50" s="219"/>
      <c r="J50" s="219"/>
    </row>
    <row r="51" spans="1:10" ht="25.5">
      <c r="A51" s="8">
        <v>1</v>
      </c>
      <c r="B51" s="10" t="s">
        <v>201</v>
      </c>
      <c r="C51" s="10" t="s">
        <v>202</v>
      </c>
      <c r="D51" s="106">
        <f>'Group 6'!B389</f>
        <v>2010</v>
      </c>
      <c r="E51" s="215">
        <f>'Group 6'!B396</f>
        <v>39.0903</v>
      </c>
      <c r="F51" s="215">
        <f>'Group 6'!B397</f>
        <v>840.44145</v>
      </c>
      <c r="G51" s="215"/>
      <c r="H51" s="215"/>
      <c r="I51" s="218"/>
      <c r="J51" s="218"/>
    </row>
    <row r="52" spans="1:10" ht="38.25">
      <c r="A52" s="12">
        <v>1</v>
      </c>
      <c r="B52" s="7" t="s">
        <v>759</v>
      </c>
      <c r="C52" s="7" t="s">
        <v>597</v>
      </c>
      <c r="D52" s="105">
        <f>'Group 6'!B166</f>
        <v>2011</v>
      </c>
      <c r="E52" s="216">
        <f>'Group 6'!B173</f>
        <v>0.24347422729643836</v>
      </c>
      <c r="F52" s="216">
        <f>'Group 6'!B174</f>
        <v>5.104511086990801</v>
      </c>
      <c r="G52" s="216"/>
      <c r="H52" s="216"/>
      <c r="I52" s="219"/>
      <c r="J52" s="219"/>
    </row>
    <row r="53" spans="1:10" ht="24.75" customHeight="1">
      <c r="A53" s="8">
        <v>1</v>
      </c>
      <c r="B53" s="10" t="s">
        <v>724</v>
      </c>
      <c r="C53" s="10" t="s">
        <v>725</v>
      </c>
      <c r="D53" s="106">
        <f>'Group 8'!B57</f>
        <v>2016</v>
      </c>
      <c r="E53" s="215">
        <f>'Group 8'!B64</f>
        <v>0.75080208</v>
      </c>
      <c r="F53" s="215">
        <f>'Group 8'!B65</f>
        <v>13.88983848</v>
      </c>
      <c r="G53" s="215"/>
      <c r="H53" s="215"/>
      <c r="I53" s="218"/>
      <c r="J53" s="218"/>
    </row>
    <row r="54" spans="1:10" ht="25.5">
      <c r="A54" s="12">
        <v>1</v>
      </c>
      <c r="B54" s="7" t="s">
        <v>727</v>
      </c>
      <c r="C54" s="7" t="s">
        <v>728</v>
      </c>
      <c r="D54" s="105">
        <f>'Group 2'!B271</f>
        <v>2020</v>
      </c>
      <c r="E54" s="216">
        <f>'Group 2'!B278</f>
        <v>47.43455904</v>
      </c>
      <c r="F54" s="216">
        <f>'Group 2'!B279</f>
        <v>782.67022416</v>
      </c>
      <c r="G54" s="216"/>
      <c r="H54" s="216"/>
      <c r="I54" s="219"/>
      <c r="J54" s="219"/>
    </row>
    <row r="55" spans="1:10" ht="12.75">
      <c r="A55" s="8">
        <v>2</v>
      </c>
      <c r="B55" s="9" t="s">
        <v>729</v>
      </c>
      <c r="C55" s="10" t="s">
        <v>910</v>
      </c>
      <c r="D55" s="11"/>
      <c r="E55" s="215"/>
      <c r="F55" s="215"/>
      <c r="G55" s="215"/>
      <c r="H55" s="215"/>
      <c r="I55" s="218"/>
      <c r="J55" s="218"/>
    </row>
    <row r="56" spans="1:10" ht="24.75" customHeight="1">
      <c r="A56" s="12">
        <v>2</v>
      </c>
      <c r="B56" s="13" t="s">
        <v>829</v>
      </c>
      <c r="C56" s="7" t="s">
        <v>911</v>
      </c>
      <c r="D56" s="14"/>
      <c r="E56" s="216"/>
      <c r="F56" s="216"/>
      <c r="G56" s="216"/>
      <c r="H56" s="216"/>
      <c r="I56" s="219"/>
      <c r="J56" s="219"/>
    </row>
    <row r="57" spans="1:10" ht="12.75">
      <c r="A57" s="8">
        <v>1</v>
      </c>
      <c r="B57" s="101" t="s">
        <v>907</v>
      </c>
      <c r="C57" s="10" t="s">
        <v>912</v>
      </c>
      <c r="D57" s="11">
        <v>2030</v>
      </c>
      <c r="E57" s="215">
        <f>'Group 6'!H338</f>
        <v>22.804918126806612</v>
      </c>
      <c r="F57" s="215">
        <f>'Group 6'!H339</f>
        <v>248.46166952195796</v>
      </c>
      <c r="G57" s="215"/>
      <c r="H57" s="215"/>
      <c r="I57" s="218"/>
      <c r="J57" s="218"/>
    </row>
    <row r="58" spans="1:10" ht="25.5">
      <c r="A58" s="12">
        <v>2</v>
      </c>
      <c r="B58" s="13" t="s">
        <v>727</v>
      </c>
      <c r="C58" s="7" t="s">
        <v>846</v>
      </c>
      <c r="D58" s="14"/>
      <c r="E58" s="216"/>
      <c r="F58" s="216"/>
      <c r="G58" s="216"/>
      <c r="H58" s="216"/>
      <c r="I58" s="219"/>
      <c r="J58" s="219"/>
    </row>
    <row r="59" spans="1:10" ht="25.5">
      <c r="A59" s="8">
        <v>2</v>
      </c>
      <c r="B59" s="9" t="s">
        <v>847</v>
      </c>
      <c r="C59" s="10" t="s">
        <v>916</v>
      </c>
      <c r="D59" s="11"/>
      <c r="E59" s="215"/>
      <c r="F59" s="215"/>
      <c r="G59" s="215"/>
      <c r="H59" s="215"/>
      <c r="I59" s="218"/>
      <c r="J59" s="218"/>
    </row>
    <row r="60" spans="1:10" ht="25.5">
      <c r="A60" s="12">
        <v>2</v>
      </c>
      <c r="B60" s="13" t="s">
        <v>848</v>
      </c>
      <c r="C60" s="7" t="s">
        <v>816</v>
      </c>
      <c r="D60" s="14"/>
      <c r="E60" s="216"/>
      <c r="F60" s="216"/>
      <c r="G60" s="216"/>
      <c r="H60" s="216"/>
      <c r="I60" s="219"/>
      <c r="J60" s="219"/>
    </row>
    <row r="61" spans="1:10" ht="25.5">
      <c r="A61" s="8">
        <v>1</v>
      </c>
      <c r="B61" s="10" t="s">
        <v>32</v>
      </c>
      <c r="C61" s="10" t="s">
        <v>851</v>
      </c>
      <c r="D61" s="11">
        <v>2009</v>
      </c>
      <c r="E61" s="215">
        <f>'Group 8'!B98</f>
        <v>9.741</v>
      </c>
      <c r="F61" s="215">
        <f>'Group 8'!B99</f>
        <v>214.302</v>
      </c>
      <c r="G61" s="215"/>
      <c r="H61" s="215"/>
      <c r="I61" s="218"/>
      <c r="J61" s="218"/>
    </row>
    <row r="62" spans="1:10" ht="25.5">
      <c r="A62" s="12">
        <v>1</v>
      </c>
      <c r="B62" s="7" t="s">
        <v>875</v>
      </c>
      <c r="C62" s="7" t="s">
        <v>819</v>
      </c>
      <c r="D62" s="105">
        <f>'Group 1'!B165</f>
        <v>2020</v>
      </c>
      <c r="E62" s="216">
        <f>'Group 1'!B172</f>
        <v>0.017003420377821425</v>
      </c>
      <c r="F62" s="216">
        <f>'Group 1'!B173</f>
        <v>0.26787720438381935</v>
      </c>
      <c r="G62" s="216"/>
      <c r="H62" s="216"/>
      <c r="I62" s="219"/>
      <c r="J62" s="219"/>
    </row>
    <row r="63" spans="1:10" ht="12.75">
      <c r="A63" s="8">
        <v>2</v>
      </c>
      <c r="B63" s="9" t="s">
        <v>831</v>
      </c>
      <c r="C63" s="10" t="s">
        <v>820</v>
      </c>
      <c r="D63" s="11"/>
      <c r="E63" s="215"/>
      <c r="F63" s="215"/>
      <c r="G63" s="215"/>
      <c r="H63" s="215"/>
      <c r="I63" s="218"/>
      <c r="J63" s="218"/>
    </row>
    <row r="64" spans="1:10" ht="38.25">
      <c r="A64" s="12">
        <v>2</v>
      </c>
      <c r="B64" s="13" t="s">
        <v>785</v>
      </c>
      <c r="C64" s="7" t="s">
        <v>795</v>
      </c>
      <c r="D64" s="14"/>
      <c r="E64" s="216"/>
      <c r="F64" s="216"/>
      <c r="G64" s="216"/>
      <c r="H64" s="216"/>
      <c r="I64" s="219"/>
      <c r="J64" s="219"/>
    </row>
    <row r="65" spans="1:10" ht="25.5">
      <c r="A65" s="8">
        <v>1</v>
      </c>
      <c r="B65" s="10" t="s">
        <v>796</v>
      </c>
      <c r="C65" s="10" t="s">
        <v>787</v>
      </c>
      <c r="D65" s="106">
        <f>'Group 4'!B129</f>
        <v>2020</v>
      </c>
      <c r="E65" s="215">
        <f>'Group 4'!B136</f>
        <v>13.229766646044897</v>
      </c>
      <c r="F65" s="215">
        <f>'Group 4'!B137</f>
        <v>216.0043212943626</v>
      </c>
      <c r="G65" s="215"/>
      <c r="H65" s="215"/>
      <c r="I65" s="218"/>
      <c r="J65" s="218"/>
    </row>
    <row r="66" spans="1:10" ht="24.75" customHeight="1">
      <c r="A66" s="12">
        <v>1</v>
      </c>
      <c r="B66" s="7" t="s">
        <v>907</v>
      </c>
      <c r="C66" s="7" t="s">
        <v>425</v>
      </c>
      <c r="D66" s="105">
        <f>'Group 2'!B16</f>
        <v>2030</v>
      </c>
      <c r="E66" s="216">
        <f>'Group 2'!B23</f>
        <v>27.51516</v>
      </c>
      <c r="F66" s="216">
        <f>'Group 2'!B24</f>
        <v>316.42434</v>
      </c>
      <c r="G66" s="216"/>
      <c r="H66" s="216"/>
      <c r="I66" s="219"/>
      <c r="J66" s="219"/>
    </row>
    <row r="67" spans="1:10" ht="25.5">
      <c r="A67" s="8">
        <v>2</v>
      </c>
      <c r="B67" s="9" t="s">
        <v>426</v>
      </c>
      <c r="C67" s="10" t="s">
        <v>427</v>
      </c>
      <c r="D67" s="11"/>
      <c r="E67" s="215"/>
      <c r="F67" s="215"/>
      <c r="G67" s="215"/>
      <c r="H67" s="215"/>
      <c r="I67" s="218"/>
      <c r="J67" s="218"/>
    </row>
    <row r="68" spans="1:10" ht="25.5">
      <c r="A68" s="12">
        <v>1</v>
      </c>
      <c r="B68" s="13" t="s">
        <v>824</v>
      </c>
      <c r="C68" s="7" t="s">
        <v>493</v>
      </c>
      <c r="D68" s="14"/>
      <c r="E68" s="216"/>
      <c r="F68" s="216"/>
      <c r="G68" s="216"/>
      <c r="H68" s="216"/>
      <c r="I68" s="219"/>
      <c r="J68" s="219"/>
    </row>
    <row r="69" spans="1:10" ht="12.75">
      <c r="A69" s="8">
        <v>2</v>
      </c>
      <c r="B69" s="9" t="s">
        <v>494</v>
      </c>
      <c r="C69" s="10" t="s">
        <v>491</v>
      </c>
      <c r="D69" s="11"/>
      <c r="E69" s="215"/>
      <c r="F69" s="215"/>
      <c r="G69" s="215"/>
      <c r="H69" s="215"/>
      <c r="I69" s="218"/>
      <c r="J69" s="218"/>
    </row>
    <row r="70" spans="1:10" ht="38.25">
      <c r="A70" s="12">
        <v>1</v>
      </c>
      <c r="B70" s="7" t="s">
        <v>492</v>
      </c>
      <c r="C70" s="7" t="s">
        <v>562</v>
      </c>
      <c r="D70" s="105">
        <f>'Group 1'!B55</f>
        <v>2025</v>
      </c>
      <c r="E70" s="216">
        <f>'Group 1'!B62</f>
        <v>18.827045677564094</v>
      </c>
      <c r="F70" s="216">
        <f>'Group 1'!B63</f>
        <v>250.52797336620145</v>
      </c>
      <c r="G70" s="216"/>
      <c r="H70" s="216"/>
      <c r="I70" s="219"/>
      <c r="J70" s="219"/>
    </row>
    <row r="71" spans="1:10" ht="12.75">
      <c r="A71" s="8">
        <v>2</v>
      </c>
      <c r="B71" s="9" t="s">
        <v>563</v>
      </c>
      <c r="C71" s="10" t="s">
        <v>564</v>
      </c>
      <c r="D71" s="11"/>
      <c r="E71" s="215"/>
      <c r="F71" s="215"/>
      <c r="G71" s="215"/>
      <c r="H71" s="215"/>
      <c r="I71" s="218"/>
      <c r="J71" s="218"/>
    </row>
    <row r="72" spans="1:10" ht="25.5">
      <c r="A72" s="12">
        <v>1</v>
      </c>
      <c r="B72" s="7" t="s">
        <v>565</v>
      </c>
      <c r="C72" s="7" t="s">
        <v>0</v>
      </c>
      <c r="D72" s="14">
        <f>'Group 7'!A178</f>
        <v>2020</v>
      </c>
      <c r="E72" s="216">
        <f>'Group 7'!H190</f>
        <v>855.76</v>
      </c>
      <c r="F72" s="216">
        <f>'Group 7'!H191</f>
        <v>16944.04</v>
      </c>
      <c r="G72" s="216"/>
      <c r="H72" s="216"/>
      <c r="I72" s="219"/>
      <c r="J72" s="219"/>
    </row>
    <row r="73" spans="1:10" ht="12.75">
      <c r="A73" s="8">
        <v>1</v>
      </c>
      <c r="B73" s="10" t="s">
        <v>484</v>
      </c>
      <c r="C73" s="10" t="s">
        <v>94</v>
      </c>
      <c r="D73" s="106">
        <f>'Group 4'!B92</f>
        <v>2025</v>
      </c>
      <c r="E73" s="215">
        <f>'Group 4'!B99+'Group 5'!B136</f>
        <v>2.2152087210188967</v>
      </c>
      <c r="F73" s="215">
        <f>'Group 4'!B100+'Group 5'!B137</f>
        <v>29.768743124912707</v>
      </c>
      <c r="G73" s="215">
        <f>'Group 5'!B139</f>
        <v>238.54864381541807</v>
      </c>
      <c r="H73" s="215">
        <f>'Group 5'!B138</f>
        <v>3317.0462902340582</v>
      </c>
      <c r="I73" s="232">
        <f>'Group 5'!B136</f>
        <v>0.06744517221882598</v>
      </c>
      <c r="J73" s="232">
        <f>'Group 5'!B137</f>
        <v>0.9378328659699312</v>
      </c>
    </row>
    <row r="74" spans="1:10" ht="25.5">
      <c r="A74" s="12">
        <v>1</v>
      </c>
      <c r="B74" s="7" t="s">
        <v>95</v>
      </c>
      <c r="C74" s="7" t="s">
        <v>96</v>
      </c>
      <c r="D74" s="105">
        <f>'Group 3'!B93</f>
        <v>2012</v>
      </c>
      <c r="E74" s="216">
        <f>'Group 3'!B100</f>
        <v>3.0239843308890437</v>
      </c>
      <c r="F74" s="216">
        <f>'Group 3'!B101</f>
        <v>61.84008017147076</v>
      </c>
      <c r="G74" s="216"/>
      <c r="H74" s="216"/>
      <c r="I74" s="219"/>
      <c r="J74" s="219"/>
    </row>
    <row r="75" spans="1:10" ht="12.75">
      <c r="A75" s="8">
        <v>1</v>
      </c>
      <c r="B75" s="10" t="s">
        <v>97</v>
      </c>
      <c r="C75" s="10" t="s">
        <v>98</v>
      </c>
      <c r="D75" s="106">
        <f>'Group 2'!B52</f>
        <v>2016</v>
      </c>
      <c r="E75" s="215">
        <f>'Group 2'!B59+'Group 5'!B100</f>
        <v>2.3928739900775913</v>
      </c>
      <c r="F75" s="215">
        <f>'Group 2'!B60+'Group 5'!B101</f>
        <v>45.06048790601113</v>
      </c>
      <c r="G75" s="215">
        <f>'Group 5'!B103</f>
        <v>768.8392430527317</v>
      </c>
      <c r="H75" s="215">
        <f>'Group 5'!B102</f>
        <v>16529.278708362377</v>
      </c>
      <c r="I75" s="232">
        <f>'Group 5'!B100</f>
        <v>0.26419399007759115</v>
      </c>
      <c r="J75" s="232">
        <f>'Group 5'!B101</f>
        <v>5.679907906011134</v>
      </c>
    </row>
    <row r="76" spans="1:10" ht="12.75">
      <c r="A76" s="12">
        <v>1</v>
      </c>
      <c r="B76" s="417" t="s">
        <v>29</v>
      </c>
      <c r="C76" s="7" t="s">
        <v>30</v>
      </c>
      <c r="D76" s="105">
        <f>'Group 6'!B57</f>
        <v>2025</v>
      </c>
      <c r="E76" s="216">
        <f>'Group 6'!B63</f>
        <v>15.233004293556741</v>
      </c>
      <c r="F76" s="216">
        <f>'Group 6'!B64</f>
        <v>219.92376999164688</v>
      </c>
      <c r="G76" s="216"/>
      <c r="H76" s="216"/>
      <c r="I76" s="219"/>
      <c r="J76" s="219"/>
    </row>
    <row r="77" spans="1:10" ht="25.5">
      <c r="A77" s="8">
        <v>1</v>
      </c>
      <c r="B77" s="10" t="s">
        <v>31</v>
      </c>
      <c r="C77" s="10" t="s">
        <v>731</v>
      </c>
      <c r="D77" s="106">
        <f>'Group 2'!B349</f>
        <v>2010</v>
      </c>
      <c r="E77" s="215">
        <f>'Group 2'!B356+'Group 5'!B284</f>
        <v>1.1608023380399999</v>
      </c>
      <c r="F77" s="215">
        <f>'Group 2'!B357+'Group 5'!B285</f>
        <v>24.739297872719998</v>
      </c>
      <c r="G77" s="215"/>
      <c r="H77" s="215"/>
      <c r="I77" s="218"/>
      <c r="J77" s="218"/>
    </row>
    <row r="78" spans="1:10" ht="38.25">
      <c r="A78" s="12">
        <v>1</v>
      </c>
      <c r="B78" s="7" t="s">
        <v>732</v>
      </c>
      <c r="C78" s="7" t="s">
        <v>733</v>
      </c>
      <c r="D78" s="105">
        <f>'Group 4'!B203</f>
        <v>2016</v>
      </c>
      <c r="E78" s="216">
        <f>'Group 4'!B210</f>
        <v>7.085307560536565</v>
      </c>
      <c r="F78" s="216">
        <f>'Group 4'!B211</f>
        <v>129.57361531801305</v>
      </c>
      <c r="G78" s="216"/>
      <c r="H78" s="216"/>
      <c r="I78" s="219"/>
      <c r="J78" s="219"/>
    </row>
    <row r="79" spans="1:10" ht="24.75" customHeight="1">
      <c r="A79" s="8">
        <v>1</v>
      </c>
      <c r="B79" s="10" t="s">
        <v>734</v>
      </c>
      <c r="C79" s="10" t="s">
        <v>815</v>
      </c>
      <c r="D79" s="11">
        <v>2020</v>
      </c>
      <c r="E79" s="215">
        <f>'Group 6'!F113</f>
        <v>64.2</v>
      </c>
      <c r="F79" s="215">
        <f>'Group 6'!F114</f>
        <v>1059.3000000000004</v>
      </c>
      <c r="G79" s="215"/>
      <c r="H79" s="215"/>
      <c r="I79" s="218"/>
      <c r="J79" s="218"/>
    </row>
    <row r="80" spans="1:10" ht="25.5">
      <c r="A80" s="12">
        <v>1</v>
      </c>
      <c r="B80" s="13" t="s">
        <v>825</v>
      </c>
      <c r="C80" s="7" t="s">
        <v>401</v>
      </c>
      <c r="D80" s="14"/>
      <c r="E80" s="216"/>
      <c r="F80" s="216"/>
      <c r="G80" s="216"/>
      <c r="H80" s="216"/>
      <c r="I80" s="219"/>
      <c r="J80" s="219"/>
    </row>
    <row r="81" spans="1:10" ht="25.5">
      <c r="A81" s="8">
        <v>1</v>
      </c>
      <c r="B81" s="10" t="s">
        <v>402</v>
      </c>
      <c r="C81" s="10" t="s">
        <v>403</v>
      </c>
      <c r="D81" s="11">
        <v>2009</v>
      </c>
      <c r="E81" s="215">
        <f>'Group 7'!F265</f>
        <v>0.3</v>
      </c>
      <c r="F81" s="215">
        <f>'Group 7'!F266</f>
        <v>6.599999999999998</v>
      </c>
      <c r="G81" s="215"/>
      <c r="H81" s="215"/>
      <c r="I81" s="218"/>
      <c r="J81" s="218"/>
    </row>
    <row r="82" spans="1:10" ht="38.25">
      <c r="A82" s="12">
        <v>1</v>
      </c>
      <c r="B82" s="7" t="s">
        <v>404</v>
      </c>
      <c r="C82" s="7" t="s">
        <v>405</v>
      </c>
      <c r="D82" s="105">
        <f>'Group 3'!B17</f>
        <v>2020</v>
      </c>
      <c r="E82" s="216">
        <f>'Group 3'!B24</f>
        <v>4.717111410323398</v>
      </c>
      <c r="F82" s="216">
        <f>'Group 3'!B25</f>
        <v>77.02258609354483</v>
      </c>
      <c r="G82" s="216"/>
      <c r="H82" s="216"/>
      <c r="I82" s="219"/>
      <c r="J82" s="219"/>
    </row>
    <row r="83" spans="1:10" ht="25.5">
      <c r="A83" s="8">
        <v>2</v>
      </c>
      <c r="B83" s="9" t="s">
        <v>903</v>
      </c>
      <c r="C83" s="10" t="s">
        <v>462</v>
      </c>
      <c r="D83" s="11"/>
      <c r="E83" s="215"/>
      <c r="F83" s="215"/>
      <c r="G83" s="215"/>
      <c r="H83" s="215"/>
      <c r="I83" s="218"/>
      <c r="J83" s="218"/>
    </row>
    <row r="84" spans="1:10" ht="25.5">
      <c r="A84" s="12">
        <v>2</v>
      </c>
      <c r="B84" s="13" t="s">
        <v>876</v>
      </c>
      <c r="C84" s="7" t="s">
        <v>463</v>
      </c>
      <c r="D84" s="14"/>
      <c r="E84" s="216"/>
      <c r="F84" s="216"/>
      <c r="G84" s="216"/>
      <c r="H84" s="216"/>
      <c r="I84" s="219"/>
      <c r="J84" s="219"/>
    </row>
    <row r="85" spans="1:10" ht="25.5">
      <c r="A85" s="8">
        <v>2</v>
      </c>
      <c r="B85" s="9" t="s">
        <v>494</v>
      </c>
      <c r="C85" s="10" t="s">
        <v>36</v>
      </c>
      <c r="D85" s="11"/>
      <c r="E85" s="215"/>
      <c r="F85" s="215"/>
      <c r="G85" s="215"/>
      <c r="H85" s="215"/>
      <c r="I85" s="218"/>
      <c r="J85" s="218"/>
    </row>
    <row r="86" spans="1:10" ht="12.75">
      <c r="A86" s="12">
        <v>2</v>
      </c>
      <c r="B86" s="13" t="s">
        <v>37</v>
      </c>
      <c r="C86" s="7" t="s">
        <v>38</v>
      </c>
      <c r="D86" s="14"/>
      <c r="E86" s="216"/>
      <c r="F86" s="216"/>
      <c r="G86" s="216"/>
      <c r="H86" s="216"/>
      <c r="I86" s="219"/>
      <c r="J86" s="219"/>
    </row>
    <row r="87" spans="1:10" ht="38.25">
      <c r="A87" s="8">
        <v>1</v>
      </c>
      <c r="B87" s="10" t="s">
        <v>404</v>
      </c>
      <c r="C87" s="10" t="s">
        <v>83</v>
      </c>
      <c r="D87" s="106">
        <f>'Group 2'!B88</f>
        <v>2030</v>
      </c>
      <c r="E87" s="215">
        <f>'Group 2'!B95</f>
        <v>0.123552</v>
      </c>
      <c r="F87" s="215">
        <f>'Group 2'!B96</f>
        <v>1.420848</v>
      </c>
      <c r="G87" s="215"/>
      <c r="H87" s="215"/>
      <c r="I87" s="218"/>
      <c r="J87" s="218"/>
    </row>
    <row r="88" spans="1:10" ht="12.75">
      <c r="A88" s="12">
        <v>2</v>
      </c>
      <c r="B88" s="13" t="s">
        <v>84</v>
      </c>
      <c r="C88" s="7" t="s">
        <v>85</v>
      </c>
      <c r="D88" s="14"/>
      <c r="E88" s="216"/>
      <c r="F88" s="216"/>
      <c r="G88" s="216"/>
      <c r="H88" s="216"/>
      <c r="I88" s="219"/>
      <c r="J88" s="219"/>
    </row>
    <row r="89" spans="1:10" ht="24.75" customHeight="1">
      <c r="A89" s="8">
        <v>1</v>
      </c>
      <c r="B89" s="10" t="s">
        <v>534</v>
      </c>
      <c r="C89" s="10" t="s">
        <v>599</v>
      </c>
      <c r="D89" s="106">
        <f>'Group 4'!B166</f>
        <v>2017</v>
      </c>
      <c r="E89" s="215">
        <f>'Group 4'!B173</f>
        <v>1.1060050222289795</v>
      </c>
      <c r="F89" s="215">
        <f>'Group 4'!B174</f>
        <v>19.616950847258934</v>
      </c>
      <c r="G89" s="215"/>
      <c r="H89" s="215"/>
      <c r="I89" s="218"/>
      <c r="J89" s="218"/>
    </row>
    <row r="90" spans="1:10" ht="25.5">
      <c r="A90" s="12">
        <v>2</v>
      </c>
      <c r="B90" s="13" t="s">
        <v>600</v>
      </c>
      <c r="C90" s="7" t="s">
        <v>601</v>
      </c>
      <c r="D90" s="14"/>
      <c r="E90" s="216"/>
      <c r="F90" s="216"/>
      <c r="G90" s="216"/>
      <c r="H90" s="216"/>
      <c r="I90" s="219"/>
      <c r="J90" s="219"/>
    </row>
    <row r="91" spans="1:10" ht="25.5">
      <c r="A91" s="8">
        <v>1</v>
      </c>
      <c r="B91" s="10" t="s">
        <v>51</v>
      </c>
      <c r="C91" s="10" t="s">
        <v>52</v>
      </c>
      <c r="D91" s="106">
        <f>'Group 5'!B202</f>
        <v>2013</v>
      </c>
      <c r="E91" s="215">
        <f>'Group 5'!B209</f>
        <v>0.8969777516307785</v>
      </c>
      <c r="F91" s="215">
        <f>'Group 5'!B210</f>
        <v>17.866538494534087</v>
      </c>
      <c r="G91" s="215">
        <f>'Group 5'!B212</f>
        <v>620.947369234692</v>
      </c>
      <c r="H91" s="215">
        <f>'Group 5'!B211</f>
        <v>12368.40050418326</v>
      </c>
      <c r="I91" s="218">
        <f>'Group 5'!B209</f>
        <v>0.8969777516307785</v>
      </c>
      <c r="J91" s="218">
        <f>'Group 5'!B210</f>
        <v>17.866538494534087</v>
      </c>
    </row>
    <row r="92" spans="1:10" ht="25.5">
      <c r="A92" s="12">
        <v>1</v>
      </c>
      <c r="B92" s="7" t="s">
        <v>53</v>
      </c>
      <c r="C92" s="7" t="s">
        <v>54</v>
      </c>
      <c r="D92" s="105">
        <f>'Group 7'!B56</f>
        <v>2020</v>
      </c>
      <c r="E92" s="216">
        <f>'Group 7'!B63</f>
        <v>2.26417294250438</v>
      </c>
      <c r="F92" s="216">
        <f>'Group 7'!B64</f>
        <v>35.43071783382774</v>
      </c>
      <c r="G92" s="216"/>
      <c r="H92" s="216"/>
      <c r="I92" s="219"/>
      <c r="J92" s="219"/>
    </row>
    <row r="93" spans="1:10" ht="25.5">
      <c r="A93" s="8">
        <v>2</v>
      </c>
      <c r="B93" s="9" t="s">
        <v>558</v>
      </c>
      <c r="C93" s="10" t="s">
        <v>422</v>
      </c>
      <c r="D93" s="11"/>
      <c r="E93" s="215"/>
      <c r="F93" s="215"/>
      <c r="G93" s="215"/>
      <c r="H93" s="215"/>
      <c r="I93" s="218"/>
      <c r="J93" s="218"/>
    </row>
    <row r="94" spans="1:10" ht="25.5">
      <c r="A94" s="12">
        <v>1</v>
      </c>
      <c r="B94" s="7" t="s">
        <v>423</v>
      </c>
      <c r="C94" s="7" t="s">
        <v>376</v>
      </c>
      <c r="D94" s="14">
        <f>'Group 7'!B30</f>
        <v>2025</v>
      </c>
      <c r="E94" s="216">
        <f>'Group 7'!F37</f>
        <v>43.1364705882353</v>
      </c>
      <c r="F94" s="216">
        <f>'Group 7'!F39+'Group 7'!F38</f>
        <v>855.5400000000001</v>
      </c>
      <c r="G94" s="216"/>
      <c r="H94" s="216"/>
      <c r="I94" s="219"/>
      <c r="J94" s="219"/>
    </row>
    <row r="95" spans="1:10" ht="24.75" customHeight="1">
      <c r="A95" s="8">
        <v>1</v>
      </c>
      <c r="B95" s="9" t="s">
        <v>826</v>
      </c>
      <c r="C95" s="10" t="s">
        <v>513</v>
      </c>
      <c r="D95" s="11"/>
      <c r="E95" s="215"/>
      <c r="F95" s="215"/>
      <c r="G95" s="215"/>
      <c r="H95" s="215"/>
      <c r="I95" s="218"/>
      <c r="J95" s="218"/>
    </row>
    <row r="96" spans="1:10" ht="25.5">
      <c r="A96" s="12">
        <v>1</v>
      </c>
      <c r="B96" s="7" t="s">
        <v>355</v>
      </c>
      <c r="C96" s="7" t="s">
        <v>356</v>
      </c>
      <c r="D96" s="105">
        <f>'Group 1'!B239</f>
        <v>2012</v>
      </c>
      <c r="E96" s="216">
        <f>'Group 1'!B246</f>
        <v>0.002207400938407406</v>
      </c>
      <c r="F96" s="216">
        <f>'Group 1'!B247</f>
        <v>0.04562817999220032</v>
      </c>
      <c r="G96" s="216"/>
      <c r="H96" s="216"/>
      <c r="I96" s="219"/>
      <c r="J96" s="219"/>
    </row>
    <row r="97" spans="1:10" ht="24.75" customHeight="1">
      <c r="A97" s="8">
        <v>2</v>
      </c>
      <c r="B97" s="9" t="s">
        <v>32</v>
      </c>
      <c r="C97" s="10" t="s">
        <v>357</v>
      </c>
      <c r="D97" s="11"/>
      <c r="E97" s="215"/>
      <c r="F97" s="215"/>
      <c r="G97" s="215"/>
      <c r="H97" s="215"/>
      <c r="I97" s="218"/>
      <c r="J97" s="218"/>
    </row>
    <row r="98" spans="1:10" ht="25.5">
      <c r="A98" s="12">
        <v>2</v>
      </c>
      <c r="B98" s="13" t="s">
        <v>514</v>
      </c>
      <c r="C98" s="7" t="s">
        <v>515</v>
      </c>
      <c r="D98" s="14"/>
      <c r="E98" s="216"/>
      <c r="F98" s="216"/>
      <c r="G98" s="216"/>
      <c r="H98" s="216"/>
      <c r="I98" s="219"/>
      <c r="J98" s="219"/>
    </row>
    <row r="99" spans="1:10" ht="24.75" customHeight="1">
      <c r="A99" s="8">
        <v>1</v>
      </c>
      <c r="B99" s="10" t="s">
        <v>516</v>
      </c>
      <c r="C99" s="10" t="s">
        <v>444</v>
      </c>
      <c r="D99" s="11">
        <f>'Group 7'!A113</f>
        <v>2030</v>
      </c>
      <c r="E99" s="215">
        <f>'Group 7'!H115</f>
        <v>0.024879414936999997</v>
      </c>
      <c r="F99" s="215">
        <f>'Group 7'!H116</f>
        <v>0.2861132717755</v>
      </c>
      <c r="G99" s="215"/>
      <c r="H99" s="215"/>
      <c r="I99" s="218"/>
      <c r="J99" s="218"/>
    </row>
    <row r="100" spans="1:10" ht="38.25">
      <c r="A100" s="12">
        <v>2</v>
      </c>
      <c r="B100" s="13" t="s">
        <v>445</v>
      </c>
      <c r="C100" s="7" t="s">
        <v>566</v>
      </c>
      <c r="D100" s="14"/>
      <c r="E100" s="216"/>
      <c r="F100" s="216"/>
      <c r="G100" s="216"/>
      <c r="H100" s="216"/>
      <c r="I100" s="219"/>
      <c r="J100" s="219"/>
    </row>
    <row r="101" spans="1:10" ht="25.5">
      <c r="A101" s="8">
        <v>1</v>
      </c>
      <c r="B101" s="10" t="s">
        <v>579</v>
      </c>
      <c r="C101" s="10" t="s">
        <v>580</v>
      </c>
      <c r="D101" s="11">
        <v>2012</v>
      </c>
      <c r="E101" s="215">
        <f>'Group 7'!F228</f>
        <v>0.025</v>
      </c>
      <c r="F101" s="215">
        <f>'Group 7'!F229</f>
        <v>0.5125000000000002</v>
      </c>
      <c r="G101" s="215"/>
      <c r="H101" s="215"/>
      <c r="I101" s="218"/>
      <c r="J101" s="218"/>
    </row>
    <row r="102" spans="1:10" ht="12.75">
      <c r="A102" s="12">
        <v>2</v>
      </c>
      <c r="B102" s="13" t="s">
        <v>581</v>
      </c>
      <c r="C102" s="7" t="s">
        <v>496</v>
      </c>
      <c r="D102" s="14"/>
      <c r="E102" s="216"/>
      <c r="F102" s="216"/>
      <c r="G102" s="216"/>
      <c r="H102" s="216"/>
      <c r="I102" s="219"/>
      <c r="J102" s="219"/>
    </row>
    <row r="103" spans="1:10" ht="38.25">
      <c r="A103" s="8">
        <v>2</v>
      </c>
      <c r="B103" s="405" t="s">
        <v>497</v>
      </c>
      <c r="C103" s="10" t="s">
        <v>567</v>
      </c>
      <c r="D103" s="11"/>
      <c r="E103" s="215"/>
      <c r="F103" s="215"/>
      <c r="G103" s="215"/>
      <c r="H103" s="215"/>
      <c r="I103" s="218"/>
      <c r="J103" s="218"/>
    </row>
    <row r="104" spans="1:10" ht="25.5">
      <c r="A104" s="12">
        <v>2</v>
      </c>
      <c r="B104" s="13" t="s">
        <v>568</v>
      </c>
      <c r="C104" s="7" t="s">
        <v>569</v>
      </c>
      <c r="D104" s="14"/>
      <c r="E104" s="216"/>
      <c r="F104" s="216"/>
      <c r="G104" s="216"/>
      <c r="H104" s="216"/>
      <c r="I104" s="219"/>
      <c r="J104" s="219"/>
    </row>
    <row r="105" spans="1:10" ht="25.5">
      <c r="A105" s="8">
        <v>1</v>
      </c>
      <c r="B105" s="10" t="s">
        <v>8</v>
      </c>
      <c r="C105" s="10" t="s">
        <v>9</v>
      </c>
      <c r="D105" s="106">
        <f>'Group 3'!B55</f>
        <v>2020</v>
      </c>
      <c r="E105" s="215">
        <f>'Group 3'!B62</f>
        <v>2.937572265274791</v>
      </c>
      <c r="F105" s="215">
        <f>'Group 3'!B63</f>
        <v>45.971762657860744</v>
      </c>
      <c r="G105" s="215"/>
      <c r="H105" s="215"/>
      <c r="I105" s="218"/>
      <c r="J105" s="218"/>
    </row>
    <row r="106" spans="1:10" ht="24.75" customHeight="1">
      <c r="A106" s="12">
        <v>2</v>
      </c>
      <c r="B106" s="13" t="s">
        <v>10</v>
      </c>
      <c r="C106" s="7" t="s">
        <v>11</v>
      </c>
      <c r="D106" s="14"/>
      <c r="E106" s="216"/>
      <c r="F106" s="216"/>
      <c r="G106" s="216"/>
      <c r="H106" s="216"/>
      <c r="I106" s="219"/>
      <c r="J106" s="219"/>
    </row>
    <row r="107" spans="1:10" ht="25.5">
      <c r="A107" s="8">
        <v>2</v>
      </c>
      <c r="B107" s="9" t="s">
        <v>12</v>
      </c>
      <c r="C107" s="10" t="s">
        <v>2</v>
      </c>
      <c r="D107" s="11"/>
      <c r="E107" s="215"/>
      <c r="F107" s="215"/>
      <c r="G107" s="215"/>
      <c r="H107" s="215"/>
      <c r="I107" s="218"/>
      <c r="J107" s="218"/>
    </row>
    <row r="108" spans="1:10" ht="25.5">
      <c r="A108" s="12">
        <v>2</v>
      </c>
      <c r="B108" s="13" t="s">
        <v>3</v>
      </c>
      <c r="C108" s="7" t="s">
        <v>4</v>
      </c>
      <c r="D108" s="14"/>
      <c r="E108" s="216"/>
      <c r="F108" s="216"/>
      <c r="G108" s="216"/>
      <c r="H108" s="216"/>
      <c r="I108" s="219"/>
      <c r="J108" s="219"/>
    </row>
    <row r="109" spans="1:10" ht="25.5">
      <c r="A109" s="8">
        <v>1</v>
      </c>
      <c r="B109" s="418" t="s">
        <v>5</v>
      </c>
      <c r="C109" s="10" t="s">
        <v>378</v>
      </c>
      <c r="D109" s="106">
        <f>'Group 8'!B21</f>
        <v>2011</v>
      </c>
      <c r="E109" s="215">
        <f>'Group 8'!B28</f>
        <v>7.461393283879506</v>
      </c>
      <c r="F109" s="215">
        <f>'Group 8'!B29</f>
        <v>158.83041514603403</v>
      </c>
      <c r="G109" s="215"/>
      <c r="H109" s="215"/>
      <c r="I109" s="218"/>
      <c r="J109" s="218"/>
    </row>
    <row r="110" spans="1:10" ht="25.5">
      <c r="A110" s="12">
        <v>2</v>
      </c>
      <c r="B110" s="13" t="s">
        <v>494</v>
      </c>
      <c r="C110" s="7" t="s">
        <v>658</v>
      </c>
      <c r="D110" s="14"/>
      <c r="E110" s="216"/>
      <c r="F110" s="216"/>
      <c r="G110" s="216"/>
      <c r="H110" s="216"/>
      <c r="I110" s="219"/>
      <c r="J110" s="219"/>
    </row>
    <row r="111" spans="1:10" ht="25.5">
      <c r="A111" s="8">
        <v>2</v>
      </c>
      <c r="B111" s="9" t="s">
        <v>436</v>
      </c>
      <c r="C111" s="10" t="s">
        <v>659</v>
      </c>
      <c r="D111" s="11"/>
      <c r="E111" s="215"/>
      <c r="F111" s="215"/>
      <c r="G111" s="215"/>
      <c r="H111" s="215"/>
      <c r="I111" s="218"/>
      <c r="J111" s="218"/>
    </row>
    <row r="112" spans="1:10" ht="25.5">
      <c r="A112" s="12">
        <v>2</v>
      </c>
      <c r="B112" s="13" t="s">
        <v>660</v>
      </c>
      <c r="C112" s="7" t="s">
        <v>385</v>
      </c>
      <c r="D112" s="14"/>
      <c r="E112" s="216"/>
      <c r="F112" s="216"/>
      <c r="G112" s="216"/>
      <c r="H112" s="216"/>
      <c r="I112" s="219"/>
      <c r="J112" s="219"/>
    </row>
    <row r="113" spans="1:10" ht="25.5">
      <c r="A113" s="8">
        <v>2</v>
      </c>
      <c r="B113" s="9" t="s">
        <v>383</v>
      </c>
      <c r="C113" s="10" t="s">
        <v>535</v>
      </c>
      <c r="D113" s="11"/>
      <c r="E113" s="215"/>
      <c r="F113" s="215"/>
      <c r="G113" s="215"/>
      <c r="H113" s="215"/>
      <c r="I113" s="218"/>
      <c r="J113" s="218"/>
    </row>
    <row r="114" spans="1:10" ht="25.5">
      <c r="A114" s="12">
        <v>2</v>
      </c>
      <c r="B114" s="13" t="s">
        <v>381</v>
      </c>
      <c r="C114" s="7" t="s">
        <v>536</v>
      </c>
      <c r="D114" s="14"/>
      <c r="E114" s="216"/>
      <c r="F114" s="216"/>
      <c r="G114" s="216"/>
      <c r="H114" s="216"/>
      <c r="I114" s="219"/>
      <c r="J114" s="219"/>
    </row>
    <row r="115" spans="1:10" ht="25.5">
      <c r="A115" s="8">
        <v>1</v>
      </c>
      <c r="B115" s="10" t="s">
        <v>602</v>
      </c>
      <c r="C115" s="10" t="s">
        <v>603</v>
      </c>
      <c r="D115" s="106">
        <f>'Group 1'!B92</f>
        <v>2025</v>
      </c>
      <c r="E115" s="215">
        <f>'Group 1'!B99</f>
        <v>5.443274412520394</v>
      </c>
      <c r="F115" s="215">
        <f>'Group 1'!B100</f>
        <v>73.446583400493</v>
      </c>
      <c r="G115" s="215"/>
      <c r="H115" s="215"/>
      <c r="I115" s="218"/>
      <c r="J115" s="218"/>
    </row>
    <row r="116" spans="1:10" ht="25.5">
      <c r="A116" s="12">
        <v>1</v>
      </c>
      <c r="B116" s="7" t="s">
        <v>604</v>
      </c>
      <c r="C116" s="7" t="s">
        <v>605</v>
      </c>
      <c r="D116" s="105">
        <f>'Group 2'!B124</f>
        <v>2016</v>
      </c>
      <c r="E116" s="216">
        <f>'Group 2'!B131</f>
        <v>0.13090909090909095</v>
      </c>
      <c r="F116" s="216">
        <f>'Group 2'!B132</f>
        <v>2.421818181818181</v>
      </c>
      <c r="G116" s="216"/>
      <c r="H116" s="216"/>
      <c r="I116" s="219"/>
      <c r="J116" s="219"/>
    </row>
    <row r="117" spans="1:10" ht="25.5">
      <c r="A117" s="8">
        <v>1</v>
      </c>
      <c r="B117" s="10" t="s">
        <v>32</v>
      </c>
      <c r="C117" s="10" t="s">
        <v>606</v>
      </c>
      <c r="D117" s="11">
        <v>2012</v>
      </c>
      <c r="E117" s="215">
        <f>'Group 6'!E300</f>
        <v>24</v>
      </c>
      <c r="F117" s="215">
        <f>'Group 6'!E301</f>
        <v>492</v>
      </c>
      <c r="G117" s="215"/>
      <c r="H117" s="215"/>
      <c r="I117" s="218"/>
      <c r="J117" s="218"/>
    </row>
    <row r="118" spans="1:10" ht="38.25">
      <c r="A118" s="12">
        <v>1</v>
      </c>
      <c r="B118" s="7" t="s">
        <v>607</v>
      </c>
      <c r="C118" s="7" t="s">
        <v>498</v>
      </c>
      <c r="D118" s="105">
        <f>'Group 1'!B202</f>
        <v>2020</v>
      </c>
      <c r="E118" s="216">
        <f>'Group 1'!B209</f>
        <v>0.8446642957290642</v>
      </c>
      <c r="F118" s="216">
        <f>'Group 1'!B210</f>
        <v>13.446670987464438</v>
      </c>
      <c r="G118" s="216"/>
      <c r="H118" s="216"/>
      <c r="I118" s="219"/>
      <c r="J118" s="219"/>
    </row>
    <row r="119" spans="1:10" ht="25.5">
      <c r="A119" s="8">
        <v>1</v>
      </c>
      <c r="B119" s="10" t="s">
        <v>570</v>
      </c>
      <c r="C119" s="10" t="s">
        <v>55</v>
      </c>
      <c r="D119" s="11">
        <v>2012</v>
      </c>
      <c r="E119" s="215">
        <f>'Group 6'!F151</f>
        <v>0.08229844</v>
      </c>
      <c r="F119" s="406">
        <f>'Group 6'!F152</f>
        <v>1.6871180199999996</v>
      </c>
      <c r="G119" s="406"/>
      <c r="H119" s="406"/>
      <c r="I119" s="218"/>
      <c r="J119" s="218"/>
    </row>
    <row r="120" spans="1:10" ht="25.5">
      <c r="A120" s="12">
        <v>2</v>
      </c>
      <c r="B120" s="13" t="s">
        <v>727</v>
      </c>
      <c r="C120" s="7" t="s">
        <v>608</v>
      </c>
      <c r="D120" s="14"/>
      <c r="E120" s="216"/>
      <c r="F120" s="216"/>
      <c r="G120" s="216"/>
      <c r="H120" s="216"/>
      <c r="I120" s="219"/>
      <c r="J120" s="219"/>
    </row>
    <row r="121" spans="1:10" ht="25.5">
      <c r="A121" s="8">
        <v>1</v>
      </c>
      <c r="B121" s="10" t="s">
        <v>907</v>
      </c>
      <c r="C121" s="10" t="s">
        <v>571</v>
      </c>
      <c r="D121" s="106">
        <f>'Group 6'!B18</f>
        <v>2020</v>
      </c>
      <c r="E121" s="215">
        <f>'Group 6'!B25</f>
        <v>7.333294135033615</v>
      </c>
      <c r="F121" s="215">
        <f>'Group 6'!B26</f>
        <v>119.67238552232337</v>
      </c>
      <c r="G121" s="215"/>
      <c r="H121" s="215"/>
      <c r="I121" s="218"/>
      <c r="J121" s="218"/>
    </row>
    <row r="122" spans="1:10" ht="25.5">
      <c r="A122" s="12">
        <v>1</v>
      </c>
      <c r="B122" s="7" t="s">
        <v>572</v>
      </c>
      <c r="C122" s="7" t="s">
        <v>573</v>
      </c>
      <c r="D122" s="105">
        <f>'Group 2'!B234</f>
        <v>2020</v>
      </c>
      <c r="E122" s="216">
        <f>'Group 2'!B241+'Group 5'!B173</f>
        <v>91.2133172422368</v>
      </c>
      <c r="F122" s="216">
        <f>'Group 2'!B242+'Group 5'!B174</f>
        <v>1488.488824747287</v>
      </c>
      <c r="G122" s="216">
        <f>'Group 5'!B176</f>
        <v>3529.394900682731</v>
      </c>
      <c r="H122" s="216">
        <f>'Group 5'!B175</f>
        <v>46156.76572539744</v>
      </c>
      <c r="I122" s="233">
        <f>'Group 5'!B173</f>
        <v>4.830510042236802</v>
      </c>
      <c r="J122" s="233">
        <f>'Group 5'!B174</f>
        <v>63.172505947286865</v>
      </c>
    </row>
    <row r="123" spans="1:10" ht="25.5">
      <c r="A123" s="8">
        <v>1</v>
      </c>
      <c r="B123" s="10" t="s">
        <v>344</v>
      </c>
      <c r="C123" s="10" t="s">
        <v>691</v>
      </c>
      <c r="D123" s="106">
        <f>'Group 2'!B534</f>
        <v>2025</v>
      </c>
      <c r="E123" s="215">
        <f>'Group 2'!B541</f>
        <v>1.69035</v>
      </c>
      <c r="F123" s="215">
        <f>'Group 2'!B542</f>
        <v>23.6649</v>
      </c>
      <c r="G123" s="215"/>
      <c r="H123" s="215"/>
      <c r="I123" s="218"/>
      <c r="J123" s="218"/>
    </row>
    <row r="124" spans="1:10" ht="24.75" customHeight="1">
      <c r="A124" s="12">
        <v>1</v>
      </c>
      <c r="B124" s="7" t="s">
        <v>907</v>
      </c>
      <c r="C124" s="7" t="s">
        <v>353</v>
      </c>
      <c r="D124" s="105">
        <f>'Group 1'!B18</f>
        <v>2020</v>
      </c>
      <c r="E124" s="216">
        <f>'Group 1'!B25</f>
        <v>51.05142708138613</v>
      </c>
      <c r="F124" s="216">
        <f>'Group 1'!B26</f>
        <v>833.0469592968839</v>
      </c>
      <c r="G124" s="216"/>
      <c r="H124" s="216"/>
      <c r="I124" s="219"/>
      <c r="J124" s="219"/>
    </row>
    <row r="125" spans="1:10" ht="25.5">
      <c r="A125" s="8">
        <v>1</v>
      </c>
      <c r="B125" s="10" t="s">
        <v>729</v>
      </c>
      <c r="C125" s="10" t="s">
        <v>354</v>
      </c>
      <c r="D125" s="106">
        <f>'Group 2'!B497</f>
        <v>2013</v>
      </c>
      <c r="E125" s="215">
        <f>'Group 2'!B504</f>
        <v>0.390786</v>
      </c>
      <c r="F125" s="215">
        <f>'Group 2'!B505</f>
        <v>7.81572</v>
      </c>
      <c r="G125" s="215"/>
      <c r="H125" s="215"/>
      <c r="I125" s="218"/>
      <c r="J125" s="218"/>
    </row>
    <row r="126" spans="1:10" ht="24.75" customHeight="1">
      <c r="A126" s="12">
        <v>1</v>
      </c>
      <c r="B126" s="7" t="s">
        <v>249</v>
      </c>
      <c r="C126" s="7" t="s">
        <v>246</v>
      </c>
      <c r="D126" s="14">
        <f>'Group 7'!A136</f>
        <v>2015</v>
      </c>
      <c r="E126" s="216">
        <f>'Group 7'!E153+'Group 5'!B326</f>
        <v>2.4052008211635916</v>
      </c>
      <c r="F126" s="216">
        <f>'Group 7'!E154+'Group 5'!B327</f>
        <v>51.59703941004457</v>
      </c>
      <c r="G126" s="216">
        <f>'Group 5'!B329</f>
        <v>55.82875</v>
      </c>
      <c r="H126" s="216">
        <f>'Group 5'!B328</f>
        <v>1081.68203125</v>
      </c>
      <c r="I126" s="219">
        <f>'Group 5'!B326</f>
        <v>0.05360882116359151</v>
      </c>
      <c r="J126" s="219">
        <f>'Group 5'!B327</f>
        <v>1.038670910044586</v>
      </c>
    </row>
    <row r="127" spans="1:10" ht="25.5">
      <c r="A127" s="8">
        <v>1</v>
      </c>
      <c r="B127" s="10" t="s">
        <v>32</v>
      </c>
      <c r="C127" s="10" t="s">
        <v>174</v>
      </c>
      <c r="D127" s="106">
        <f>'Group 5'!B237</f>
        <v>2022</v>
      </c>
      <c r="E127" s="215">
        <f>'Group 5'!B244</f>
        <v>115.36569229090304</v>
      </c>
      <c r="F127" s="215">
        <f>'Group 5'!B245</f>
        <v>1572.8009960784314</v>
      </c>
      <c r="G127" s="215">
        <f>'Group 5'!B247</f>
        <v>94019.39999999998</v>
      </c>
      <c r="H127" s="215">
        <f>'Group 5'!B246</f>
        <v>1555629.3225</v>
      </c>
      <c r="I127" s="218"/>
      <c r="J127" s="218"/>
    </row>
    <row r="128" spans="1:10" ht="25.5">
      <c r="A128" s="12">
        <v>2</v>
      </c>
      <c r="B128" s="13" t="s">
        <v>715</v>
      </c>
      <c r="C128" s="7" t="s">
        <v>386</v>
      </c>
      <c r="D128" s="14"/>
      <c r="E128" s="216"/>
      <c r="F128" s="216"/>
      <c r="G128" s="216"/>
      <c r="H128" s="216"/>
      <c r="I128" s="219"/>
      <c r="J128" s="219"/>
    </row>
    <row r="129" spans="1:10" ht="38.25">
      <c r="A129" s="8">
        <v>2</v>
      </c>
      <c r="B129" s="9" t="s">
        <v>395</v>
      </c>
      <c r="C129" s="10" t="s">
        <v>396</v>
      </c>
      <c r="D129" s="11"/>
      <c r="E129" s="215"/>
      <c r="F129" s="215"/>
      <c r="G129" s="215"/>
      <c r="H129" s="215"/>
      <c r="I129" s="218"/>
      <c r="J129" s="218"/>
    </row>
    <row r="130" spans="1:10" ht="12.75">
      <c r="A130" s="12">
        <v>1</v>
      </c>
      <c r="B130" s="7" t="s">
        <v>397</v>
      </c>
      <c r="C130" s="7" t="s">
        <v>345</v>
      </c>
      <c r="D130" s="105">
        <f>'Group 2'!B607</f>
        <v>2028</v>
      </c>
      <c r="E130" s="216">
        <f>'Group 2'!B614</f>
        <v>0.002353342464</v>
      </c>
      <c r="F130" s="216">
        <f>'Group 2'!B615</f>
        <v>0.0294167808</v>
      </c>
      <c r="G130" s="216"/>
      <c r="H130" s="216"/>
      <c r="I130" s="219"/>
      <c r="J130" s="219"/>
    </row>
    <row r="131" spans="1:10" ht="25.5">
      <c r="A131" s="8">
        <v>1</v>
      </c>
      <c r="B131" s="10" t="s">
        <v>346</v>
      </c>
      <c r="C131" s="10" t="s">
        <v>347</v>
      </c>
      <c r="D131" s="106">
        <f>'Group 2'!B160</f>
        <v>2020</v>
      </c>
      <c r="E131" s="215">
        <f>'Group 2'!B167</f>
        <v>7.544259456</v>
      </c>
      <c r="F131" s="215">
        <f>'Group 2'!B168</f>
        <v>124.480281024</v>
      </c>
      <c r="G131" s="215"/>
      <c r="H131" s="215"/>
      <c r="I131" s="218"/>
      <c r="J131" s="218"/>
    </row>
    <row r="132" spans="1:10" ht="25.5">
      <c r="A132" s="12">
        <v>2</v>
      </c>
      <c r="B132" s="13" t="s">
        <v>470</v>
      </c>
      <c r="C132" s="7" t="s">
        <v>471</v>
      </c>
      <c r="D132" s="14"/>
      <c r="E132" s="216"/>
      <c r="F132" s="216"/>
      <c r="G132" s="216"/>
      <c r="H132" s="216"/>
      <c r="I132" s="219"/>
      <c r="J132" s="219"/>
    </row>
    <row r="133" spans="1:10" ht="24.75" customHeight="1">
      <c r="A133" s="8">
        <v>1</v>
      </c>
      <c r="B133" s="418" t="s">
        <v>259</v>
      </c>
      <c r="C133" s="10" t="s">
        <v>472</v>
      </c>
      <c r="D133" s="106">
        <f>'Group 5'!B359</f>
        <v>2012</v>
      </c>
      <c r="E133" s="215">
        <f>'Group 5'!B366</f>
        <v>9.994864962703499</v>
      </c>
      <c r="F133" s="215">
        <f>'Group 5'!B367</f>
        <v>207.8931912242328</v>
      </c>
      <c r="G133" s="215">
        <f>'Group 5'!B369</f>
        <v>10408.75</v>
      </c>
      <c r="H133" s="215">
        <f>'Group 5'!B368</f>
        <v>216502</v>
      </c>
      <c r="I133" s="218">
        <f>'Group 5'!B366</f>
        <v>9.994864962703499</v>
      </c>
      <c r="J133" s="218">
        <f>'Group 5'!B367</f>
        <v>207.8931912242328</v>
      </c>
    </row>
    <row r="134" spans="1:10" ht="12.75">
      <c r="A134" s="12">
        <v>2</v>
      </c>
      <c r="B134" s="13" t="s">
        <v>905</v>
      </c>
      <c r="C134" s="7" t="s">
        <v>473</v>
      </c>
      <c r="D134" s="14"/>
      <c r="E134" s="216"/>
      <c r="F134" s="216"/>
      <c r="G134" s="216"/>
      <c r="H134" s="216"/>
      <c r="I134" s="219"/>
      <c r="J134" s="219"/>
    </row>
    <row r="135" spans="1:10" ht="24.75" customHeight="1">
      <c r="A135" s="8">
        <v>2</v>
      </c>
      <c r="B135" s="9" t="s">
        <v>474</v>
      </c>
      <c r="C135" s="10" t="s">
        <v>417</v>
      </c>
      <c r="D135" s="11"/>
      <c r="E135" s="215"/>
      <c r="F135" s="215"/>
      <c r="G135" s="215"/>
      <c r="H135" s="215"/>
      <c r="I135" s="218"/>
      <c r="J135" s="218"/>
    </row>
    <row r="136" spans="1:10" ht="24.75" customHeight="1">
      <c r="A136" s="12">
        <v>1</v>
      </c>
      <c r="B136" s="7" t="s">
        <v>418</v>
      </c>
      <c r="C136" s="7" t="s">
        <v>372</v>
      </c>
      <c r="D136" s="105">
        <f>'Group 2'!B425</f>
        <v>2020</v>
      </c>
      <c r="E136" s="216">
        <f>'Group 2'!B432</f>
        <v>181.226148</v>
      </c>
      <c r="F136" s="216">
        <f>'Group 2'!B433</f>
        <v>2990.231442</v>
      </c>
      <c r="G136" s="216"/>
      <c r="H136" s="216"/>
      <c r="I136" s="219"/>
      <c r="J136" s="219"/>
    </row>
    <row r="137" spans="1:10" ht="25.5">
      <c r="A137" s="8">
        <v>2</v>
      </c>
      <c r="B137" s="408" t="s">
        <v>604</v>
      </c>
      <c r="C137" s="10" t="s">
        <v>373</v>
      </c>
      <c r="D137" s="11"/>
      <c r="E137" s="215"/>
      <c r="F137" s="215"/>
      <c r="G137" s="215"/>
      <c r="H137" s="215"/>
      <c r="I137" s="218"/>
      <c r="J137" s="218"/>
    </row>
    <row r="138" spans="1:10" ht="25.5">
      <c r="A138" s="12">
        <v>2</v>
      </c>
      <c r="B138" s="13" t="s">
        <v>349</v>
      </c>
      <c r="C138" s="7" t="s">
        <v>374</v>
      </c>
      <c r="D138" s="14"/>
      <c r="E138" s="216"/>
      <c r="F138" s="216"/>
      <c r="G138" s="216"/>
      <c r="H138" s="216"/>
      <c r="I138" s="219"/>
      <c r="J138" s="219"/>
    </row>
    <row r="139" spans="1:10" ht="24.75" customHeight="1">
      <c r="A139" s="8">
        <v>2</v>
      </c>
      <c r="B139" s="9" t="s">
        <v>375</v>
      </c>
      <c r="C139" s="10" t="s">
        <v>377</v>
      </c>
      <c r="D139" s="11"/>
      <c r="E139" s="215"/>
      <c r="F139" s="215"/>
      <c r="G139" s="215"/>
      <c r="H139" s="215"/>
      <c r="I139" s="218"/>
      <c r="J139" s="218"/>
    </row>
    <row r="140" spans="1:10" ht="25.5">
      <c r="A140" s="12">
        <v>2</v>
      </c>
      <c r="B140" s="13" t="s">
        <v>384</v>
      </c>
      <c r="C140" s="7" t="s">
        <v>499</v>
      </c>
      <c r="D140" s="14"/>
      <c r="E140" s="216"/>
      <c r="F140" s="216"/>
      <c r="G140" s="216"/>
      <c r="H140" s="216"/>
      <c r="I140" s="219"/>
      <c r="J140" s="219"/>
    </row>
    <row r="141" spans="1:10" ht="38.25">
      <c r="A141" s="8">
        <v>2</v>
      </c>
      <c r="B141" s="9" t="s">
        <v>436</v>
      </c>
      <c r="C141" s="10" t="s">
        <v>437</v>
      </c>
      <c r="D141" s="11"/>
      <c r="E141" s="215"/>
      <c r="F141" s="215"/>
      <c r="G141" s="215"/>
      <c r="H141" s="215"/>
      <c r="I141" s="218"/>
      <c r="J141" s="218"/>
    </row>
    <row r="142" spans="1:10" ht="24.75" customHeight="1">
      <c r="A142" s="12">
        <v>1</v>
      </c>
      <c r="B142" s="7" t="s">
        <v>201</v>
      </c>
      <c r="C142" s="7" t="s">
        <v>503</v>
      </c>
      <c r="D142" s="105">
        <f>'Group 2'!B309</f>
        <v>2014</v>
      </c>
      <c r="E142" s="216">
        <f>'Group 2'!B316</f>
        <v>4.576000000000002</v>
      </c>
      <c r="F142" s="216">
        <f>'Group 2'!B317</f>
        <v>89.23200000000003</v>
      </c>
      <c r="G142" s="216"/>
      <c r="H142" s="216"/>
      <c r="I142" s="219"/>
      <c r="J142" s="219"/>
    </row>
    <row r="143" spans="1:10" ht="25.5">
      <c r="A143" s="8">
        <v>2</v>
      </c>
      <c r="B143" s="9" t="s">
        <v>905</v>
      </c>
      <c r="C143" s="10" t="s">
        <v>504</v>
      </c>
      <c r="D143" s="11"/>
      <c r="E143" s="215"/>
      <c r="F143" s="215"/>
      <c r="G143" s="215"/>
      <c r="H143" s="215"/>
      <c r="I143" s="218"/>
      <c r="J143" s="218"/>
    </row>
    <row r="144" spans="1:10" ht="25.5">
      <c r="A144" s="12">
        <v>1</v>
      </c>
      <c r="B144" s="7" t="s">
        <v>505</v>
      </c>
      <c r="C144" s="7" t="s">
        <v>506</v>
      </c>
      <c r="D144" s="105">
        <f>'Group 2'!B570</f>
        <v>2013</v>
      </c>
      <c r="E144" s="216">
        <f>'Group 2'!B577</f>
        <v>0.023841216</v>
      </c>
      <c r="F144" s="216">
        <f>'Group 2'!B578</f>
        <v>0.47682432</v>
      </c>
      <c r="G144" s="216"/>
      <c r="H144" s="216"/>
      <c r="I144" s="219"/>
      <c r="J144" s="219"/>
    </row>
    <row r="145" spans="1:10" ht="25.5">
      <c r="A145" s="8">
        <v>2</v>
      </c>
      <c r="B145" s="9" t="s">
        <v>905</v>
      </c>
      <c r="C145" s="10" t="s">
        <v>439</v>
      </c>
      <c r="D145" s="11"/>
      <c r="E145" s="215"/>
      <c r="F145" s="215"/>
      <c r="G145" s="215"/>
      <c r="H145" s="215"/>
      <c r="I145" s="218"/>
      <c r="J145" s="218"/>
    </row>
    <row r="146" spans="1:10" ht="25.5">
      <c r="A146" s="12">
        <v>2</v>
      </c>
      <c r="B146" s="13" t="s">
        <v>729</v>
      </c>
      <c r="C146" s="7" t="s">
        <v>440</v>
      </c>
      <c r="D146" s="14"/>
      <c r="E146" s="216"/>
      <c r="F146" s="216"/>
      <c r="G146" s="216"/>
      <c r="H146" s="216"/>
      <c r="I146" s="219"/>
      <c r="J146" s="219"/>
    </row>
    <row r="147" spans="1:10" ht="24.75" customHeight="1">
      <c r="A147" s="8">
        <v>2</v>
      </c>
      <c r="B147" s="9" t="s">
        <v>441</v>
      </c>
      <c r="C147" s="10" t="s">
        <v>442</v>
      </c>
      <c r="D147" s="11"/>
      <c r="E147" s="215"/>
      <c r="F147" s="215"/>
      <c r="G147" s="215"/>
      <c r="H147" s="215"/>
      <c r="I147" s="218"/>
      <c r="J147" s="218"/>
    </row>
    <row r="148" spans="1:10" ht="25.5">
      <c r="A148" s="12">
        <v>2</v>
      </c>
      <c r="B148" s="13" t="s">
        <v>443</v>
      </c>
      <c r="C148" s="7" t="s">
        <v>390</v>
      </c>
      <c r="D148" s="14"/>
      <c r="E148" s="216"/>
      <c r="F148" s="216"/>
      <c r="G148" s="216"/>
      <c r="H148" s="216"/>
      <c r="I148" s="219"/>
      <c r="J148" s="219"/>
    </row>
    <row r="150" spans="1:2" ht="12.75">
      <c r="A150" s="1" t="s">
        <v>50</v>
      </c>
      <c r="B150" s="3" t="s">
        <v>62</v>
      </c>
    </row>
  </sheetData>
  <autoFilter ref="A3:J148"/>
  <mergeCells count="2">
    <mergeCell ref="A2:J2"/>
    <mergeCell ref="A1:J1"/>
  </mergeCells>
  <hyperlinks>
    <hyperlink ref="C4" r:id="rId1" display="http://www.ren21.net/wiap/detail.asp?id=59"/>
    <hyperlink ref="C5" r:id="rId2" display="http://www.ren21.net/wiap/detail.asp?id=146"/>
    <hyperlink ref="C6" r:id="rId3" display="http://www.ren21.net/wiap/detail.asp?id=323"/>
    <hyperlink ref="C7" r:id="rId4" display="http://www.ren21.net/wiap/detail.asp?id=111"/>
    <hyperlink ref="C8" r:id="rId5" display="http://www.ren21.net/wiap/detail.asp?id=218"/>
    <hyperlink ref="C9" r:id="rId6" display="http://www.ren21.net/wiap/detail.asp?id=98"/>
    <hyperlink ref="C10" r:id="rId7" display="http://www.ren21.net/wiap/detail.asp?id=213"/>
    <hyperlink ref="C11" r:id="rId8" display="http://www.ren21.net/wiap/detail.asp?id=60"/>
    <hyperlink ref="C12" r:id="rId9" display="http://www.ren21.net/wiap/detail.asp?id=234"/>
    <hyperlink ref="C13" r:id="rId10" display="http://www.ren21.net/wiap/detail.asp?id=155"/>
    <hyperlink ref="C14" r:id="rId11" display="http://www.ren21.net/wiap/detail.asp?id=56"/>
    <hyperlink ref="C15" r:id="rId12" display="http://www.ren21.net/wiap/detail.asp?id=99"/>
    <hyperlink ref="C16" r:id="rId13" display="http://www.ren21.net/wiap/detail.asp?id=340"/>
    <hyperlink ref="C17" r:id="rId14" display="http://www.ren21.net/wiap/detail.asp?id=74"/>
    <hyperlink ref="C18" r:id="rId15" display="http://www.ren21.net/wiap/detail.asp?id=157"/>
    <hyperlink ref="C19" r:id="rId16" display="http://www.ren21.net/wiap/detail.asp?id=219"/>
    <hyperlink ref="C20" r:id="rId17" display="http://www.ren21.net/wiap/detail.asp?id=82"/>
    <hyperlink ref="C21" r:id="rId18" display="http://www.ren21.net/wiap/detail.asp?id=115"/>
    <hyperlink ref="C22" r:id="rId19" display="http://www.ren21.net/wiap/detail.asp?id=110"/>
    <hyperlink ref="C23" r:id="rId20" display="http://www.ren21.net/wiap/detail.asp?id=203"/>
    <hyperlink ref="C24" r:id="rId21" display="http://www.ren21.net/wiap/detail.asp?id=92"/>
    <hyperlink ref="C25" r:id="rId22" display="http://www.ren21.net/wiap/detail.asp?id=189"/>
    <hyperlink ref="C26" r:id="rId23" display="http://www.ren21.net/wiap/detail.asp?id=15"/>
    <hyperlink ref="C27" r:id="rId24" display="http://www.ren21.net/wiap/detail.asp?id=198"/>
    <hyperlink ref="C28" r:id="rId25" display="http://www.ren21.net/wiap/detail.asp?id=91"/>
    <hyperlink ref="C29" r:id="rId26" display="http://www.ren21.net/wiap/detail.asp?id=151"/>
    <hyperlink ref="C30" r:id="rId27" display="http://www.ren21.net/wiap/detail.asp?id=153"/>
    <hyperlink ref="C31" r:id="rId28" display="http://www.ren21.net/wiap/detail.asp?id=79"/>
    <hyperlink ref="C32" r:id="rId29" display="http://www.ren21.net/wiap/detail.asp?id=196"/>
    <hyperlink ref="C33" r:id="rId30" display="http://www.ren21.net/wiap/detail.asp?id=93"/>
    <hyperlink ref="C34" r:id="rId31" display="http://www.ren21.net/wiap/detail.asp?id=71"/>
    <hyperlink ref="C35" r:id="rId32" display="http://www.ren21.net/wiap/detail.asp?id=86"/>
    <hyperlink ref="C36" r:id="rId33" display="http://www.ren21.net/wiap/detail.asp?id=201"/>
    <hyperlink ref="C37" r:id="rId34" display="http://www.ren21.net/wiap/detail.asp?id=183"/>
    <hyperlink ref="C38" r:id="rId35" display="http://www.ren21.net/wiap/detail.asp?id=105"/>
    <hyperlink ref="C39" r:id="rId36" display="http://www.ren21.net/wiap/detail.asp?id=339"/>
    <hyperlink ref="C40" r:id="rId37" display="http://www.ren21.net/wiap/detail.asp?id=72"/>
    <hyperlink ref="C41" r:id="rId38" display="http://www.ren21.net/wiap/detail.asp?id=41"/>
    <hyperlink ref="C42" r:id="rId39" display="http://www.ren21.net/wiap/detail.asp?id=207"/>
    <hyperlink ref="C43" r:id="rId40" display="http://www.ren21.net/wiap/detail.asp?id=38"/>
    <hyperlink ref="C44" r:id="rId41" display="http://www.ren21.net/wiap/detail.asp?id=117"/>
    <hyperlink ref="C45" r:id="rId42" display="http://www.ren21.net/wiap/detail.asp?id=70"/>
    <hyperlink ref="C46" r:id="rId43" display="http://www.ren21.net/wiap/detail.asp?id=236"/>
    <hyperlink ref="C47" r:id="rId44" display="http://www.ren21.net/wiap/detail.asp?id=204"/>
    <hyperlink ref="C48" r:id="rId45" display="http://www.ren21.net/wiap/detail.asp?id=208"/>
    <hyperlink ref="C49" r:id="rId46" display="http://www.ren21.net/wiap/detail.asp?id=206"/>
    <hyperlink ref="C50" r:id="rId47" display="http://www.ren21.net/wiap/detail.asp?id=116"/>
    <hyperlink ref="C51" r:id="rId48" display="http://www.ren21.net/wiap/detail.asp?id=64"/>
    <hyperlink ref="C52" r:id="rId49" display="http://www.ren21.net/wiap/detail.asp?id=333"/>
    <hyperlink ref="C53" r:id="rId50" display="http://www.ren21.net/wiap/detail.asp?id=322"/>
    <hyperlink ref="C54" r:id="rId51" display="http://www.ren21.net/wiap/detail.asp?id=123"/>
    <hyperlink ref="C55" r:id="rId52" display="http://www.ren21.net/wiap/detail.asp?id=138"/>
    <hyperlink ref="C56" r:id="rId53" display="http://www.ren21.net/wiap/detail.asp?id=233"/>
    <hyperlink ref="C57" r:id="rId54" display="http://www.ren21.net/wiap/detail.asp?id=94"/>
    <hyperlink ref="C58" r:id="rId55" display="http://www.ren21.net/wiap/detail.asp?id=124"/>
    <hyperlink ref="C59" r:id="rId56" display="http://www.ren21.net/wiap/detail.asp?id=222"/>
    <hyperlink ref="C60" r:id="rId57" display="http://www.ren21.net/wiap/detail.asp?id=55"/>
    <hyperlink ref="C61" r:id="rId58" display="http://www.ren21.net/wiap/detail.asp?id=144"/>
    <hyperlink ref="C62" r:id="rId59" display="http://www.ren21.net/wiap/detail.asp?id=31"/>
    <hyperlink ref="C63" r:id="rId60" display="http://www.ren21.net/wiap/detail.asp?id=156"/>
    <hyperlink ref="C64" r:id="rId61" display="http://www.ren21.net/wiap/detail.asp?id=114"/>
    <hyperlink ref="C65" r:id="rId62" display="http://www.ren21.net/wiap/detail.asp?id=52"/>
    <hyperlink ref="C66" r:id="rId63" display="http://www.ren21.net/wiap/detail.asp?id=83"/>
    <hyperlink ref="C67" r:id="rId64" display="http://www.ren21.net/wiap/detail.asp?id=137"/>
    <hyperlink ref="C68" r:id="rId65" display="http://www.ren21.net/wiap/detail.asp?id=69"/>
    <hyperlink ref="C69" r:id="rId66" display="http://www.ren21.net/wiap/detail.asp?id=106"/>
    <hyperlink ref="C70" r:id="rId67" display="http://www.ren21.net/wiap/detail.asp?id=96"/>
    <hyperlink ref="C71" r:id="rId68" display="http://www.ren21.net/wiap/detail.asp?id=28"/>
    <hyperlink ref="C72" r:id="rId69" display="http://www.ren21.net/wiap/detail.asp?id=87"/>
    <hyperlink ref="C73" r:id="rId70" display="http://www.ren21.net/wiap/detail.asp?id=108"/>
    <hyperlink ref="C74" r:id="rId71" display="http://www.ren21.net/wiap/detail.asp?id=109"/>
    <hyperlink ref="C75" r:id="rId72" display="http://www.ren21.net/wiap/detail.asp?id=63"/>
    <hyperlink ref="C76" r:id="rId73" display="http://www.ren21.net/wiap/detail.asp?id=12"/>
    <hyperlink ref="C77" r:id="rId74" display="http://www.ren21.net/wiap/detail.asp?id=225"/>
    <hyperlink ref="C78" r:id="rId75" display="http://www.ren21.net/wiap/detail.asp?id=341"/>
    <hyperlink ref="C79" r:id="rId76" display="http://www.ren21.net/wiap/detail.asp?id=173"/>
    <hyperlink ref="C80" r:id="rId77" display="http://www.ren21.net/wiap/detail.asp?id=147"/>
    <hyperlink ref="C81" r:id="rId78" display="http://www.ren21.net/wiap/detail.asp?id=166"/>
    <hyperlink ref="C82" r:id="rId79" display="http://www.ren21.net/wiap/detail.asp?id=20"/>
    <hyperlink ref="C83" r:id="rId80" display="http://www.ren21.net/wiap/detail.asp?id=139"/>
    <hyperlink ref="C84" r:id="rId81" display="http://www.ren21.net/wiap/detail.asp?id=152"/>
    <hyperlink ref="C85" r:id="rId82" display="http://www.ren21.net/wiap/detail.asp?id=107"/>
    <hyperlink ref="C86" r:id="rId83" display="http://www.ren21.net/wiap/detail.asp?id=136"/>
    <hyperlink ref="C87" r:id="rId84" display="http://www.ren21.net/wiap/detail.asp?id=17"/>
    <hyperlink ref="C88" r:id="rId85" display="http://www.ren21.net/wiap/detail.asp?id=102"/>
    <hyperlink ref="C89" r:id="rId86" display="http://www.ren21.net/wiap/detail.asp?id=185"/>
    <hyperlink ref="C90" r:id="rId87" display="http://www.ren21.net/wiap/detail.asp?id=191"/>
    <hyperlink ref="C91" r:id="rId88" display="http://www.ren21.net/wiap/detail.asp?id=195"/>
    <hyperlink ref="C92" r:id="rId89" display="http://www.ren21.net/wiap/detail.asp?id=75"/>
    <hyperlink ref="C93" r:id="rId90" display="http://www.ren21.net/wiap/detail.asp?id=197"/>
    <hyperlink ref="C94" r:id="rId91" display="http://www.ren21.net/wiap/detail.asp?id=97"/>
    <hyperlink ref="C95" r:id="rId92" display="http://www.ren21.net/wiap/detail.asp?id=5"/>
    <hyperlink ref="C96" r:id="rId93" display="http://www.ren21.net/wiap/detail.asp?id=37"/>
    <hyperlink ref="C97" r:id="rId94" display="http://www.ren21.net/wiap/detail.asp?id=232"/>
    <hyperlink ref="C98" r:id="rId95" display="http://www.ren21.net/wiap/detail.asp?id=58"/>
    <hyperlink ref="C99" r:id="rId96" display="http://www.ren21.net/wiap/detail.asp?id=42"/>
    <hyperlink ref="C100" r:id="rId97" display="http://www.ren21.net/wiap/detail.asp?id=223"/>
    <hyperlink ref="C101" r:id="rId98" display="http://www.ren21.net/wiap/detail.asp?id=247"/>
    <hyperlink ref="C102" r:id="rId99" display="http://www.ren21.net/wiap/detail.asp?id=81"/>
    <hyperlink ref="C103" r:id="rId100" display="http://www.ren21.net/wiap/detail.asp?id=171"/>
    <hyperlink ref="C104" r:id="rId101" display="http://www.ren21.net/wiap/detail.asp?id=118"/>
    <hyperlink ref="C105" r:id="rId102" display="http://www.ren21.net/wiap/detail.asp?id=54"/>
    <hyperlink ref="C106" r:id="rId103" display="http://www.ren21.net/wiap/detail.asp?id=342"/>
    <hyperlink ref="C107" r:id="rId104" display="http://www.ren21.net/wiap/detail.asp?id=194"/>
    <hyperlink ref="C108" r:id="rId105" display="http://www.ren21.net/wiap/detail.asp?id=127"/>
    <hyperlink ref="C109" r:id="rId106" display="http://www.ren21.net/wiap/detail.asp?id=131"/>
    <hyperlink ref="C110" r:id="rId107" display="http://www.ren21.net/wiap/detail.asp?id=104"/>
    <hyperlink ref="C111" r:id="rId108" display="http://www.ren21.net/wiap/detail.asp?id=129"/>
    <hyperlink ref="C112" r:id="rId109" display="http://www.ren21.net/wiap/detail.asp?id=44"/>
    <hyperlink ref="C113" r:id="rId110" display="http://www.ren21.net/wiap/detail.asp?id=212"/>
    <hyperlink ref="C114" r:id="rId111" display="http://www.ren21.net/wiap/detail.asp?id=6"/>
    <hyperlink ref="C115" r:id="rId112" display="http://www.ren21.net/wiap/detail.asp?id=57"/>
    <hyperlink ref="C116" r:id="rId113" display="http://www.ren21.net/wiap/detail.asp?id=80"/>
    <hyperlink ref="C117" r:id="rId114" display="http://www.ren21.net/wiap/detail.asp?id=143"/>
    <hyperlink ref="C118" r:id="rId115" display="http://www.ren21.net/wiap/detail.asp?id=73"/>
    <hyperlink ref="C119" r:id="rId116" display="http://www.ren21.net/wiap/detail.asp?id=68"/>
    <hyperlink ref="C120" r:id="rId117" display="http://www.ren21.net/wiap/detail.asp?id=125"/>
    <hyperlink ref="C121" r:id="rId118" display="http://www.ren21.net/wiap/detail.asp?id=90"/>
    <hyperlink ref="C122" r:id="rId119" display="http://www.ren21.net/wiap/detail.asp?id=217"/>
    <hyperlink ref="C123" r:id="rId120" display="http://www.ren21.net/wiap/detail.asp?id=149"/>
    <hyperlink ref="C124" r:id="rId121" display="http://www.ren21.net/wiap/detail.asp?id=89"/>
    <hyperlink ref="C125" r:id="rId122" display="http://www.ren21.net/wiap/detail.asp?id=229"/>
    <hyperlink ref="C126" r:id="rId123" display="http://www.ren21.net/wiap/detail.asp?id=220"/>
    <hyperlink ref="C127" r:id="rId124" display="http://www.ren21.net/wiap/detail.asp?id=154"/>
    <hyperlink ref="C128" r:id="rId125" display="http://www.ren21.net/wiap/detail.asp?id=214"/>
    <hyperlink ref="C129" r:id="rId126" display="http://www.ren21.net/wiap/detail.asp?id=182"/>
    <hyperlink ref="C130" r:id="rId127" display="http://www.ren21.net/wiap/detail.asp?id=88"/>
    <hyperlink ref="C131" r:id="rId128" display="http://www.ren21.net/wiap/detail.asp?id=251"/>
    <hyperlink ref="C132" r:id="rId129" display="http://www.ren21.net/wiap/detail.asp?id=200"/>
    <hyperlink ref="C133" r:id="rId130" display="http://www.ren21.net/wiap/detail.asp?id=231"/>
    <hyperlink ref="C134" r:id="rId131" display="http://www.ren21.net/wiap/detail.asp?id=238"/>
    <hyperlink ref="C135" r:id="rId132" display="http://www.ren21.net/wiap/detail.asp?id=221"/>
    <hyperlink ref="C136" r:id="rId133" display="http://www.ren21.net/wiap/detail.asp?id=180"/>
    <hyperlink ref="C137" r:id="rId134" display="http://www.ren21.net/wiap/detail.asp?id=53"/>
    <hyperlink ref="C138" r:id="rId135" display="http://www.ren21.net/wiap/detail.asp?id=43"/>
    <hyperlink ref="C139" r:id="rId136" display="http://www.ren21.net/wiap/detail.asp?id=230"/>
    <hyperlink ref="C140" r:id="rId137" display="http://www.ren21.net/wiap/detail.asp?id=327"/>
    <hyperlink ref="C141" r:id="rId138" display="http://www.ren21.net/wiap/detail.asp?id=205"/>
    <hyperlink ref="C142" r:id="rId139" display="http://www.ren21.net/wiap/detail.asp?id=66"/>
    <hyperlink ref="C143" r:id="rId140" display="http://www.ren21.net/wiap/detail.asp?id=150"/>
    <hyperlink ref="C144" r:id="rId141" display="http://www.ren21.net/wiap/detail.asp?id=14"/>
    <hyperlink ref="C145" r:id="rId142" display="http://www.ren21.net/wiap/detail.asp?id=237"/>
    <hyperlink ref="C146" r:id="rId143" display="http://www.ren21.net/wiap/detail.asp?id=184"/>
    <hyperlink ref="C147" r:id="rId144" display="http://www.ren21.net/wiap/detail.asp?id=210"/>
    <hyperlink ref="C148" r:id="rId145" display="http://www.ren21.net/wiap/detail.asp?id=224"/>
    <hyperlink ref="B124" location="'Group 1'!A5" display="Germany / Government of Germany"/>
    <hyperlink ref="B66" location="'Group 2'!A3" display="Germany / Government of Germany"/>
    <hyperlink ref="B70" location="'Group 1'!A42" display="Brazil / Government of Brazil"/>
    <hyperlink ref="B115" location="'Group 1'!A80" display="New Zealand / Ministry of Economic Development"/>
    <hyperlink ref="B5" location="'Group 1'!A116" display="Rwanda / Government of Rwanda"/>
    <hyperlink ref="B62" location="'Group 1'!A153" display="Cape Verde / Ministry of Economy, Growth and Competitiveness"/>
    <hyperlink ref="B118" location="'Group 1'!A188" display="Jamaica / Ministry of Energy, Mining &amp; Telecommunication Petroleum Corporation"/>
    <hyperlink ref="B75" location="'Group 2'!A40" display="Italy / Ministry of Economic Development"/>
    <hyperlink ref="B87" location="'Group 2'!A75" display="Switzerland / Department of the Environment, Transport, Energy and Communications"/>
    <hyperlink ref="B116" location="'Group 2'!A111" display="Norway / Ministry of Petroleum and Energy"/>
    <hyperlink ref="B131" location="'Group 2'!A147" display="Egypt / Ministry of Electricity and Energy"/>
    <hyperlink ref="B7" location="'Group 2'!A184" display="Kenya / Ministry of Energy"/>
    <hyperlink ref="B122" location="'Group 2'!A221" display="Turkey / Ministry of Energy and Natural Sources"/>
    <hyperlink ref="B54" location="'Group 2'!A258" display="UK / Department for Business, Enterprise and Regulatory Reform"/>
    <hyperlink ref="B142" location="'Group 2'!A295" display="Japan / Ministry of Economy, Trade and Industry"/>
    <hyperlink ref="B77" location="'Group 2'!A335" display="Cameroon / Ministry of Energy and Water Resources"/>
    <hyperlink ref="B38" location="'Group 2'!A375" display="St. Kitts and Nevis / Government of St. Kitts and Nevis"/>
    <hyperlink ref="B136" location="'Group 2'!A412" display="USA, State Governments"/>
    <hyperlink ref="B13" location="'Group 2'!A449" display="USA / Department of State"/>
    <hyperlink ref="B125" location="'Group 2'!A485" display="USA / Department of Agriculture"/>
    <hyperlink ref="B123" location="'Group 2'!A523" display="USA / Department of Defense"/>
    <hyperlink ref="B144" location="'Group 2'!A558" display="Mauritania / Ministry of Hydraulics, Energy and ICT"/>
    <hyperlink ref="B130" location="'Group 2'!A595" display="France / Electricite De France"/>
    <hyperlink ref="B82" location="'Group 3'!A4" display="Switzerland / Department of the Environment, Transport, Energy and Communications"/>
    <hyperlink ref="B105" location="'Group 3'!A42" display="Jordan / Ministry of Energy and Mineral Resources"/>
    <hyperlink ref="B74" location="'Group 3'!A80" display="Morocco / Ministry of Energy, Mines, Water and Environment"/>
    <hyperlink ref="B9" location="'Group 3'!A117" display="Pakistan / Planning and Development"/>
    <hyperlink ref="B17" location="'Group 4'!A5" display="France / Government of France"/>
    <hyperlink ref="B11" location="'Group 4'!A41" display="Spain / Ministry of Industry, Tourism and Trade"/>
    <hyperlink ref="B73" location="'Group 4'!A78" display="Lithuania / Ministry of Economy"/>
    <hyperlink ref="B65" location="'Group 4'!A116" display="Sweden / Ministry of Enterprise, Energy and Communications"/>
    <hyperlink ref="B89" location="'Group 4'!A153" display="Uganda / Ministry of Energy and Mineral Development"/>
    <hyperlink ref="B91" location="'Group 5'!A195" display="Paraguay / Ministry of Industry and Commerce"/>
    <hyperlink ref="B127" location="'Group 5'!A229" display="USA / Environmental Protection Agency"/>
    <hyperlink ref="B121" location="'Group 6'!A4" display="Germany / Government of Germany"/>
    <hyperlink ref="B79" location="'Group 6'!A80" display="Netherlands / Government of the Netherlands"/>
    <hyperlink ref="B119" location="'Group 6'!A117" display="Town of Warrenton, Virginia, USA"/>
    <hyperlink ref="B52" location="'Group 6'!A154" display="Nicaragua / Ministry of Energy and Mines"/>
    <hyperlink ref="B4" location="'Group 6'!A192" display="Australia / Government of Australia"/>
    <hyperlink ref="B16" location="'Group 6'!A230" display="Bangkok Metropolitan Administration, Thailand"/>
    <hyperlink ref="B117" location="'Group 6'!A266" display="USA / Environmental Protection Agency"/>
    <hyperlink ref="B57" location="'Group 6'!A305" display="Germany / Government of Germany"/>
    <hyperlink ref="B41" location="'Group 6'!A342" display="The Netherlands / SNV Netherlands Development Organisation"/>
    <hyperlink ref="B94" location="'Group 7'!A4" display="Indonesia / Ministry of Energy and Mineral Resources"/>
    <hyperlink ref="B92" location="'Group 7'!A42" display="Madagascar / Ministry of Energy and Mines"/>
    <hyperlink ref="B76" location="'Group 6'!A41" display="Denmark / Ministry of Climate and Energy"/>
    <hyperlink ref="B99" location="'Group 7'!A83" display="Latvia / Ministry of the Environment"/>
    <hyperlink ref="B126" location="'Group 7'!A119" display="USA / Department of Energy"/>
    <hyperlink ref="B72" location="'Group 7'!A156" display="European Union / Council of the European Union"/>
    <hyperlink ref="B78" location="'Group 4'!A190" display="Argentina / Government of Argentina"/>
    <hyperlink ref="B109" location="'Group 8'!A5" display="Tunisia / National Agency for Energy Conservation"/>
    <hyperlink ref="B81" location="'Group 7'!A232" display="Planet2025 Network"/>
    <hyperlink ref="B96" location="'Group 1'!A225" display="Juniata College, USA"/>
    <hyperlink ref="B51" location="'Group 6'!A376" display="Japan / Ministry of Economy, Trade and Industry"/>
    <hyperlink ref="B101" location="'Group 7'!A195" display="Azerbaijan / Ministry of Ecology and Natural Resources"/>
    <hyperlink ref="B61" location="'Group 8'!A81" display="USA / Environmental Protection Agency"/>
    <hyperlink ref="B133" location="'Group 5'!A346" display="USA / Environmental Protection Agency2"/>
    <hyperlink ref="B53" location="'Group 8'!A45" display="Tokyo Metropolitan Government, Japan"/>
  </hyperlinks>
  <printOptions/>
  <pageMargins left="0.75" right="0.75" top="1" bottom="1" header="0.5" footer="0.5"/>
  <pageSetup horizontalDpi="1200" verticalDpi="1200" orientation="portrait" r:id="rId146"/>
</worksheet>
</file>

<file path=xl/worksheets/sheet10.xml><?xml version="1.0" encoding="utf-8"?>
<worksheet xmlns="http://schemas.openxmlformats.org/spreadsheetml/2006/main" xmlns:r="http://schemas.openxmlformats.org/officeDocument/2006/relationships">
  <dimension ref="A3:A58"/>
  <sheetViews>
    <sheetView workbookViewId="0" topLeftCell="A1">
      <selection activeCell="H9" sqref="H9"/>
    </sheetView>
  </sheetViews>
  <sheetFormatPr defaultColWidth="10.8515625" defaultRowHeight="12.75"/>
  <cols>
    <col min="1" max="16384" width="10.8515625" style="398" customWidth="1"/>
  </cols>
  <sheetData>
    <row r="3" ht="15">
      <c r="A3" s="399" t="s">
        <v>704</v>
      </c>
    </row>
    <row r="4" ht="15">
      <c r="A4" s="398" t="s">
        <v>703</v>
      </c>
    </row>
    <row r="5" ht="15">
      <c r="A5" s="398" t="s">
        <v>702</v>
      </c>
    </row>
    <row r="6" ht="15">
      <c r="A6" s="398" t="s">
        <v>701</v>
      </c>
    </row>
    <row r="8" ht="15">
      <c r="A8" s="398" t="s">
        <v>700</v>
      </c>
    </row>
    <row r="11" ht="15">
      <c r="A11" s="399" t="s">
        <v>699</v>
      </c>
    </row>
    <row r="12" ht="15">
      <c r="A12" s="398" t="s">
        <v>698</v>
      </c>
    </row>
    <row r="13" ht="15">
      <c r="A13" s="398" t="s">
        <v>697</v>
      </c>
    </row>
    <row r="14" ht="15">
      <c r="A14" s="398" t="s">
        <v>696</v>
      </c>
    </row>
    <row r="15" ht="15">
      <c r="A15" s="398" t="s">
        <v>695</v>
      </c>
    </row>
    <row r="16" ht="15">
      <c r="A16" s="398" t="s">
        <v>244</v>
      </c>
    </row>
    <row r="18" ht="15">
      <c r="A18" s="398" t="s">
        <v>694</v>
      </c>
    </row>
    <row r="19" ht="15">
      <c r="A19" s="398" t="s">
        <v>631</v>
      </c>
    </row>
    <row r="20" ht="15">
      <c r="A20" s="398" t="s">
        <v>141</v>
      </c>
    </row>
    <row r="23" ht="15">
      <c r="A23" s="399" t="s">
        <v>140</v>
      </c>
    </row>
    <row r="24" ht="15">
      <c r="A24" s="398" t="s">
        <v>199</v>
      </c>
    </row>
    <row r="25" ht="15">
      <c r="A25" s="398" t="s">
        <v>195</v>
      </c>
    </row>
    <row r="27" ht="15">
      <c r="A27" s="398" t="s">
        <v>194</v>
      </c>
    </row>
    <row r="30" ht="15">
      <c r="A30" s="399" t="s">
        <v>193</v>
      </c>
    </row>
    <row r="31" ht="15">
      <c r="A31" s="398" t="s">
        <v>192</v>
      </c>
    </row>
    <row r="33" ht="15">
      <c r="A33" s="398" t="s">
        <v>196</v>
      </c>
    </row>
    <row r="35" ht="15">
      <c r="A35" s="399" t="s">
        <v>682</v>
      </c>
    </row>
    <row r="36" ht="15">
      <c r="A36" s="398" t="s">
        <v>681</v>
      </c>
    </row>
    <row r="37" ht="15">
      <c r="A37" s="398" t="s">
        <v>680</v>
      </c>
    </row>
    <row r="40" ht="15">
      <c r="A40" s="399" t="s">
        <v>679</v>
      </c>
    </row>
    <row r="41" ht="15">
      <c r="A41" s="398" t="s">
        <v>678</v>
      </c>
    </row>
    <row r="42" ht="15">
      <c r="A42" s="400" t="s">
        <v>677</v>
      </c>
    </row>
    <row r="43" ht="15">
      <c r="A43" s="400" t="s">
        <v>676</v>
      </c>
    </row>
    <row r="45" ht="15">
      <c r="A45" s="398" t="s">
        <v>675</v>
      </c>
    </row>
    <row r="46" ht="15">
      <c r="A46" s="401" t="s">
        <v>674</v>
      </c>
    </row>
    <row r="48" ht="15">
      <c r="A48" s="398" t="s">
        <v>673</v>
      </c>
    </row>
    <row r="49" ht="15">
      <c r="A49" s="398" t="s">
        <v>672</v>
      </c>
    </row>
    <row r="51" ht="15">
      <c r="A51" s="400" t="s">
        <v>671</v>
      </c>
    </row>
    <row r="52" ht="15">
      <c r="A52" s="400" t="s">
        <v>670</v>
      </c>
    </row>
    <row r="53" ht="15">
      <c r="A53" s="400" t="s">
        <v>168</v>
      </c>
    </row>
    <row r="55" ht="15">
      <c r="A55" s="399" t="s">
        <v>163</v>
      </c>
    </row>
    <row r="56" ht="15">
      <c r="A56" s="398" t="s">
        <v>162</v>
      </c>
    </row>
    <row r="57" ht="15">
      <c r="A57" s="64" t="s">
        <v>161</v>
      </c>
    </row>
    <row r="58" ht="15">
      <c r="A58" s="398" t="s">
        <v>160</v>
      </c>
    </row>
  </sheetData>
  <hyperlinks>
    <hyperlink ref="A46" r:id="rId1" display="Source: http://bioenergy.ornl.gov/main.aspx"/>
    <hyperlink ref="A57" r:id="rId2" display="http://ec.europa.eu/dgs/energy_transport/figures/pocketbook/2007_en.htm  "/>
  </hyperlinks>
  <printOptions/>
  <pageMargins left="0.75" right="0.75" top="1" bottom="1" header="0.5" footer="0.5"/>
  <pageSetup orientation="landscape" paperSize="9"/>
</worksheet>
</file>

<file path=xl/worksheets/sheet2.xml><?xml version="1.0" encoding="utf-8"?>
<worksheet xmlns="http://schemas.openxmlformats.org/spreadsheetml/2006/main" xmlns:r="http://schemas.openxmlformats.org/officeDocument/2006/relationships">
  <dimension ref="A1:M260"/>
  <sheetViews>
    <sheetView zoomScale="90" zoomScaleNormal="90" workbookViewId="0" topLeftCell="A5">
      <selection activeCell="A5" sqref="A5:I5"/>
    </sheetView>
  </sheetViews>
  <sheetFormatPr defaultColWidth="8.7109375" defaultRowHeight="12.75"/>
  <cols>
    <col min="1" max="1" width="44.00390625" style="15" bestFit="1" customWidth="1"/>
    <col min="2" max="4" width="12.7109375" style="0" customWidth="1"/>
    <col min="5" max="5" width="27.7109375" style="0" customWidth="1"/>
    <col min="6" max="6" width="19.00390625" style="0" bestFit="1" customWidth="1"/>
    <col min="7" max="7" width="13.28125" style="0" customWidth="1"/>
    <col min="8" max="8" width="18.28125" style="0" bestFit="1" customWidth="1"/>
    <col min="9" max="9" width="13.00390625" style="0" customWidth="1"/>
    <col min="10" max="10" width="16.7109375" style="0" customWidth="1"/>
    <col min="11" max="11" width="12.140625" style="0" customWidth="1"/>
    <col min="12" max="12" width="32.421875" style="0" customWidth="1"/>
    <col min="13" max="13" width="18.421875" style="0" customWidth="1"/>
    <col min="14" max="14" width="20.00390625" style="0" customWidth="1"/>
    <col min="15" max="18" width="11.421875" style="0" customWidth="1"/>
    <col min="19" max="19" width="10.421875" style="0" customWidth="1"/>
    <col min="20" max="16384" width="11.421875" style="0" customWidth="1"/>
  </cols>
  <sheetData>
    <row r="1" spans="1:9" ht="21.75" customHeight="1">
      <c r="A1" s="475" t="s">
        <v>1042</v>
      </c>
      <c r="B1" s="476"/>
      <c r="C1" s="476"/>
      <c r="D1" s="476"/>
      <c r="E1" s="476"/>
      <c r="F1" s="476"/>
      <c r="G1" s="476"/>
      <c r="H1" s="476"/>
      <c r="I1" s="476"/>
    </row>
    <row r="2" spans="1:13" s="74" customFormat="1" ht="12.75">
      <c r="A2" s="81"/>
      <c r="B2" s="80"/>
      <c r="C2" s="80"/>
      <c r="D2" s="80"/>
      <c r="E2" s="80"/>
      <c r="F2" s="80"/>
      <c r="G2" s="79"/>
      <c r="H2" s="79"/>
      <c r="I2" s="78"/>
      <c r="K2" s="71"/>
      <c r="L2" s="71"/>
      <c r="M2" s="71"/>
    </row>
    <row r="3" spans="6:8" ht="12.75">
      <c r="F3" s="62"/>
      <c r="G3" s="62"/>
      <c r="H3" s="62"/>
    </row>
    <row r="4" spans="2:13" ht="12.75">
      <c r="B4" s="67"/>
      <c r="K4" s="63"/>
      <c r="L4" s="63"/>
      <c r="M4" s="63"/>
    </row>
    <row r="5" spans="1:9" ht="12.75" customHeight="1">
      <c r="A5" s="466" t="s">
        <v>907</v>
      </c>
      <c r="B5" s="467"/>
      <c r="C5" s="467"/>
      <c r="D5" s="467"/>
      <c r="E5" s="467"/>
      <c r="F5" s="467"/>
      <c r="G5" s="467"/>
      <c r="H5" s="467"/>
      <c r="I5" s="477"/>
    </row>
    <row r="6" spans="1:9" ht="12.75">
      <c r="A6" s="468" t="s">
        <v>902</v>
      </c>
      <c r="B6" s="469"/>
      <c r="C6" s="469"/>
      <c r="D6" s="469"/>
      <c r="E6" s="469"/>
      <c r="F6" s="469"/>
      <c r="G6" s="469"/>
      <c r="H6" s="469"/>
      <c r="I6" s="478"/>
    </row>
    <row r="7" spans="1:9" ht="30" customHeight="1">
      <c r="A7" s="470" t="s">
        <v>1087</v>
      </c>
      <c r="B7" s="469"/>
      <c r="C7" s="469"/>
      <c r="D7" s="469"/>
      <c r="E7" s="469"/>
      <c r="F7" s="469"/>
      <c r="G7" s="469"/>
      <c r="H7" s="469"/>
      <c r="I7" s="478"/>
    </row>
    <row r="8" spans="1:9" ht="19.5" customHeight="1">
      <c r="A8" s="473" t="s">
        <v>998</v>
      </c>
      <c r="B8" s="474"/>
      <c r="C8" s="474"/>
      <c r="D8" s="474"/>
      <c r="E8" s="474"/>
      <c r="F8" s="474"/>
      <c r="G8" s="474"/>
      <c r="H8" s="474"/>
      <c r="I8" s="480"/>
    </row>
    <row r="10" spans="1:4" ht="12.75">
      <c r="A10" s="71" t="s">
        <v>997</v>
      </c>
      <c r="B10" s="71"/>
      <c r="C10" s="71"/>
      <c r="D10" s="70" t="s">
        <v>996</v>
      </c>
    </row>
    <row r="11" spans="6:8" ht="13.5" thickBot="1">
      <c r="F11" s="62"/>
      <c r="G11" s="62"/>
      <c r="H11" s="62"/>
    </row>
    <row r="12" spans="1:9" ht="51">
      <c r="A12" t="s">
        <v>1013</v>
      </c>
      <c r="B12" t="s">
        <v>1110</v>
      </c>
      <c r="D12" s="46" t="s">
        <v>1011</v>
      </c>
      <c r="E12" s="45" t="s">
        <v>1128</v>
      </c>
      <c r="F12" s="45" t="s">
        <v>1024</v>
      </c>
      <c r="G12" s="45" t="s">
        <v>1023</v>
      </c>
      <c r="H12" s="45" t="s">
        <v>926</v>
      </c>
      <c r="I12" s="44" t="s">
        <v>925</v>
      </c>
    </row>
    <row r="13" spans="1:9" ht="13.5" thickBot="1">
      <c r="A13" t="s">
        <v>924</v>
      </c>
      <c r="B13" s="37">
        <f>620300*10^6</f>
        <v>620300000000</v>
      </c>
      <c r="D13" s="43"/>
      <c r="E13" s="41" t="s">
        <v>1109</v>
      </c>
      <c r="F13" s="42" t="s">
        <v>1108</v>
      </c>
      <c r="G13" s="41" t="s">
        <v>1064</v>
      </c>
      <c r="H13" s="41" t="s">
        <v>1063</v>
      </c>
      <c r="I13" s="40" t="s">
        <v>919</v>
      </c>
    </row>
    <row r="14" spans="1:9" ht="13.5" thickTop="1">
      <c r="A14" t="s">
        <v>918</v>
      </c>
      <c r="B14" s="31">
        <v>0.008</v>
      </c>
      <c r="C14" s="30"/>
      <c r="D14" s="25">
        <v>2005</v>
      </c>
      <c r="E14" s="23">
        <f>IF(D14&lt;=B18,B13*EXP(B14*(D14-D14)),"")</f>
        <v>620300000000</v>
      </c>
      <c r="F14" s="24">
        <f>IF(D14&gt;B18,"",IF(B16&gt;D14,"",IF(B16=D14,B17,IF(B16&lt;D14,(D14-B16)*B20+B17,B19))))</f>
      </c>
      <c r="G14" s="23">
        <f>IF(ISERR(F14*E14),IF(D14&gt;B18,G13,""),F14*E14)</f>
      </c>
      <c r="H14" s="39"/>
      <c r="I14" s="38"/>
    </row>
    <row r="15" spans="1:9" ht="12.75">
      <c r="A15" t="s">
        <v>1062</v>
      </c>
      <c r="B15" s="37">
        <v>349</v>
      </c>
      <c r="D15" s="25">
        <v>2006</v>
      </c>
      <c r="E15" s="23">
        <f>IF(D15&lt;=B18,B13*EXP(B14*(D15-D14)),"")</f>
        <v>625282302638.3008</v>
      </c>
      <c r="F15" s="24">
        <f>IF(D15&gt;B18,"",IF(B16&gt;D15,"",IF(B16=D15,B17,IF(B16&lt;D15,(D15-B16)*B20+B17,B19))))</f>
      </c>
      <c r="G15" s="23">
        <f>IF(ISERR(F15*E15),IF(D15&gt;B18,G14,""),F15*E15)</f>
      </c>
      <c r="H15" s="23"/>
      <c r="I15" s="34"/>
    </row>
    <row r="16" spans="1:9" ht="12.75">
      <c r="A16" t="s">
        <v>1002</v>
      </c>
      <c r="B16" s="37">
        <v>2008</v>
      </c>
      <c r="D16" s="25">
        <v>2007</v>
      </c>
      <c r="E16" s="23">
        <f>IF(D16&lt;=B18,B13*EXP(B14*(D16-D14)),"")</f>
        <v>630304623557.4006</v>
      </c>
      <c r="F16" s="24">
        <f>IF(D16&gt;B18,"",IF(B16&gt;D16,"",IF(B16=D16,B17,IF(B16&lt;D16,(D16-B16)*B20+B17,B19))))</f>
      </c>
      <c r="G16" s="23">
        <f>IF(ISERR(F16*E16),IF(D16&gt;B18,G15,""),F16*E16)</f>
      </c>
      <c r="H16" s="23"/>
      <c r="I16" s="34"/>
    </row>
    <row r="17" spans="1:9" s="33" customFormat="1" ht="12.75">
      <c r="A17" s="33" t="s">
        <v>1001</v>
      </c>
      <c r="B17" s="36">
        <v>0.1</v>
      </c>
      <c r="C17" s="35"/>
      <c r="D17" s="25">
        <v>2008</v>
      </c>
      <c r="E17" s="23">
        <f>IF(D17&lt;=B18,B13*EXP(B14*(D17-D14)),"")</f>
        <v>635367284187.5525</v>
      </c>
      <c r="F17" s="24">
        <f>IF(D17&gt;B18,"",IF(B16&gt;D17,"",IF(B16=D17,B17,IF(B16&lt;D17,(D17-B16)*B20+B17,B19))))</f>
        <v>0.1</v>
      </c>
      <c r="G17" s="23">
        <f>IF(ISERR(F17*E17),IF(D17&gt;B18,G16,""),F17*E17)</f>
        <v>63536728418.75525</v>
      </c>
      <c r="H17" s="23"/>
      <c r="I17" s="34"/>
    </row>
    <row r="18" spans="1:9" ht="12.75">
      <c r="A18" t="s">
        <v>1000</v>
      </c>
      <c r="B18" s="32">
        <v>2020</v>
      </c>
      <c r="C18" s="30"/>
      <c r="D18" s="25">
        <v>2009</v>
      </c>
      <c r="E18" s="23">
        <f>IF(D18&lt;=B18,B13*EXP(B14*(D18-D14)),"")</f>
        <v>640470608540.7649</v>
      </c>
      <c r="F18" s="24">
        <f>IF(D18&gt;B18,"",IF(B16&gt;D18,"",IF(B16=D18,B17,IF(B16&lt;D18,(D18-B16)*B20+B17,B19))))</f>
        <v>0.11666666666666667</v>
      </c>
      <c r="G18" s="23">
        <f>IF(ISERR(F18*E18),IF(D18&gt;B18,G17,""),F18*E18)</f>
        <v>74721570996.42258</v>
      </c>
      <c r="H18" s="22">
        <f>IF(ISERR(G18-G17),"",(G18-G17))</f>
        <v>11184842577.667328</v>
      </c>
      <c r="I18" s="21">
        <f>IF(ISERR(B15*H18),"",((B15*H18)))</f>
        <v>3903510059605.8975</v>
      </c>
    </row>
    <row r="19" spans="1:9" ht="12.75">
      <c r="A19" t="s">
        <v>1018</v>
      </c>
      <c r="B19" s="31">
        <v>0.3</v>
      </c>
      <c r="C19" s="30"/>
      <c r="D19" s="25">
        <v>2010</v>
      </c>
      <c r="E19" s="23">
        <f>IF(D19&lt;=B18,B13*EXP(B14*(D19-D14)),"")</f>
        <v>645614923231.5385</v>
      </c>
      <c r="F19" s="24">
        <f>IF(D19&gt;B18,"",IF(B16&gt;D19,"",IF(B16=D19,B17,IF(B16&lt;D19,(D19-B16)*B20+B17,B19))))</f>
        <v>0.13333333333333333</v>
      </c>
      <c r="G19" s="23">
        <f>IF(ISERR(F19*E19),IF(D19&gt;B18,G18,""),F19*E19)</f>
        <v>86081989764.20512</v>
      </c>
      <c r="H19" s="22">
        <f>IF(ISERR(G19-G17),"",(G19-G17))</f>
        <v>22545261345.449875</v>
      </c>
      <c r="I19" s="21">
        <f>IF(ISERR(B15*H19),"",((B15*H19)))</f>
        <v>7868296209562.006</v>
      </c>
    </row>
    <row r="20" spans="1:9" ht="12.75">
      <c r="A20" s="29" t="s">
        <v>991</v>
      </c>
      <c r="B20" s="31">
        <f>(B19-B17)/(B18-B16)</f>
        <v>0.016666666666666666</v>
      </c>
      <c r="D20" s="25">
        <v>2011</v>
      </c>
      <c r="E20" s="23">
        <f>IF(D20&lt;=B18,B13*EXP(B14*(D20-D14)),"")</f>
        <v>650800557497.7692</v>
      </c>
      <c r="F20" s="24">
        <f>IF(D20&gt;B18,"",IF(B16&gt;D20,"",IF(B16=D20,B17,IF(B16&lt;D20,(D20-B16)*B20+B17,B19))))</f>
        <v>0.15000000000000002</v>
      </c>
      <c r="G20" s="23">
        <f>IF(ISERR(F20*E20),IF(D20&gt;B18,G19,""),F20*E20)</f>
        <v>97620083624.66539</v>
      </c>
      <c r="H20" s="22">
        <f>IF(ISERR(G20-G17),"",(G20-G17))</f>
        <v>34083355205.91014</v>
      </c>
      <c r="I20" s="21">
        <f>IF(ISERR(B15*H20),"",((B15*H20)))</f>
        <v>11895090966862.639</v>
      </c>
    </row>
    <row r="21" spans="1:9" ht="12.75">
      <c r="A21"/>
      <c r="D21" s="25">
        <v>2012</v>
      </c>
      <c r="E21" s="23">
        <f>IF(D21&lt;=B18,B13*EXP(B14*(D21-D14)),"")</f>
        <v>656027843221.82</v>
      </c>
      <c r="F21" s="24">
        <f>IF(D21&gt;B18,"",IF(B16&gt;D21,"",IF(B16=D21,B17,IF(B16&lt;D21,(D21-B16)*B20+B17,B19))))</f>
        <v>0.16666666666666669</v>
      </c>
      <c r="G21" s="23">
        <f>IF(ISERR(F21*E21),IF(D21&gt;B18,G20,""),F21*E21)</f>
        <v>109337973870.30333</v>
      </c>
      <c r="H21" s="22">
        <f>IF(ISERR(G21-G17),"",(G21-G17))</f>
        <v>45801245451.54808</v>
      </c>
      <c r="I21" s="21">
        <f>IF(ISERR(B15*H21),"",((B15*H21)))</f>
        <v>15984634662590.28</v>
      </c>
    </row>
    <row r="22" spans="1:9" ht="12.75">
      <c r="A22"/>
      <c r="D22" s="25">
        <v>2013</v>
      </c>
      <c r="E22" s="23">
        <f>IF(D22&lt;=B18,B13*EXP(B14*(D22-D14)),"")</f>
        <v>661297114951.7617</v>
      </c>
      <c r="F22" s="24">
        <f>IF(D22&gt;B18,"",IF(B16&gt;D22,"",IF(B16=D22,B17,IF(B16&lt;D22,(D22-B16)*B20+B17,B19))))</f>
        <v>0.18333333333333335</v>
      </c>
      <c r="G22" s="23">
        <f>IF(ISERR(F22*E22),IF(D22&gt;B18,G21,""),F22*E22)</f>
        <v>121237804407.823</v>
      </c>
      <c r="H22" s="22">
        <f>IF(ISERR(G22-G17),"",(G22-G17))</f>
        <v>57701075989.06775</v>
      </c>
      <c r="I22" s="21">
        <f>IF(ISERR(B15*H22),"",((B15*H22)))</f>
        <v>20137675520184.645</v>
      </c>
    </row>
    <row r="23" spans="1:9" ht="12.75">
      <c r="A23" t="s">
        <v>1107</v>
      </c>
      <c r="B23" s="27">
        <f>VLOOKUP(B18,D14:I39,6,FALSE)</f>
        <v>51051427081386.13</v>
      </c>
      <c r="D23" s="25">
        <v>2014</v>
      </c>
      <c r="E23" s="23">
        <f>IF(D23&lt;=B18,B13*EXP(B14*(D23-D14)),"")</f>
        <v>666608709922.7836</v>
      </c>
      <c r="F23" s="24">
        <f>IF(D23&gt;B18,"",IF(B16&gt;D23,"",IF(B16=D23,B17,IF(B16&lt;D23,(D23-B16)*B20+B17,B19))))</f>
        <v>0.2</v>
      </c>
      <c r="G23" s="23">
        <f>IF(ISERR(F23*E23),IF(D23&gt;B18,G22,""),F23*E23)</f>
        <v>133321741984.55672</v>
      </c>
      <c r="H23" s="22">
        <f>IF(ISERR(G23-G17),"",(G23-G17))</f>
        <v>69785013565.80147</v>
      </c>
      <c r="I23" s="21">
        <f>IF(ISERR(B15*H23),"",((B15*H23)))</f>
        <v>24354969734464.71</v>
      </c>
    </row>
    <row r="24" spans="1:9" ht="12.75">
      <c r="A24" t="s">
        <v>1075</v>
      </c>
      <c r="B24" s="27">
        <f>SUM(I18:I39)</f>
        <v>833046959296883.9</v>
      </c>
      <c r="D24" s="25">
        <v>2015</v>
      </c>
      <c r="E24" s="23">
        <f>IF(D24&lt;=B18,B13*EXP(B14*(D24-D14)),"")</f>
        <v>671962968078.7769</v>
      </c>
      <c r="F24" s="24">
        <f>IF(D24&gt;B18,"",IF(B16&gt;D24,"",IF(B16=D24,B17,IF(B16&lt;D24,(D24-B16)*B20+B17,B19))))</f>
        <v>0.21666666666666667</v>
      </c>
      <c r="G24" s="23">
        <f>IF(ISERR(F24*E24),IF(D24&gt;B18,G23,""),F24*E24)</f>
        <v>145591976417.06833</v>
      </c>
      <c r="H24" s="22">
        <f>IF(ISERR(G24-G17),"",(G24-G17))</f>
        <v>82055247998.31308</v>
      </c>
      <c r="I24" s="21">
        <f>IF(ISERR(B15*H24),"",((B15*H24)))</f>
        <v>28637281551411.266</v>
      </c>
    </row>
    <row r="25" spans="1:9" ht="12.75">
      <c r="A25" t="s">
        <v>1074</v>
      </c>
      <c r="B25" s="26">
        <f>B23/(10^12)</f>
        <v>51.05142708138613</v>
      </c>
      <c r="D25" s="25">
        <v>2016</v>
      </c>
      <c r="E25" s="23">
        <f>IF(D25&lt;=B18,B13*EXP(B14*(D25-D14)),"")</f>
        <v>677360232094.091</v>
      </c>
      <c r="F25" s="24">
        <f>IF(D25&gt;B18,"",IF(B16&gt;D25,"",IF(B16=D25,B17,IF(B16&lt;D25,(D25-B16)*B20+B17,B19))))</f>
        <v>0.23333333333333334</v>
      </c>
      <c r="G25" s="23">
        <f>IF(ISERR(F25*E25),IF(D25&gt;B18,G24,""),F25*E25)</f>
        <v>158050720821.95456</v>
      </c>
      <c r="H25" s="22">
        <f>IF(ISERR(G25-G17),"",(G25-G17))</f>
        <v>94513992403.19931</v>
      </c>
      <c r="I25" s="21">
        <f>IF(ISERR(B15*H25),"",((B15*H25)))</f>
        <v>32985383348716.56</v>
      </c>
    </row>
    <row r="26" spans="1:9" ht="12.75">
      <c r="A26" t="s">
        <v>1073</v>
      </c>
      <c r="B26" s="26">
        <f>B24/(10^12)</f>
        <v>833.0469592968839</v>
      </c>
      <c r="D26" s="25">
        <v>2017</v>
      </c>
      <c r="E26" s="23">
        <f>IF(D26&lt;=B18,B13*EXP(B14*(D26-D14)),"")</f>
        <v>682800847395.4651</v>
      </c>
      <c r="F26" s="24">
        <f>IF(D26&gt;B18,"",IF(B16&gt;D26,"",IF(B16=D26,B17,IF(B16&lt;D26,(D26-B16)*B20+B17,B19))))</f>
        <v>0.25</v>
      </c>
      <c r="G26" s="23">
        <f>IF(ISERR(F26*E26),IF(D26&gt;B18,G25,""),F26*E26)</f>
        <v>170700211848.86627</v>
      </c>
      <c r="H26" s="22">
        <f>IF(ISERR(G26-G17),"",(G26-G17))</f>
        <v>107163483430.11102</v>
      </c>
      <c r="I26" s="21">
        <f>IF(ISERR(B15*H26),"",((B15*H26)))</f>
        <v>37400055717108.75</v>
      </c>
    </row>
    <row r="27" spans="1:9" ht="12.75">
      <c r="A27"/>
      <c r="D27" s="25">
        <v>2018</v>
      </c>
      <c r="E27" s="23">
        <f>IF(D27&lt;=B18,B13*EXP(B14*(D27-D14)),"")</f>
        <v>688285162184.1357</v>
      </c>
      <c r="F27" s="24">
        <f>IF(D27&gt;B18,"",IF(B16&gt;D27,"",IF(B16=D27,B17,IF(B16&lt;D27,(D27-B16)*B20+B17,B19))))</f>
        <v>0.26666666666666666</v>
      </c>
      <c r="G27" s="23">
        <f>IF(ISERR(F27*E27),IF(D27&gt;B18,G26,""),F27*E27)</f>
        <v>183542709915.76953</v>
      </c>
      <c r="H27" s="22">
        <f>IF(ISERR(G27-G17),"",(G27-G17))</f>
        <v>120005981497.01428</v>
      </c>
      <c r="I27" s="21">
        <f>IF(ISERR(B15*H27),"",((B15*H27)))</f>
        <v>41882087542457.984</v>
      </c>
    </row>
    <row r="28" spans="1:9" ht="12.75">
      <c r="A28"/>
      <c r="D28" s="25">
        <v>2019</v>
      </c>
      <c r="E28" s="23">
        <f>IF(D28&lt;=B18,B13*EXP(B14*(D28-D14)),"")</f>
        <v>693813527458.1216</v>
      </c>
      <c r="F28" s="24">
        <f>IF(D28&gt;B18,"",IF(B16&gt;D28,"",IF(B16=D28,B17,IF(B16&lt;D28,(D28-B16)*B20+B17,B19))))</f>
        <v>0.2833333333333333</v>
      </c>
      <c r="G28" s="23">
        <f>IF(ISERR(F28*E28),IF(D28&gt;B18,G27,""),F28*E28)</f>
        <v>196580499446.46777</v>
      </c>
      <c r="H28" s="22">
        <f>IF(ISERR(G28-G17),"",(G28-G17))</f>
        <v>133043771027.71252</v>
      </c>
      <c r="I28" s="21">
        <f>IF(ISERR(B15*H28),"",((B15*H28)))</f>
        <v>46432276088671.67</v>
      </c>
    </row>
    <row r="29" spans="1:9" ht="12.75">
      <c r="A29"/>
      <c r="D29" s="25">
        <v>2020</v>
      </c>
      <c r="E29" s="23">
        <f>IF(D29&lt;=B18,B13*EXP(B14*(D29-D14)),"")</f>
        <v>699386297034.6868</v>
      </c>
      <c r="F29" s="24">
        <f>IF(D29&gt;B18,"",IF(B16&gt;D29,"",IF(B16=D29,B17,IF(B16&lt;D29,(D29-B16)*B20+B17,B19))))</f>
        <v>0.30000000000000004</v>
      </c>
      <c r="G29" s="23">
        <f>IF(ISERR(F29*E29),IF(D29&gt;B18,G28,""),F29*E29)</f>
        <v>209815889110.40607</v>
      </c>
      <c r="H29" s="22">
        <f>IF(ISERR(G29-G17),"",(G29-G17))</f>
        <v>146279160691.65082</v>
      </c>
      <c r="I29" s="21">
        <f>IF(ISERR(B15*H29),"",((B15*H29)))</f>
        <v>51051427081386.13</v>
      </c>
    </row>
    <row r="30" spans="1:9" ht="12.75">
      <c r="A30"/>
      <c r="D30" s="25">
        <v>2021</v>
      </c>
      <c r="E30" s="23">
        <f>IF(D30&lt;=B18,B13*EXP(B14*(D30-D14)),"")</f>
      </c>
      <c r="F30" s="24">
        <f>IF(D30&gt;B18,"",IF(B16&gt;D30,"",IF(B16=D30,B17,IF(B16&lt;D30,(D30-B16)*B20+B17,B19))))</f>
      </c>
      <c r="G30" s="23">
        <f>IF(ISERR(F30*E30),IF(D30&gt;B18,G29,""),F30*E30)</f>
        <v>209815889110.40607</v>
      </c>
      <c r="H30" s="22">
        <f>IF(ISERR(G30-G17),"",(G30-G17))</f>
        <v>146279160691.65082</v>
      </c>
      <c r="I30" s="21">
        <f>IF(ISERR(B15*H30),"",((B15*H30)))</f>
        <v>51051427081386.13</v>
      </c>
    </row>
    <row r="31" spans="1:9" ht="12.75">
      <c r="A31"/>
      <c r="D31" s="25">
        <v>2022</v>
      </c>
      <c r="E31" s="23">
        <f>IF(D31&lt;=B18,B13*EXP(B14*(D31-D14)),"")</f>
      </c>
      <c r="F31" s="24">
        <f>IF(D31&gt;B18,"",IF(B16&gt;D31,"",IF(B16=D31,B17,IF(B16&lt;D31,(D31-B16)*B20+B17,B19))))</f>
      </c>
      <c r="G31" s="23">
        <f>IF(ISERR(F31*E31),IF(D31&gt;B18,G30,""),F31*E31)</f>
        <v>209815889110.40607</v>
      </c>
      <c r="H31" s="22">
        <f>IF(ISERR(G31-G17),"",(G31-G17))</f>
        <v>146279160691.65082</v>
      </c>
      <c r="I31" s="21">
        <f>IF(ISERR(B15*H31),"",((B15*H31)))</f>
        <v>51051427081386.13</v>
      </c>
    </row>
    <row r="32" spans="1:9" ht="12.75">
      <c r="A32"/>
      <c r="D32" s="25">
        <v>2023</v>
      </c>
      <c r="E32" s="23">
        <f>IF(D32&lt;=B18,B13*EXP(B14*(D32-D14)),"")</f>
      </c>
      <c r="F32" s="24">
        <f>IF(D32&gt;B18,"",IF(B16&gt;D32,"",IF(B16=D32,B17,IF(B16&lt;D32,(D32-B16)*B20+B17,B19))))</f>
      </c>
      <c r="G32" s="23">
        <f>IF(ISERR(F32*E32),IF(D32&gt;B18,G31,""),F32*E32)</f>
        <v>209815889110.40607</v>
      </c>
      <c r="H32" s="22">
        <f>IF(ISERR(G32-G17),"",(G32-G17))</f>
        <v>146279160691.65082</v>
      </c>
      <c r="I32" s="21">
        <f>IF(ISERR(B15*H32),"",((B15*H32)))</f>
        <v>51051427081386.13</v>
      </c>
    </row>
    <row r="33" spans="1:9" ht="12.75">
      <c r="A33"/>
      <c r="D33" s="25">
        <v>2024</v>
      </c>
      <c r="E33" s="23">
        <f>IF(D33&lt;=B18,B13*EXP(B14*(D33-D14)),"")</f>
      </c>
      <c r="F33" s="24">
        <f>IF(D33&gt;B18,"",IF(B16&gt;D33,"",IF(B16=D33,B17,IF(B16&lt;D33,(D33-B16)*B20+B17,B19))))</f>
      </c>
      <c r="G33" s="23">
        <f>IF(ISERR(F33*E33),IF(D33&gt;B18,G32,""),F33*E33)</f>
        <v>209815889110.40607</v>
      </c>
      <c r="H33" s="22">
        <f>IF(ISERR(G33-G17),"",(G33-G17))</f>
        <v>146279160691.65082</v>
      </c>
      <c r="I33" s="21">
        <f>IF(ISERR(B15*H33),"",((B15*H33)))</f>
        <v>51051427081386.13</v>
      </c>
    </row>
    <row r="34" spans="1:9" ht="12.75">
      <c r="A34"/>
      <c r="D34" s="25">
        <v>2025</v>
      </c>
      <c r="E34" s="23">
        <f>IF(D34&lt;=B18,B13*EXP(B14*(D34-D14)),"")</f>
      </c>
      <c r="F34" s="24">
        <f>IF(D34&gt;B18,"",IF(B16&gt;D34,"",IF(B16=D34,B17,IF(B16&lt;D34,(D34-B16)*B20+B17,B19))))</f>
      </c>
      <c r="G34" s="23">
        <f>IF(ISERR(F34*E34),IF(D34&gt;B18,G33,""),F34*E34)</f>
        <v>209815889110.40607</v>
      </c>
      <c r="H34" s="22">
        <f>IF(ISERR(G34-G17),"",(G34-G17))</f>
        <v>146279160691.65082</v>
      </c>
      <c r="I34" s="21">
        <f>IF(ISERR(B15*H34),"",((B15*H34)))</f>
        <v>51051427081386.13</v>
      </c>
    </row>
    <row r="35" spans="1:9" ht="12.75">
      <c r="A35"/>
      <c r="D35" s="25">
        <v>2026</v>
      </c>
      <c r="E35" s="23">
        <f>IF(D35&lt;=B18,B13*EXP(B14*(D35-D14)),"")</f>
      </c>
      <c r="F35" s="24">
        <f>IF(D35&gt;B18,"",IF(B16&gt;D35,"",IF(B16=D35,B17,IF(B16&lt;D35,(D35-B16)*B20+B17,B19))))</f>
      </c>
      <c r="G35" s="23">
        <f>IF(ISERR(F35*E35),IF(D35&gt;B18,G34,""),F35*E35)</f>
        <v>209815889110.40607</v>
      </c>
      <c r="H35" s="22">
        <f>IF(ISERR(G35-G17),"",(G35-G17))</f>
        <v>146279160691.65082</v>
      </c>
      <c r="I35" s="21">
        <f>IF(ISERR(B15*H35),"",((B15*H35)))</f>
        <v>51051427081386.13</v>
      </c>
    </row>
    <row r="36" spans="1:9" ht="12.75">
      <c r="A36"/>
      <c r="D36" s="25">
        <v>2027</v>
      </c>
      <c r="E36" s="23">
        <f>IF(D36&lt;=B18,B13*EXP(B14*(D36-D14)),"")</f>
      </c>
      <c r="F36" s="24">
        <f>IF(D36&gt;B18,"",IF(B16&gt;D36,"",IF(B16=D36,B17,IF(B16&lt;D36,(D36-B16)*B20+B17,B19))))</f>
      </c>
      <c r="G36" s="23">
        <f>IF(ISERR(F36*E36),IF(D36&gt;B18,G35,""),F36*E36)</f>
        <v>209815889110.40607</v>
      </c>
      <c r="H36" s="22">
        <f>IF(ISERR(G36-G17),"",(G36-G17))</f>
        <v>146279160691.65082</v>
      </c>
      <c r="I36" s="21">
        <f>IF(ISERR(B15*H36),"",((B15*H36)))</f>
        <v>51051427081386.13</v>
      </c>
    </row>
    <row r="37" spans="1:9" ht="12.75">
      <c r="A37"/>
      <c r="D37" s="25">
        <v>2028</v>
      </c>
      <c r="E37" s="23">
        <f>IF(D37&lt;=B18,B13*EXP(B14*(D37-D14)),"")</f>
      </c>
      <c r="F37" s="24">
        <f>IF(D37&gt;B18,"",IF(B16&gt;D37,"",IF(B16=D37,B17,IF(B16&lt;D37,(D37-B16)*B20+B17,B19))))</f>
      </c>
      <c r="G37" s="23">
        <f>IF(ISERR(F37*E37),IF(D37&gt;B18,G36,""),F37*E37)</f>
        <v>209815889110.40607</v>
      </c>
      <c r="H37" s="22">
        <f>IF(ISERR(G37-G17),"",(G37-G17))</f>
        <v>146279160691.65082</v>
      </c>
      <c r="I37" s="21">
        <f>IF(ISERR(B15*H37),"",((B15*H37)))</f>
        <v>51051427081386.13</v>
      </c>
    </row>
    <row r="38" spans="1:9" ht="12.75">
      <c r="A38"/>
      <c r="D38" s="25">
        <v>2029</v>
      </c>
      <c r="E38" s="23">
        <f>IF(D38&lt;=B18,B13*EXP(B14*(D38-D14)),"")</f>
      </c>
      <c r="F38" s="24">
        <f>IF(D38&gt;B18,"",IF(B16&gt;D38,"",IF(B16=D38,B17,IF(B16&lt;D38,(D38-B16)*B20+B17,B19))))</f>
      </c>
      <c r="G38" s="23">
        <f>IF(ISERR(F38*E38),IF(D38&gt;B18,G37,""),F38*E38)</f>
        <v>209815889110.40607</v>
      </c>
      <c r="H38" s="22">
        <f>IF(ISERR(G38-G17),"",(G38-G17))</f>
        <v>146279160691.65082</v>
      </c>
      <c r="I38" s="21">
        <f>IF(ISERR(B15*H38),"",((B15*H38)))</f>
        <v>51051427081386.13</v>
      </c>
    </row>
    <row r="39" spans="1:9" ht="13.5" thickBot="1">
      <c r="A39"/>
      <c r="D39" s="20">
        <v>2030</v>
      </c>
      <c r="E39" s="18">
        <f>IF(D39&lt;=B18,B13*EXP(B14*(D39-D14)),"")</f>
      </c>
      <c r="F39" s="19">
        <f>IF(D39&gt;B18,"",IF(B16&gt;D39,"",IF(B16=D39,B17,IF(B16&lt;D39,(D39-B16)*B20+B17,B19))))</f>
      </c>
      <c r="G39" s="18">
        <f>IF(ISERR(F39*E39),IF(D39&gt;B18,G38,""),F39*E39)</f>
        <v>209815889110.40607</v>
      </c>
      <c r="H39" s="17">
        <f>IF(ISERR(G39-G17),"",(G39-G17))</f>
        <v>146279160691.65082</v>
      </c>
      <c r="I39" s="16">
        <f>IF(ISERR(B15*H39),"",((B15*H39)))</f>
        <v>51051427081386.13</v>
      </c>
    </row>
    <row r="40" spans="6:8" ht="12.75">
      <c r="F40" s="62"/>
      <c r="G40" s="62"/>
      <c r="H40" s="62"/>
    </row>
    <row r="41" spans="1:13" s="68" customFormat="1" ht="12.75">
      <c r="A41" s="15"/>
      <c r="K41" s="69"/>
      <c r="L41" s="69"/>
      <c r="M41" s="69"/>
    </row>
    <row r="42" spans="1:9" s="73" customFormat="1" ht="12" customHeight="1">
      <c r="A42" s="481" t="s">
        <v>492</v>
      </c>
      <c r="B42" s="483"/>
      <c r="C42" s="483"/>
      <c r="D42" s="483"/>
      <c r="E42" s="483"/>
      <c r="F42" s="483"/>
      <c r="G42" s="483"/>
      <c r="H42" s="483"/>
      <c r="I42" s="484"/>
    </row>
    <row r="43" spans="1:9" s="74" customFormat="1" ht="88.5" customHeight="1">
      <c r="A43" s="485" t="s">
        <v>1072</v>
      </c>
      <c r="B43" s="469"/>
      <c r="C43" s="469"/>
      <c r="D43" s="469"/>
      <c r="E43" s="469"/>
      <c r="F43" s="469"/>
      <c r="G43" s="469"/>
      <c r="H43" s="469"/>
      <c r="I43" s="75"/>
    </row>
    <row r="44" spans="1:9" s="73" customFormat="1" ht="25.5" customHeight="1">
      <c r="A44" s="472" t="s">
        <v>1016</v>
      </c>
      <c r="B44" s="486"/>
      <c r="C44" s="486"/>
      <c r="D44" s="486"/>
      <c r="E44" s="486"/>
      <c r="F44" s="486"/>
      <c r="G44" s="486"/>
      <c r="H44" s="486"/>
      <c r="I44" s="487"/>
    </row>
    <row r="45" spans="1:9" ht="12" customHeight="1">
      <c r="A45" s="479" t="s">
        <v>1015</v>
      </c>
      <c r="B45" s="474"/>
      <c r="C45" s="474"/>
      <c r="D45" s="59"/>
      <c r="E45" s="59"/>
      <c r="F45" s="59"/>
      <c r="G45" s="59"/>
      <c r="H45" s="59"/>
      <c r="I45" s="72"/>
    </row>
    <row r="46" ht="15.75" customHeight="1">
      <c r="A46"/>
    </row>
    <row r="47" spans="1:12" ht="12.75">
      <c r="A47" s="71" t="s">
        <v>952</v>
      </c>
      <c r="B47" s="71"/>
      <c r="C47" s="71"/>
      <c r="D47" s="70" t="s">
        <v>1014</v>
      </c>
      <c r="J47" s="63"/>
      <c r="K47" s="63"/>
      <c r="L47" s="63"/>
    </row>
    <row r="48" spans="2:13" ht="13.5" thickBot="1">
      <c r="B48" s="63"/>
      <c r="E48" s="64"/>
      <c r="K48" s="63"/>
      <c r="L48" s="63"/>
      <c r="M48" s="63"/>
    </row>
    <row r="49" spans="1:9" ht="51">
      <c r="A49" t="s">
        <v>1013</v>
      </c>
      <c r="B49" t="s">
        <v>1012</v>
      </c>
      <c r="D49" s="46" t="s">
        <v>1011</v>
      </c>
      <c r="E49" s="45" t="s">
        <v>1128</v>
      </c>
      <c r="F49" s="45" t="s">
        <v>1024</v>
      </c>
      <c r="G49" s="45" t="s">
        <v>1023</v>
      </c>
      <c r="H49" s="45" t="s">
        <v>926</v>
      </c>
      <c r="I49" s="44" t="s">
        <v>925</v>
      </c>
    </row>
    <row r="50" spans="1:9" ht="13.5" thickBot="1">
      <c r="A50" t="s">
        <v>924</v>
      </c>
      <c r="B50" s="58">
        <f>403032*10^6</f>
        <v>403032000000</v>
      </c>
      <c r="D50" s="43"/>
      <c r="E50" s="41" t="s">
        <v>923</v>
      </c>
      <c r="F50" s="42" t="s">
        <v>922</v>
      </c>
      <c r="G50" s="41" t="s">
        <v>850</v>
      </c>
      <c r="H50" s="41" t="s">
        <v>849</v>
      </c>
      <c r="I50" s="40" t="s">
        <v>919</v>
      </c>
    </row>
    <row r="51" spans="1:9" ht="13.5" thickTop="1">
      <c r="A51" t="s">
        <v>918</v>
      </c>
      <c r="B51" s="31">
        <v>0.029</v>
      </c>
      <c r="C51" s="30"/>
      <c r="D51" s="25">
        <v>2005</v>
      </c>
      <c r="E51" s="23">
        <f>IF(D51&lt;=B55,B50*EXP(B51*(D51-D51)),"")</f>
        <v>403032000000</v>
      </c>
      <c r="F51" s="24">
        <f>IF(D51&gt;B55,"",IF(B53&gt;D51,"",IF(B53=D51,B54,IF(B53&lt;D51,(D51-B53)*B57+B54,B56))))</f>
      </c>
      <c r="G51" s="23">
        <f>IF(ISERR(F51*E51),IF(D51&gt;B55,G50,""),F51*E51)</f>
      </c>
      <c r="H51" s="39"/>
      <c r="I51" s="38"/>
    </row>
    <row r="52" spans="1:9" ht="12.75">
      <c r="A52" t="s">
        <v>917</v>
      </c>
      <c r="B52" s="37">
        <v>84</v>
      </c>
      <c r="D52" s="25">
        <v>2006</v>
      </c>
      <c r="E52" s="23">
        <f>IF(D52&lt;=B55,B50*EXP(B51*(D52-D51)),"")</f>
        <v>414891053160.5009</v>
      </c>
      <c r="F52" s="24">
        <f>IF(D52&gt;B55,"",IF(B53&gt;D52,"",IF(B53=D52,B54,IF(B53&lt;D52,(D52-B53)*B57+B54,B56))))</f>
      </c>
      <c r="G52" s="23">
        <f>IF(ISERR(F52*E52),IF(D52&gt;B55,G51,""),F52*E52)</f>
      </c>
      <c r="H52" s="23"/>
      <c r="I52" s="34"/>
    </row>
    <row r="53" spans="1:9" ht="12.75">
      <c r="A53" t="s">
        <v>1002</v>
      </c>
      <c r="B53" s="37">
        <v>2008</v>
      </c>
      <c r="D53" s="25">
        <v>2007</v>
      </c>
      <c r="E53" s="23">
        <f>IF(D53&lt;=B55,B50*EXP(B51*(D53-D51)),"")</f>
        <v>427099054151.10864</v>
      </c>
      <c r="F53" s="24">
        <f>IF(D53&gt;B55,"",IF(B53&gt;D53,"",IF(B53=D53,B54,IF(B53&lt;D53,(D53-B53)*B57+B54,B56))))</f>
      </c>
      <c r="G53" s="23">
        <f>IF(ISERR(F53*E53),IF(D53&gt;B55,G52,""),F53*E53)</f>
      </c>
      <c r="H53" s="23"/>
      <c r="I53" s="34"/>
    </row>
    <row r="54" spans="1:9" s="33" customFormat="1" ht="12.75">
      <c r="A54" s="33" t="s">
        <v>1001</v>
      </c>
      <c r="B54" s="36">
        <v>0.8</v>
      </c>
      <c r="C54" s="35"/>
      <c r="D54" s="25">
        <v>2008</v>
      </c>
      <c r="E54" s="23">
        <f>IF(D54&lt;=B55,B50*EXP(B51*(D54-D51)),"")</f>
        <v>439666270620.2169</v>
      </c>
      <c r="F54" s="24">
        <f>IF(D54&gt;B55,"",IF(B53&gt;D54,"",IF(B53=D54,B54,IF(B53&lt;D54,(D54-B53)*B57+B54,B56))))</f>
        <v>0.8</v>
      </c>
      <c r="G54" s="23">
        <f>IF(ISERR(F54*E54),IF(D54&gt;B55,G53,""),F54*E54)</f>
        <v>351733016496.1736</v>
      </c>
      <c r="H54" s="23"/>
      <c r="I54" s="34"/>
    </row>
    <row r="55" spans="1:9" ht="12.75">
      <c r="A55" t="s">
        <v>1000</v>
      </c>
      <c r="B55" s="32">
        <v>2025</v>
      </c>
      <c r="C55" s="30"/>
      <c r="D55" s="25">
        <v>2009</v>
      </c>
      <c r="E55" s="23">
        <f>IF(D55&lt;=B55,B50*EXP(B51*(D55-D51)),"")</f>
        <v>452603272337.6099</v>
      </c>
      <c r="F55" s="24">
        <f>IF(D55&gt;B55,"",IF(B53&gt;D55,"",IF(B53=D55,B54,IF(B53&lt;D55,(D55-B53)*B57+B54,B56))))</f>
        <v>0.8</v>
      </c>
      <c r="G55" s="23">
        <f>IF(ISERR(F55*E55),IF(D55&gt;B55,G54,""),F55*E55)</f>
        <v>362082617870.08795</v>
      </c>
      <c r="H55" s="22">
        <f>IF(ISERR(G55-G54),"",(G55-G54))</f>
        <v>10349601373.914368</v>
      </c>
      <c r="I55" s="21">
        <f>IF(ISERR(B52*H55),"",((B52*H55)))</f>
        <v>869366515408.8069</v>
      </c>
    </row>
    <row r="56" spans="1:9" ht="12.75">
      <c r="A56" t="s">
        <v>999</v>
      </c>
      <c r="B56" s="31">
        <v>0.8</v>
      </c>
      <c r="C56" s="30"/>
      <c r="D56" s="25">
        <v>2010</v>
      </c>
      <c r="E56" s="23">
        <f>IF(D56&lt;=B55,B50*EXP(B51*(D56-D51)),"")</f>
        <v>465920940084.26135</v>
      </c>
      <c r="F56" s="24">
        <f>IF(D56&gt;B55,"",IF(B53&gt;D56,"",IF(B53=D56,B54,IF(B53&lt;D56,(D56-B53)*B57+B54,B56))))</f>
        <v>0.8</v>
      </c>
      <c r="G56" s="23">
        <f>IF(ISERR(F56*E56),IF(D56&gt;B55,G55,""),F56*E56)</f>
        <v>372736752067.4091</v>
      </c>
      <c r="H56" s="22">
        <f>IF(ISERR(G56-G54),"",(G56-G54))</f>
        <v>21003735571.235535</v>
      </c>
      <c r="I56" s="21">
        <f>IF(ISERR(B52*H56),"",((B52*H56)))</f>
        <v>1764313787983.785</v>
      </c>
    </row>
    <row r="57" spans="1:9" ht="12.75">
      <c r="A57" s="29" t="s">
        <v>1069</v>
      </c>
      <c r="B57" s="28">
        <f>(B56-B54)/(B55-B53)</f>
        <v>0</v>
      </c>
      <c r="D57" s="25">
        <v>2011</v>
      </c>
      <c r="E57" s="23">
        <f>IF(D57&lt;=B55,B50*EXP(B51*(D57-D51)),"")</f>
        <v>479630474803.7124</v>
      </c>
      <c r="F57" s="24">
        <f>IF(D57&gt;B55,"",IF(B53&gt;D57,"",IF(B53=D57,B54,IF(B53&lt;D57,(D57-B53)*B57+B54,B56))))</f>
        <v>0.8</v>
      </c>
      <c r="G57" s="23">
        <f>IF(ISERR(F57*E57),IF(D57&gt;B55,G56,""),F57*E57)</f>
        <v>383704379842.97</v>
      </c>
      <c r="H57" s="22">
        <f>IF(ISERR(G57-G54),"",(G57-G54))</f>
        <v>31971363346.796387</v>
      </c>
      <c r="I57" s="21">
        <f>IF(ISERR(B52*H57),"",((B52*H57)))</f>
        <v>2685594521130.8965</v>
      </c>
    </row>
    <row r="58" spans="1:9" ht="12.75">
      <c r="A58"/>
      <c r="D58" s="25">
        <v>2012</v>
      </c>
      <c r="E58" s="23">
        <f>IF(D58&lt;=B55,B50*EXP(B51*(D58-D51)),"")</f>
        <v>493743407022.7261</v>
      </c>
      <c r="F58" s="24">
        <f>IF(D58&gt;B55,"",IF(B53&gt;D58,"",IF(B53=D58,B54,IF(B53&lt;D58,(D58-B53)*B57+B54,B56))))</f>
        <v>0.8</v>
      </c>
      <c r="G58" s="23">
        <f>IF(ISERR(F58*E58),IF(D58&gt;B55,G57,""),F58*E58)</f>
        <v>394994725618.1809</v>
      </c>
      <c r="H58" s="22">
        <f>IF(ISERR(G58-G54),"",(G58-G54))</f>
        <v>43261709122.007324</v>
      </c>
      <c r="I58" s="21">
        <f>IF(ISERR(B52*H58),"",((B52*H58)))</f>
        <v>3633983566248.615</v>
      </c>
    </row>
    <row r="59" spans="1:9" ht="12.75">
      <c r="A59"/>
      <c r="D59" s="25">
        <v>2013</v>
      </c>
      <c r="E59" s="23">
        <f>IF(D59&lt;=B55,B50*EXP(B51*(D59-D51)),"")</f>
        <v>508271606549.1392</v>
      </c>
      <c r="F59" s="24">
        <f>IF(D59&gt;B55,"",IF(B53&gt;D59,"",IF(B53=D59,B54,IF(B53&lt;D59,(D59-B53)*B57+B54,B56))))</f>
        <v>0.8</v>
      </c>
      <c r="G59" s="23">
        <f>IF(ISERR(F59*E59),IF(D59&gt;B55,G58,""),F59*E59)</f>
        <v>406617285239.3114</v>
      </c>
      <c r="H59" s="22">
        <f>IF(ISERR(G59-G54),"",(G59-G54))</f>
        <v>54884268743.13782</v>
      </c>
      <c r="I59" s="21">
        <f>IF(ISERR(B52*H59),"",((B52*H59)))</f>
        <v>4610278574423.576</v>
      </c>
    </row>
    <row r="60" spans="1:9" ht="12.75">
      <c r="A60" t="s">
        <v>1003</v>
      </c>
      <c r="B60" s="27">
        <f>VLOOKUP(B55,D51:I76,6,FALSE)</f>
        <v>18827045677564.094</v>
      </c>
      <c r="D60" s="25">
        <v>2014</v>
      </c>
      <c r="E60" s="23">
        <f>IF(D60&lt;=B55,B50*EXP(B51*(D60-D51)),"")</f>
        <v>523227292455.0709</v>
      </c>
      <c r="F60" s="24">
        <f>IF(D60&gt;B55,"",IF(B53&gt;D60,"",IF(B53=D60,B54,IF(B53&lt;D60,(D60-B53)*B57+B54,B56))))</f>
        <v>0.8</v>
      </c>
      <c r="G60" s="23">
        <f>IF(ISERR(F60*E60),IF(D60&gt;B55,G59,""),F60*E60)</f>
        <v>418581833964.05676</v>
      </c>
      <c r="H60" s="22">
        <f>IF(ISERR(G60-G54),"",(G60-G54))</f>
        <v>66848817467.88318</v>
      </c>
      <c r="I60" s="21">
        <f>IF(ISERR(B52*H60),"",((B52*H60)))</f>
        <v>5615300667302.1875</v>
      </c>
    </row>
    <row r="61" spans="1:9" ht="12.75">
      <c r="A61" t="s">
        <v>957</v>
      </c>
      <c r="B61" s="27">
        <f>SUM(I55:I76)</f>
        <v>250527973366201.44</v>
      </c>
      <c r="D61" s="25">
        <v>2015</v>
      </c>
      <c r="E61" s="23">
        <f>IF(D61&lt;=B55,B50*EXP(B51*(D61-D51)),"")</f>
        <v>538623043353.8821</v>
      </c>
      <c r="F61" s="24">
        <f>IF(D61&gt;B55,"",IF(B53&gt;D61,"",IF(B53=D61,B54,IF(B53&lt;D61,(D61-B53)*B57+B54,B56))))</f>
        <v>0.8</v>
      </c>
      <c r="G61" s="23">
        <f>IF(ISERR(F61*E61),IF(D61&gt;B55,G60,""),F61*E61)</f>
        <v>430898434683.1057</v>
      </c>
      <c r="H61" s="22">
        <f>IF(ISERR(G61-G54),"",(G61-G54))</f>
        <v>79165418186.93213</v>
      </c>
      <c r="I61" s="21">
        <f>IF(ISERR(B52*H61),"",((B52*H61)))</f>
        <v>6649895127702.299</v>
      </c>
    </row>
    <row r="62" spans="1:9" ht="12.75">
      <c r="A62" t="s">
        <v>1033</v>
      </c>
      <c r="B62" s="26">
        <f>B60/(10^12)</f>
        <v>18.827045677564094</v>
      </c>
      <c r="D62" s="25">
        <v>2016</v>
      </c>
      <c r="E62" s="23">
        <f>IF(D62&lt;=B55,B50*EXP(B51*(D62-D51)),"")</f>
        <v>554471807979.5309</v>
      </c>
      <c r="F62" s="24">
        <f>IF(D62&gt;B55,"",IF(B53&gt;D62,"",IF(B53=D62,B54,IF(B53&lt;D62,(D62-B53)*B57+B54,B56))))</f>
        <v>0.8</v>
      </c>
      <c r="G62" s="23">
        <f>IF(ISERR(F62*E62),IF(D62&gt;B55,G61,""),F62*E62)</f>
        <v>443577446383.62476</v>
      </c>
      <c r="H62" s="22">
        <f>IF(ISERR(G62-G54),"",(G62-G54))</f>
        <v>91844429887.45117</v>
      </c>
      <c r="I62" s="21">
        <f>IF(ISERR(B52*H62),"",((B52*H62)))</f>
        <v>7714932110545.898</v>
      </c>
    </row>
    <row r="63" spans="1:9" ht="12.75">
      <c r="A63" t="s">
        <v>959</v>
      </c>
      <c r="B63" s="26">
        <f>B61/(10^12)</f>
        <v>250.52797336620145</v>
      </c>
      <c r="D63" s="25">
        <v>2017</v>
      </c>
      <c r="E63" s="23">
        <f>IF(D63&lt;=B55,B50*EXP(B51*(D63-D51)),"")</f>
        <v>570786916077.2212</v>
      </c>
      <c r="F63" s="24">
        <f>IF(D63&gt;B55,"",IF(B53&gt;D63,"",IF(B53=D63,B54,IF(B53&lt;D63,(D63-B53)*B57+B54,B56))))</f>
        <v>0.8</v>
      </c>
      <c r="G63" s="23">
        <f>IF(ISERR(F63*E63),IF(D63&gt;B55,G62,""),F63*E63)</f>
        <v>456629532861.777</v>
      </c>
      <c r="H63" s="22">
        <f>IF(ISERR(G63-G54),"",(G63-G54))</f>
        <v>104896516365.6034</v>
      </c>
      <c r="I63" s="21">
        <f>IF(ISERR(B52*H63),"",((B52*H63)))</f>
        <v>8811307374710.686</v>
      </c>
    </row>
    <row r="64" spans="1:9" ht="12.75">
      <c r="A64"/>
      <c r="D64" s="25">
        <v>2018</v>
      </c>
      <c r="E64" s="23">
        <f>IF(D64&lt;=B55,B50*EXP(B51*(D64-D51)),"")</f>
        <v>587582089614.5039</v>
      </c>
      <c r="F64" s="24">
        <f>IF(D64&gt;B55,"",IF(B53&gt;D64,"",IF(B53=D64,B54,IF(B53&lt;D64,(D64-B53)*B57+B54,B56))))</f>
        <v>0.8</v>
      </c>
      <c r="G64" s="23">
        <f>IF(ISERR(F64*E64),IF(D64&gt;B55,G63,""),F64*E64)</f>
        <v>470065671691.60315</v>
      </c>
      <c r="H64" s="22">
        <f>IF(ISERR(G64-G54),"",(G64-G54))</f>
        <v>118332655195.42957</v>
      </c>
      <c r="I64" s="21">
        <f>IF(ISERR(B52*H64),"",((B52*H64)))</f>
        <v>9939943036416.084</v>
      </c>
    </row>
    <row r="65" spans="1:9" ht="12.75">
      <c r="A65"/>
      <c r="D65" s="25">
        <v>2019</v>
      </c>
      <c r="E65" s="23">
        <f>IF(D65&lt;=B55,B50*EXP(B51*(D65-D51)),"")</f>
        <v>604871454322.2607</v>
      </c>
      <c r="F65" s="24">
        <f>IF(D65&gt;B55,"",IF(B53&gt;D65,"",IF(B53=D65,B54,IF(B53&lt;D65,(D65-B53)*B57+B54,B56))))</f>
        <v>0.8</v>
      </c>
      <c r="G65" s="23">
        <f>IF(ISERR(F65*E65),IF(D65&gt;B55,G64,""),F65*E65)</f>
        <v>483897163457.8086</v>
      </c>
      <c r="H65" s="22">
        <f>IF(ISERR(G65-G54),"",(G65-G54))</f>
        <v>132164146961.63501</v>
      </c>
      <c r="I65" s="21">
        <f>IF(ISERR(B52*H65),"",((B52*H65)))</f>
        <v>11101788344777.34</v>
      </c>
    </row>
    <row r="66" spans="1:9" ht="12.75">
      <c r="A66"/>
      <c r="D66" s="25">
        <v>2020</v>
      </c>
      <c r="E66" s="23">
        <f>IF(D66&lt;=B55,B50*EXP(B51*(D66-D51)),"")</f>
        <v>622669551575.2758</v>
      </c>
      <c r="F66" s="24">
        <f>IF(D66&gt;B55,"",IF(B53&gt;D66,"",IF(B53=D66,B54,IF(B53&lt;D66,(D66-B53)*B57+B54,B56))))</f>
        <v>0.8</v>
      </c>
      <c r="G66" s="23">
        <f>IF(ISERR(F66*E66),IF(D66&gt;B55,G65,""),F66*E66)</f>
        <v>498135641260.22064</v>
      </c>
      <c r="H66" s="22">
        <f>IF(ISERR(G66-G54),"",(G66-G54))</f>
        <v>146402624764.04706</v>
      </c>
      <c r="I66" s="21">
        <f>IF(ISERR(B52*H66),"",((B52*H66)))</f>
        <v>12297820480179.953</v>
      </c>
    </row>
    <row r="67" spans="1:9" ht="12.75">
      <c r="A67"/>
      <c r="D67" s="25">
        <v>2021</v>
      </c>
      <c r="E67" s="23">
        <f>IF(D67&lt;=B55,B50*EXP(B51*(D67-D51)),"")</f>
        <v>640991350622.3899</v>
      </c>
      <c r="F67" s="24">
        <f>IF(D67&gt;B55,"",IF(B53&gt;D67,"",IF(B53=D67,B54,IF(B53&lt;D67,(D67-B53)*B57+B54,B56))))</f>
        <v>0.8</v>
      </c>
      <c r="G67" s="23">
        <f>IF(ISERR(F67*E67),IF(D67&gt;B55,G66,""),F67*E67)</f>
        <v>512793080497.9119</v>
      </c>
      <c r="H67" s="22">
        <f>IF(ISERR(G67-G54),"",(G67-G54))</f>
        <v>161060064001.73834</v>
      </c>
      <c r="I67" s="21">
        <f>IF(ISERR(B52*H67),"",((B52*H67)))</f>
        <v>13529045376146.021</v>
      </c>
    </row>
    <row r="68" spans="1:9" ht="12.75">
      <c r="A68"/>
      <c r="D68" s="25">
        <v>2022</v>
      </c>
      <c r="E68" s="23">
        <f>IF(D68&lt;=B55,B50*EXP(B51*(D68-D51)),"")</f>
        <v>659852261176.5201</v>
      </c>
      <c r="F68" s="24">
        <f>IF(D68&gt;B55,"",IF(B53&gt;D68,"",IF(B53=D68,B54,IF(B53&lt;D68,(D68-B53)*B57+B54,B56))))</f>
        <v>0.8</v>
      </c>
      <c r="G68" s="23">
        <f>IF(ISERR(F68*E68),IF(D68&gt;B55,G67,""),F68*E68)</f>
        <v>527881808941.2161</v>
      </c>
      <c r="H68" s="22">
        <f>IF(ISERR(G68-G54),"",(G68-G54))</f>
        <v>176148792445.04254</v>
      </c>
      <c r="I68" s="21">
        <f>IF(ISERR(B52*H68),"",((B52*H68)))</f>
        <v>14796498565383.574</v>
      </c>
    </row>
    <row r="69" spans="1:9" ht="12.75">
      <c r="A69"/>
      <c r="D69" s="25">
        <v>2023</v>
      </c>
      <c r="E69" s="23">
        <f>IF(D69&lt;=B55,B50*EXP(B51*(D69-D51)),"")</f>
        <v>679268146375.1373</v>
      </c>
      <c r="F69" s="24">
        <f>IF(D69&gt;B55,"",IF(B53&gt;D69,"",IF(B53=D69,B54,IF(B53&lt;D69,(D69-B53)*B57+B54,B56))))</f>
        <v>0.8</v>
      </c>
      <c r="G69" s="23">
        <f>IF(ISERR(F69*E69),IF(D69&gt;B55,G68,""),F69*E69)</f>
        <v>543414517100.10986</v>
      </c>
      <c r="H69" s="22">
        <f>IF(ISERR(G69-G54),"",(G69-G54))</f>
        <v>191681500603.93628</v>
      </c>
      <c r="I69" s="21">
        <f>IF(ISERR(B52*H69),"",((B52*H69)))</f>
        <v>16101246050730.648</v>
      </c>
    </row>
    <row r="70" spans="1:9" ht="12.75">
      <c r="A70"/>
      <c r="D70" s="25">
        <v>2024</v>
      </c>
      <c r="E70" s="23">
        <f>IF(D70&lt;=B55,B50*EXP(B51*(D70-D51)),"")</f>
        <v>699255336122.0995</v>
      </c>
      <c r="F70" s="24">
        <f>IF(D70&gt;B55,"",IF(B53&gt;D70,"",IF(B53=D70,B54,IF(B53&lt;D70,(D70-B53)*B57+B54,B56))))</f>
        <v>0.8</v>
      </c>
      <c r="G70" s="23">
        <f>IF(ISERR(F70*E70),IF(D70&gt;B55,G69,""),F70*E70)</f>
        <v>559404268897.6796</v>
      </c>
      <c r="H70" s="22">
        <f>IF(ISERR(G70-G54),"",(G70-G54))</f>
        <v>207671252401.50598</v>
      </c>
      <c r="I70" s="21">
        <f>IF(ISERR(B52*H70),"",((B52*H70)))</f>
        <v>17444385201726.502</v>
      </c>
    </row>
    <row r="71" spans="1:9" ht="12.75">
      <c r="A71"/>
      <c r="D71" s="25">
        <v>2025</v>
      </c>
      <c r="E71" s="23">
        <f>IF(D71&lt;=B55,B50*EXP(B51*(D71-D51)),"")</f>
        <v>719830640822.0636</v>
      </c>
      <c r="F71" s="24">
        <f>IF(D71&gt;B55,"",IF(B53&gt;D71,"",IF(B53=D71,B54,IF(B53&lt;D71,(D71-B53)*B57+B54,B56))))</f>
        <v>0.8</v>
      </c>
      <c r="G71" s="23">
        <f>IF(ISERR(F71*E71),IF(D71&gt;B55,G70,""),F71*E71)</f>
        <v>575864512657.6509</v>
      </c>
      <c r="H71" s="22">
        <f>IF(ISERR(G71-G54),"",(G71-G54))</f>
        <v>224131496161.4773</v>
      </c>
      <c r="I71" s="21">
        <f>IF(ISERR(B52*H71),"",((B52*H71)))</f>
        <v>18827045677564.094</v>
      </c>
    </row>
    <row r="72" spans="1:9" ht="12.75">
      <c r="A72"/>
      <c r="D72" s="25">
        <v>2026</v>
      </c>
      <c r="E72" s="23">
        <f>IF(D72&lt;=B55,B50*EXP(B51*(D72-D51)),"")</f>
      </c>
      <c r="F72" s="24">
        <f>IF(D72&gt;B55,"",IF(B53&gt;D72,"",IF(B53=D72,B54,IF(B53&lt;D72,(D72-B53)*B57+B54,B56))))</f>
      </c>
      <c r="G72" s="23">
        <f>IF(ISERR(F72*E72),IF(D72&gt;B55,G71,""),F72*E72)</f>
        <v>575864512657.6509</v>
      </c>
      <c r="H72" s="22">
        <f>IF(ISERR(G72-G54),"",(G72-G54))</f>
        <v>224131496161.4773</v>
      </c>
      <c r="I72" s="21">
        <f>IF(ISERR(B52*H72),"",((B52*H72)))</f>
        <v>18827045677564.094</v>
      </c>
    </row>
    <row r="73" spans="1:9" ht="12.75">
      <c r="A73"/>
      <c r="D73" s="25">
        <v>2027</v>
      </c>
      <c r="E73" s="23">
        <f>IF(D73&lt;=B55,B50*EXP(B51*(D73-D51)),"")</f>
      </c>
      <c r="F73" s="24">
        <f>IF(D73&gt;B55,"",IF(B53&gt;D73,"",IF(B53=D73,B54,IF(B53&lt;D73,(D73-B53)*B57+B54,B56))))</f>
      </c>
      <c r="G73" s="23">
        <f>IF(ISERR(F73*E73),IF(D73&gt;B55,G72,""),F73*E73)</f>
        <v>575864512657.6509</v>
      </c>
      <c r="H73" s="22">
        <f>IF(ISERR(G73-G54),"",(G73-G54))</f>
        <v>224131496161.4773</v>
      </c>
      <c r="I73" s="21">
        <f>IF(ISERR(B52*H73),"",((B52*H73)))</f>
        <v>18827045677564.094</v>
      </c>
    </row>
    <row r="74" spans="1:9" ht="12.75">
      <c r="A74"/>
      <c r="D74" s="25">
        <v>2028</v>
      </c>
      <c r="E74" s="23">
        <f>IF(D74&lt;=B55,B50*EXP(B51*(D74-D51)),"")</f>
      </c>
      <c r="F74" s="24">
        <f>IF(D74&gt;B55,"",IF(B53&gt;D74,"",IF(B53=D74,B54,IF(B53&lt;D74,(D74-B53)*B57+B54,B56))))</f>
      </c>
      <c r="G74" s="23">
        <f>IF(ISERR(F74*E74),IF(D74&gt;B55,G73,""),F74*E74)</f>
        <v>575864512657.6509</v>
      </c>
      <c r="H74" s="22">
        <f>IF(ISERR(G74-G54),"",(G74-G54))</f>
        <v>224131496161.4773</v>
      </c>
      <c r="I74" s="21">
        <f>IF(ISERR(B52*H74),"",((B52*H74)))</f>
        <v>18827045677564.094</v>
      </c>
    </row>
    <row r="75" spans="1:9" ht="12.75">
      <c r="A75"/>
      <c r="D75" s="25">
        <v>2029</v>
      </c>
      <c r="E75" s="23">
        <f>IF(D75&lt;=B55,B50*EXP(B51*(D75-D51)),"")</f>
      </c>
      <c r="F75" s="24">
        <f>IF(D75&gt;B55,"",IF(B53&gt;D75,"",IF(B53=D75,B54,IF(B53&lt;D75,(D75-B53)*B57+B54,B56))))</f>
      </c>
      <c r="G75" s="23">
        <f>IF(ISERR(F75*E75),IF(D75&gt;B55,G74,""),F75*E75)</f>
        <v>575864512657.6509</v>
      </c>
      <c r="H75" s="22">
        <f>IF(ISERR(G75-G54),"",(G75-G54))</f>
        <v>224131496161.4773</v>
      </c>
      <c r="I75" s="21">
        <f>IF(ISERR(B52*H75),"",((B52*H75)))</f>
        <v>18827045677564.094</v>
      </c>
    </row>
    <row r="76" spans="1:9" ht="13.5" thickBot="1">
      <c r="A76"/>
      <c r="D76" s="20">
        <v>2030</v>
      </c>
      <c r="E76" s="18">
        <f>IF(D76&lt;=B55,B50*EXP(B51*(D76-D51)),"")</f>
      </c>
      <c r="F76" s="19">
        <f>IF(D76&gt;B55,"",IF(B53&gt;D76,"",IF(B53=D76,B54,IF(B53&lt;D76,(D76-B53)*B57+B54,B56))))</f>
      </c>
      <c r="G76" s="18">
        <f>IF(ISERR(F76*E76),IF(D76&gt;B55,G75,""),F76*E76)</f>
        <v>575864512657.6509</v>
      </c>
      <c r="H76" s="17">
        <f>IF(ISERR(G76-G54),"",(G76-G54))</f>
        <v>224131496161.4773</v>
      </c>
      <c r="I76" s="16">
        <f>IF(ISERR(B52*H76),"",((B52*H76)))</f>
        <v>18827045677564.094</v>
      </c>
    </row>
    <row r="77" spans="1:13" s="68" customFormat="1" ht="12.75">
      <c r="A77" s="15"/>
      <c r="K77" s="69"/>
      <c r="L77" s="69"/>
      <c r="M77" s="69"/>
    </row>
    <row r="78" spans="2:13" ht="12.75">
      <c r="B78" s="67"/>
      <c r="K78" s="63"/>
      <c r="L78" s="63"/>
      <c r="M78" s="63"/>
    </row>
    <row r="80" spans="1:9" ht="19.5" customHeight="1">
      <c r="A80" s="481" t="s">
        <v>602</v>
      </c>
      <c r="B80" s="482"/>
      <c r="C80" s="482"/>
      <c r="D80" s="482"/>
      <c r="E80" s="482"/>
      <c r="F80" s="482"/>
      <c r="G80" s="55"/>
      <c r="H80" s="55"/>
      <c r="I80" s="54"/>
    </row>
    <row r="81" spans="1:9" ht="46.5" customHeight="1">
      <c r="A81" s="488" t="s">
        <v>1034</v>
      </c>
      <c r="B81" s="471"/>
      <c r="C81" s="471"/>
      <c r="D81" s="471"/>
      <c r="E81" s="471"/>
      <c r="F81" s="471"/>
      <c r="G81" s="52"/>
      <c r="H81" s="52"/>
      <c r="I81" s="51"/>
    </row>
    <row r="82" spans="1:9" ht="33.75" customHeight="1">
      <c r="A82" s="472" t="s">
        <v>1088</v>
      </c>
      <c r="B82" s="469"/>
      <c r="C82" s="469"/>
      <c r="D82" s="469"/>
      <c r="E82" s="469"/>
      <c r="F82" s="469"/>
      <c r="G82" s="52"/>
      <c r="H82" s="52"/>
      <c r="I82" s="51"/>
    </row>
    <row r="83" spans="1:9" ht="33.75" customHeight="1">
      <c r="A83" s="479" t="s">
        <v>1026</v>
      </c>
      <c r="B83" s="474"/>
      <c r="C83" s="474"/>
      <c r="D83" s="59"/>
      <c r="E83" s="59"/>
      <c r="F83" s="59"/>
      <c r="G83" s="49"/>
      <c r="H83" s="49"/>
      <c r="I83" s="48"/>
    </row>
    <row r="84" spans="1:10" ht="12.75">
      <c r="A84" s="63" t="s">
        <v>952</v>
      </c>
      <c r="B84" s="47" t="s">
        <v>1025</v>
      </c>
      <c r="H84" s="63"/>
      <c r="I84" s="63"/>
      <c r="J84" s="63"/>
    </row>
    <row r="85" spans="2:13" ht="13.5" thickBot="1">
      <c r="B85" s="63"/>
      <c r="E85" s="64"/>
      <c r="K85" s="63"/>
      <c r="L85" s="63"/>
      <c r="M85" s="63"/>
    </row>
    <row r="86" spans="1:9" ht="51">
      <c r="A86" t="s">
        <v>1037</v>
      </c>
      <c r="B86" t="s">
        <v>1036</v>
      </c>
      <c r="D86" s="46" t="s">
        <v>1035</v>
      </c>
      <c r="E86" s="45" t="s">
        <v>1128</v>
      </c>
      <c r="F86" s="45" t="s">
        <v>1024</v>
      </c>
      <c r="G86" s="45" t="s">
        <v>1023</v>
      </c>
      <c r="H86" s="45" t="s">
        <v>1022</v>
      </c>
      <c r="I86" s="44" t="s">
        <v>1085</v>
      </c>
    </row>
    <row r="87" spans="1:9" ht="13.5" thickBot="1">
      <c r="A87" t="s">
        <v>1021</v>
      </c>
      <c r="B87" s="58">
        <f>42956*10^6</f>
        <v>42956000000</v>
      </c>
      <c r="D87" s="43"/>
      <c r="E87" s="41" t="s">
        <v>1020</v>
      </c>
      <c r="F87" s="42" t="s">
        <v>1019</v>
      </c>
      <c r="G87" s="41" t="s">
        <v>976</v>
      </c>
      <c r="H87" s="41" t="s">
        <v>975</v>
      </c>
      <c r="I87" s="40" t="s">
        <v>859</v>
      </c>
    </row>
    <row r="88" spans="1:9" ht="13.5" thickTop="1">
      <c r="A88" t="s">
        <v>858</v>
      </c>
      <c r="B88" s="31">
        <v>0.014</v>
      </c>
      <c r="C88" s="30"/>
      <c r="D88" s="25">
        <v>2005</v>
      </c>
      <c r="E88" s="23">
        <f>IF(D88&lt;=B92,B87*EXP(B88*(D88-D88)),"")</f>
        <v>42956000000</v>
      </c>
      <c r="F88" s="24">
        <f>IF(D88&gt;B92,"",IF(B90&gt;D88,"",IF(B90=D88,B91,IF(B90&lt;D88,(D88-B90)*B94+B91,B93))))</f>
      </c>
      <c r="G88" s="23">
        <f>IF(ISERR(F88*E88),IF(D88&gt;B92,G87,""),F88*E88)</f>
      </c>
      <c r="H88" s="39"/>
      <c r="I88" s="38"/>
    </row>
    <row r="89" spans="1:9" ht="12.75">
      <c r="A89" t="s">
        <v>857</v>
      </c>
      <c r="B89" s="37">
        <v>275</v>
      </c>
      <c r="D89" s="25">
        <v>2006</v>
      </c>
      <c r="E89" s="23">
        <f>IF(D89&lt;=B92,B87*EXP(B88*(D89-D88)),"")</f>
        <v>43561613402.16187</v>
      </c>
      <c r="F89" s="24">
        <f>IF(D89&gt;B92,"",IF(B90&gt;D89,"",IF(B90=D89,B91,IF(B90&lt;D89,(D89-B90)*B94+B91,B93))))</f>
      </c>
      <c r="G89" s="23">
        <f>IF(ISERR(F89*E89),IF(D89&gt;B92,G88,""),F89*E89)</f>
      </c>
      <c r="H89" s="23"/>
      <c r="I89" s="34"/>
    </row>
    <row r="90" spans="1:9" ht="12.75">
      <c r="A90" t="s">
        <v>856</v>
      </c>
      <c r="B90" s="37">
        <v>2008</v>
      </c>
      <c r="D90" s="25">
        <v>2007</v>
      </c>
      <c r="E90" s="23">
        <f>IF(D90&lt;=B92,B87*EXP(B88*(D90-D88)),"")</f>
        <v>44175765020.00674</v>
      </c>
      <c r="F90" s="24">
        <f>IF(D90&gt;B92,"",IF(B90&gt;D90,"",IF(B90=D90,B91,IF(B90&lt;D90,(D90-B90)*B94+B91,B93))))</f>
      </c>
      <c r="G90" s="23">
        <f>IF(ISERR(F90*E90),IF(D90&gt;B92,G89,""),F90*E90)</f>
      </c>
      <c r="H90" s="23"/>
      <c r="I90" s="34"/>
    </row>
    <row r="91" spans="1:9" s="33" customFormat="1" ht="12.75">
      <c r="A91" s="33" t="s">
        <v>855</v>
      </c>
      <c r="B91" s="36">
        <v>0.7</v>
      </c>
      <c r="C91" s="35"/>
      <c r="D91" s="25">
        <v>2008</v>
      </c>
      <c r="E91" s="23">
        <f>IF(D91&lt;=B92,B87*EXP(B88*(D91-D88)),"")</f>
        <v>44798575229.21779</v>
      </c>
      <c r="F91" s="24">
        <f>IF(D91&gt;B92,"",IF(B90&gt;D91,"",IF(B90=D91,B91,IF(B90&lt;D91,(D91-B90)*B94+B91,B93))))</f>
        <v>0.7</v>
      </c>
      <c r="G91" s="23">
        <f>IF(ISERR(F91*E91),IF(D91&gt;B92,G90,""),F91*E91)</f>
        <v>31359002660.45245</v>
      </c>
      <c r="H91" s="23"/>
      <c r="I91" s="34"/>
    </row>
    <row r="92" spans="1:9" ht="12.75">
      <c r="A92" t="s">
        <v>854</v>
      </c>
      <c r="B92" s="32">
        <v>2025</v>
      </c>
      <c r="C92" s="30"/>
      <c r="D92" s="25">
        <v>2009</v>
      </c>
      <c r="E92" s="23">
        <f>IF(D92&lt;=B92,B87*EXP(B88*(D92-D88)),"")</f>
        <v>45430166102.589874</v>
      </c>
      <c r="F92" s="24">
        <f>IF(D92&gt;B92,"",IF(B90&gt;D92,"",IF(B90=D92,B91,IF(B90&lt;D92,(D92-B90)*B94+B91,B93))))</f>
        <v>0.7117647058823529</v>
      </c>
      <c r="G92" s="23">
        <f>IF(ISERR(F92*E92),IF(D92&gt;B92,G91,""),F92*E92)</f>
        <v>32335588814.19632</v>
      </c>
      <c r="H92" s="22">
        <f>IF(ISERR(G92-G91),"",(G92-G91))</f>
        <v>976586153.7438698</v>
      </c>
      <c r="I92" s="21">
        <f>IF(ISERR(B89*H92),"",((B89*H92)))</f>
        <v>268561192279.56418</v>
      </c>
    </row>
    <row r="93" spans="1:9" ht="12.75">
      <c r="A93" t="s">
        <v>1018</v>
      </c>
      <c r="B93" s="31">
        <v>0.9</v>
      </c>
      <c r="C93" s="30"/>
      <c r="D93" s="25">
        <v>2010</v>
      </c>
      <c r="E93" s="23">
        <f>IF(D93&lt;=B92,B87*EXP(B88*(D93-D88)),"")</f>
        <v>46070661433.95612</v>
      </c>
      <c r="F93" s="24">
        <f>IF(D93&gt;B92,"",IF(B90&gt;D93,"",IF(B90=D93,B91,IF(B90&lt;D93,(D93-B90)*B94+B91,B93))))</f>
        <v>0.7235294117647059</v>
      </c>
      <c r="G93" s="23">
        <f>IF(ISERR(F93*E93),IF(D93&gt;B92,G92,""),F93*E93)</f>
        <v>33333478566.921196</v>
      </c>
      <c r="H93" s="22">
        <f>IF(ISERR(G93-G91),"",(G93-G91))</f>
        <v>1974475906.4687462</v>
      </c>
      <c r="I93" s="21">
        <f>IF(ISERR(B89*H93),"",((B89*H93)))</f>
        <v>542980874278.9052</v>
      </c>
    </row>
    <row r="94" spans="1:9" ht="12.75">
      <c r="A94" s="29" t="s">
        <v>920</v>
      </c>
      <c r="B94" s="28">
        <f>(B93-B91)/(B92-B90)</f>
        <v>0.011764705882352944</v>
      </c>
      <c r="D94" s="25">
        <v>2011</v>
      </c>
      <c r="E94" s="23">
        <f>IF(D94&lt;=B92,B87*EXP(B88*(D94-D88)),"")</f>
        <v>46720186762.451935</v>
      </c>
      <c r="F94" s="24">
        <f>IF(D94&gt;B92,"",IF(B90&gt;D94,"",IF(B90=D94,B91,IF(B90&lt;D94,(D94-B90)*B94+B91,B93))))</f>
        <v>0.7352941176470588</v>
      </c>
      <c r="G94" s="23">
        <f>IF(ISERR(F94*E94),IF(D94&gt;B92,G93,""),F94*E94)</f>
        <v>34353078501.80289</v>
      </c>
      <c r="H94" s="22">
        <f>IF(ISERR(G94-G91),"",(G94-G91))</f>
        <v>2994075841.350441</v>
      </c>
      <c r="I94" s="21">
        <f>IF(ISERR(B89*H94),"",((B89*H94)))</f>
        <v>823370856371.3712</v>
      </c>
    </row>
    <row r="95" spans="1:9" ht="12.75">
      <c r="A95"/>
      <c r="D95" s="25">
        <v>2012</v>
      </c>
      <c r="E95" s="23">
        <f>IF(D95&lt;=B92,B87*EXP(B88*(D95-D88)),"")</f>
        <v>47378869397.121056</v>
      </c>
      <c r="F95" s="24">
        <f>IF(D95&gt;B92,"",IF(B90&gt;D95,"",IF(B90=D95,B91,IF(B90&lt;D95,(D95-B90)*B94+B91,B93))))</f>
        <v>0.7470588235294118</v>
      </c>
      <c r="G95" s="23">
        <f>IF(ISERR(F95*E95),IF(D95&gt;B92,G94,""),F95*E95)</f>
        <v>35394802431.9669</v>
      </c>
      <c r="H95" s="22">
        <f>IF(ISERR(G95-G91),"",(G95-G91))</f>
        <v>4035799771.514454</v>
      </c>
      <c r="I95" s="21">
        <f>IF(ISERR(B89*H95),"",((B89*H95)))</f>
        <v>1109844937166.4749</v>
      </c>
    </row>
    <row r="96" spans="1:9" ht="12.75">
      <c r="A96"/>
      <c r="D96" s="25">
        <v>2013</v>
      </c>
      <c r="E96" s="23">
        <f>IF(D96&lt;=B92,B87*EXP(B88*(D96-D88)),"")</f>
        <v>48046838441.86856</v>
      </c>
      <c r="F96" s="24">
        <f>IF(D96&gt;B92,"",IF(B90&gt;D96,"",IF(B90=D96,B91,IF(B90&lt;D96,(D96-B90)*B94+B91,B93))))</f>
        <v>0.7588235294117647</v>
      </c>
      <c r="G96" s="23">
        <f>IF(ISERR(F96*E96),IF(D96&gt;B92,G95,""),F96*E96)</f>
        <v>36459071523.53555</v>
      </c>
      <c r="H96" s="22">
        <f>IF(ISERR(G96-G91),"",(G96-G91))</f>
        <v>5100068863.083103</v>
      </c>
      <c r="I96" s="21">
        <f>IF(ISERR(B89*H96),"",((B89*H96)))</f>
        <v>1402518937347.8533</v>
      </c>
    </row>
    <row r="97" spans="1:9" ht="12.75">
      <c r="A97" t="s">
        <v>915</v>
      </c>
      <c r="B97" s="27">
        <f>VLOOKUP(B92,D88:I113,6,FALSE)</f>
        <v>5443274412520.394</v>
      </c>
      <c r="D97" s="25">
        <v>2014</v>
      </c>
      <c r="E97" s="23">
        <f>IF(D97&lt;=B92,B87*EXP(B88*(D97-D88)),"")</f>
        <v>48724224820.765625</v>
      </c>
      <c r="F97" s="24">
        <f>IF(D97&gt;B92,"",IF(B90&gt;D97,"",IF(B90=D97,B91,IF(B90&lt;D97,(D97-B90)*B94+B91,B93))))</f>
        <v>0.7705882352941176</v>
      </c>
      <c r="G97" s="23">
        <f>IF(ISERR(F97*E97),IF(D97&gt;B92,G96,""),F97*E97)</f>
        <v>37546314420.70763</v>
      </c>
      <c r="H97" s="22">
        <f>IF(ISERR(G97-G91),"",(G97-G91))</f>
        <v>6187311760.255177</v>
      </c>
      <c r="I97" s="21">
        <f>IF(ISERR(B89*H97),"",((B89*H97)))</f>
        <v>1701510734070.1736</v>
      </c>
    </row>
    <row r="98" spans="1:9" ht="12.75">
      <c r="A98" t="s">
        <v>914</v>
      </c>
      <c r="B98" s="27">
        <f>SUM(I92:I113)</f>
        <v>73446583400493</v>
      </c>
      <c r="D98" s="25">
        <v>2015</v>
      </c>
      <c r="E98" s="23">
        <f>IF(D98&lt;=B92,B87*EXP(B88*(D98-D88)),"")</f>
        <v>49411161303.71106</v>
      </c>
      <c r="F98" s="24">
        <f>IF(D98&gt;B92,"",IF(B90&gt;D98,"",IF(B90=D98,B91,IF(B90&lt;D98,(D98-B90)*B94+B91,B93))))</f>
        <v>0.7823529411764706</v>
      </c>
      <c r="G98" s="23">
        <f>IF(ISERR(F98*E98),IF(D98&gt;B92,G97,""),F98*E98)</f>
        <v>38656967372.90336</v>
      </c>
      <c r="H98" s="22">
        <f>IF(ISERR(G98-G91),"",(G98-G91))</f>
        <v>7297964712.450909</v>
      </c>
      <c r="I98" s="21">
        <f>IF(ISERR(B89*H98),"",((B89*H98)))</f>
        <v>2006940295924</v>
      </c>
    </row>
    <row r="99" spans="1:9" ht="12.75">
      <c r="A99" t="s">
        <v>1068</v>
      </c>
      <c r="B99" s="26">
        <f>B97/(10^12)</f>
        <v>5.443274412520394</v>
      </c>
      <c r="D99" s="25">
        <v>2016</v>
      </c>
      <c r="E99" s="23">
        <f>IF(D99&lt;=B92,B87*EXP(B88*(D99-D88)),"")</f>
        <v>50107782532.45465</v>
      </c>
      <c r="F99" s="24">
        <f>IF(D99&gt;B92,"",IF(B90&gt;D99,"",IF(B90=D99,B91,IF(B90&lt;D99,(D99-B90)*B94+B91,B93))))</f>
        <v>0.7941176470588235</v>
      </c>
      <c r="G99" s="23">
        <f>IF(ISERR(F99*E99),IF(D99&gt;B92,G98,""),F99*E99)</f>
        <v>39791474364.0081</v>
      </c>
      <c r="H99" s="22">
        <f>IF(ISERR(G99-G91),"",(G99-G91))</f>
        <v>8432471703.555653</v>
      </c>
      <c r="I99" s="21">
        <f>IF(ISERR(B89*H99),"",((B89*H99)))</f>
        <v>2318929718477.8047</v>
      </c>
    </row>
    <row r="100" spans="1:9" ht="12.75">
      <c r="A100" t="s">
        <v>1067</v>
      </c>
      <c r="B100" s="26">
        <f>B98/(10^12)</f>
        <v>73.446583400493</v>
      </c>
      <c r="D100" s="25">
        <v>2017</v>
      </c>
      <c r="E100" s="23">
        <f>IF(D100&lt;=B92,B87*EXP(B88*(D100-D88)),"")</f>
        <v>50814225046.98736</v>
      </c>
      <c r="F100" s="24">
        <f>IF(D100&gt;B92,"",IF(B90&gt;D100,"",IF(B90=D100,B91,IF(B90&lt;D100,(D100-B90)*B94+B91,B93))))</f>
        <v>0.8058823529411765</v>
      </c>
      <c r="G100" s="23">
        <f>IF(ISERR(F100*E100),IF(D100&gt;B92,G99,""),F100*E100)</f>
        <v>40950287243.748634</v>
      </c>
      <c r="H100" s="22">
        <f>IF(ISERR(G100-G91),"",(G100-G91))</f>
        <v>9591284583.296185</v>
      </c>
      <c r="I100" s="21">
        <f>IF(ISERR(B89*H100),"",((B89*H100)))</f>
        <v>2637603260406.4507</v>
      </c>
    </row>
    <row r="101" spans="1:9" ht="12.75">
      <c r="A101"/>
      <c r="D101" s="25">
        <v>2018</v>
      </c>
      <c r="E101" s="23">
        <f>IF(D101&lt;=B92,B87*EXP(B88*(D101-D88)),"")</f>
        <v>51530627312.30363</v>
      </c>
      <c r="F101" s="24">
        <f>IF(D101&gt;B92,"",IF(B90&gt;D101,"",IF(B90=D101,B91,IF(B90&lt;D101,(D101-B90)*B94+B91,B93))))</f>
        <v>0.8176470588235294</v>
      </c>
      <c r="G101" s="23">
        <f>IF(ISERR(F101*E101),IF(D101&gt;B92,G100,""),F101*E101)</f>
        <v>42133865861.236496</v>
      </c>
      <c r="H101" s="22">
        <f>IF(ISERR(G101-G91),"",(G101-G91))</f>
        <v>10774863200.784046</v>
      </c>
      <c r="I101" s="21">
        <f>IF(ISERR(B89*H101),"",((B89*H101)))</f>
        <v>2963087380215.613</v>
      </c>
    </row>
    <row r="102" spans="1:9" ht="12.75">
      <c r="A102"/>
      <c r="D102" s="25">
        <v>2019</v>
      </c>
      <c r="E102" s="23">
        <f>IF(D102&lt;=B92,B87*EXP(B88*(D102-D88)),"")</f>
        <v>52257129745.540886</v>
      </c>
      <c r="F102" s="24">
        <f>IF(D102&gt;B92,"",IF(B90&gt;D102,"",IF(B90=D102,B91,IF(B90&lt;D102,(D102-B90)*B94+B91,B93))))</f>
        <v>0.8294117647058823</v>
      </c>
      <c r="G102" s="23">
        <f>IF(ISERR(F102*E102),IF(D102&gt;B92,G101,""),F102*E102)</f>
        <v>43342678200.71332</v>
      </c>
      <c r="H102" s="22">
        <f>IF(ISERR(G102-G91),"",(G102-G91))</f>
        <v>11983675540.260868</v>
      </c>
      <c r="I102" s="21">
        <f>IF(ISERR(B89*H102),"",((B89*H102)))</f>
        <v>3295510773571.739</v>
      </c>
    </row>
    <row r="103" spans="1:9" ht="12.75">
      <c r="A103"/>
      <c r="D103" s="25">
        <v>2020</v>
      </c>
      <c r="E103" s="23">
        <f>IF(D103&lt;=B92,B87*EXP(B88*(D103-D88)),"")</f>
        <v>52993874743.50186</v>
      </c>
      <c r="F103" s="24">
        <f>IF(D103&gt;B92,"",IF(B90&gt;D103,"",IF(B90=D103,B91,IF(B90&lt;D103,(D103-B90)*B94+B91,B93))))</f>
        <v>0.8411764705882353</v>
      </c>
      <c r="G103" s="23">
        <f>IF(ISERR(F103*E103),IF(D103&gt;B92,G102,""),F103*E103)</f>
        <v>44577200519.53392</v>
      </c>
      <c r="H103" s="22">
        <f>IF(ISERR(G103-G91),"",(G103-G91))</f>
        <v>13218197859.08147</v>
      </c>
      <c r="I103" s="21">
        <f>IF(ISERR(B89*H103),"",((B89*H103)))</f>
        <v>3635004411247.4043</v>
      </c>
    </row>
    <row r="104" spans="1:9" ht="12.75">
      <c r="A104"/>
      <c r="D104" s="25">
        <v>2021</v>
      </c>
      <c r="E104" s="23">
        <f>IF(D104&lt;=B92,B87*EXP(B88*(D104-D88)),"")</f>
        <v>53741006710.56473</v>
      </c>
      <c r="F104" s="24">
        <f>IF(D104&gt;B92,"",IF(B90&gt;D104,"",IF(B90=D104,B91,IF(B90&lt;D104,(D104-B90)*B94+B91,B93))))</f>
        <v>0.8529411764705882</v>
      </c>
      <c r="G104" s="23">
        <f>IF(ISERR(F104*E104),IF(D104&gt;B92,G103,""),F104*E104)</f>
        <v>45837917488.42285</v>
      </c>
      <c r="H104" s="22">
        <f>IF(ISERR(G104-G91),"",(G104-G91))</f>
        <v>14478914827.970402</v>
      </c>
      <c r="I104" s="21">
        <f>IF(ISERR(B89*H104),"",((B89*H104)))</f>
        <v>3981701577691.8604</v>
      </c>
    </row>
    <row r="105" spans="1:9" ht="12.75">
      <c r="A105"/>
      <c r="D105" s="25">
        <v>2022</v>
      </c>
      <c r="E105" s="23">
        <f>IF(D105&lt;=B92,B87*EXP(B88*(D105-D88)),"")</f>
        <v>54498672086.98687</v>
      </c>
      <c r="F105" s="24">
        <f>IF(D105&gt;B92,"",IF(B90&gt;D105,"",IF(B90=D105,B91,IF(B90&lt;D105,(D105-B90)*B94+B91,B93))))</f>
        <v>0.8647058823529412</v>
      </c>
      <c r="G105" s="23">
        <f>IF(ISERR(F105*E105),IF(D105&gt;B92,G104,""),F105*E105)</f>
        <v>47125322334.04159</v>
      </c>
      <c r="H105" s="22">
        <f>IF(ISERR(G105-G91),"",(G105-G91))</f>
        <v>15766319673.589138</v>
      </c>
      <c r="I105" s="21">
        <f>IF(ISERR(B89*H105),"",((B89*H105)))</f>
        <v>4335737910237.013</v>
      </c>
    </row>
    <row r="106" spans="1:9" ht="12.75">
      <c r="A106"/>
      <c r="D106" s="25">
        <v>2023</v>
      </c>
      <c r="E106" s="23">
        <f>IF(D106&lt;=B92,B87*EXP(B88*(D106-D88)),"")</f>
        <v>55267019377.60761</v>
      </c>
      <c r="F106" s="24">
        <f>IF(D106&gt;B92,"",IF(B90&gt;D106,"",IF(B90=D106,B91,IF(B90&lt;D106,(D106-B90)*B94+B91,B93))))</f>
        <v>0.8764705882352941</v>
      </c>
      <c r="G106" s="23">
        <f>IF(ISERR(F106*E106),IF(D106&gt;B92,G105,""),F106*E106)</f>
        <v>48439916983.903145</v>
      </c>
      <c r="H106" s="22">
        <f>IF(ISERR(G106-G91),"",(G106-G91))</f>
        <v>17080914323.450695</v>
      </c>
      <c r="I106" s="21">
        <f>IF(ISERR(B89*H106),"",((B89*H106)))</f>
        <v>4697251438948.941</v>
      </c>
    </row>
    <row r="107" spans="1:9" ht="12.75">
      <c r="A107"/>
      <c r="D107" s="25">
        <v>2024</v>
      </c>
      <c r="E107" s="23">
        <f>IF(D107&lt;=B92,B87*EXP(B88*(D107-D88)),"")</f>
        <v>56046199180.95568</v>
      </c>
      <c r="F107" s="24">
        <f>IF(D107&gt;B92,"",IF(B90&gt;D107,"",IF(B90=D107,B91,IF(B90&lt;D107,(D107-B90)*B94+B91,B93))))</f>
        <v>0.888235294117647</v>
      </c>
      <c r="G107" s="23">
        <f>IF(ISERR(F107*E107),IF(D107&gt;B92,G106,""),F107*E107)</f>
        <v>49782212213.67239</v>
      </c>
      <c r="H107" s="22">
        <f>IF(ISERR(G107-G91),"",(G107-G91))</f>
        <v>18423209553.219944</v>
      </c>
      <c r="I107" s="21">
        <f>IF(ISERR(B89*H107),"",((B89*H107)))</f>
        <v>5066382627135.484</v>
      </c>
    </row>
    <row r="108" spans="1:9" ht="12.75">
      <c r="A108"/>
      <c r="D108" s="25">
        <v>2025</v>
      </c>
      <c r="E108" s="23">
        <f>IF(D108&lt;=B92,B87*EXP(B88*(D108-D88)),"")</f>
        <v>56836364218.76694</v>
      </c>
      <c r="F108" s="24">
        <f>IF(D108&gt;B92,"",IF(B90&gt;D108,"",IF(B90=D108,B91,IF(B90&lt;D108,(D108-B90)*B94+B91,B93))))</f>
        <v>0.9</v>
      </c>
      <c r="G108" s="23">
        <f>IF(ISERR(F108*E108),IF(D108&gt;B92,G107,""),F108*E108)</f>
        <v>51152727796.89024</v>
      </c>
      <c r="H108" s="22">
        <f>IF(ISERR(G108-G91),"",(G108-G91))</f>
        <v>19793725136.437794</v>
      </c>
      <c r="I108" s="21">
        <f>IF(ISERR(B89*H108),"",((B89*H108)))</f>
        <v>5443274412520.394</v>
      </c>
    </row>
    <row r="109" spans="1:9" ht="12.75">
      <c r="A109"/>
      <c r="D109" s="25">
        <v>2026</v>
      </c>
      <c r="E109" s="23">
        <f>IF(D109&lt;=B92,B87*EXP(B88*(D109-D88)),"")</f>
      </c>
      <c r="F109" s="24">
        <f>IF(D109&gt;B92,"",IF(B90&gt;D109,"",IF(B90=D109,B91,IF(B90&lt;D109,(D109-B90)*B94+B91,B93))))</f>
      </c>
      <c r="G109" s="23">
        <f>IF(ISERR(F109*E109),IF(D109&gt;B92,G108,""),F109*E109)</f>
        <v>51152727796.89024</v>
      </c>
      <c r="H109" s="22">
        <f>IF(ISERR(G109-G91),"",(G109-G91))</f>
        <v>19793725136.437794</v>
      </c>
      <c r="I109" s="21">
        <f>IF(ISERR(B89*H109),"",((B89*H109)))</f>
        <v>5443274412520.394</v>
      </c>
    </row>
    <row r="110" spans="1:9" ht="12.75">
      <c r="A110"/>
      <c r="D110" s="25">
        <v>2027</v>
      </c>
      <c r="E110" s="23">
        <f>IF(D110&lt;=B92,B87*EXP(B88*(D110-D88)),"")</f>
      </c>
      <c r="F110" s="24">
        <f>IF(D110&gt;B92,"",IF(B90&gt;D110,"",IF(B90=D110,B91,IF(B90&lt;D110,(D110-B90)*B94+B91,B93))))</f>
      </c>
      <c r="G110" s="23">
        <f>IF(ISERR(F110*E110),IF(D110&gt;B92,G109,""),F110*E110)</f>
        <v>51152727796.89024</v>
      </c>
      <c r="H110" s="22">
        <f>IF(ISERR(G110-G91),"",(G110-G91))</f>
        <v>19793725136.437794</v>
      </c>
      <c r="I110" s="21">
        <f>IF(ISERR(B89*H110),"",((B89*H110)))</f>
        <v>5443274412520.394</v>
      </c>
    </row>
    <row r="111" spans="1:9" ht="12.75">
      <c r="A111"/>
      <c r="D111" s="25">
        <v>2028</v>
      </c>
      <c r="E111" s="23">
        <f>IF(D111&lt;=B92,B87*EXP(B88*(D111-D88)),"")</f>
      </c>
      <c r="F111" s="24">
        <f>IF(D111&gt;B92,"",IF(B90&gt;D111,"",IF(B90=D111,B91,IF(B90&lt;D111,(D111-B90)*B94+B91,B93))))</f>
      </c>
      <c r="G111" s="23">
        <f>IF(ISERR(F111*E111),IF(D111&gt;B92,G110,""),F111*E111)</f>
        <v>51152727796.89024</v>
      </c>
      <c r="H111" s="22">
        <f>IF(ISERR(G111-G91),"",(G111-G91))</f>
        <v>19793725136.437794</v>
      </c>
      <c r="I111" s="21">
        <f>IF(ISERR(B89*H111),"",((B89*H111)))</f>
        <v>5443274412520.394</v>
      </c>
    </row>
    <row r="112" spans="1:9" ht="12.75">
      <c r="A112"/>
      <c r="D112" s="25">
        <v>2029</v>
      </c>
      <c r="E112" s="23">
        <f>IF(D112&lt;=B92,B87*EXP(B88*(D112-D88)),"")</f>
      </c>
      <c r="F112" s="24">
        <f>IF(D112&gt;B92,"",IF(B90&gt;D112,"",IF(B90=D112,B91,IF(B90&lt;D112,(D112-B90)*B94+B91,B93))))</f>
      </c>
      <c r="G112" s="23">
        <f>IF(ISERR(F112*E112),IF(D112&gt;B92,G111,""),F112*E112)</f>
        <v>51152727796.89024</v>
      </c>
      <c r="H112" s="22">
        <f>IF(ISERR(G112-G91),"",(G112-G91))</f>
        <v>19793725136.437794</v>
      </c>
      <c r="I112" s="21">
        <f>IF(ISERR(B89*H112),"",((B89*H112)))</f>
        <v>5443274412520.394</v>
      </c>
    </row>
    <row r="113" spans="1:9" ht="13.5" thickBot="1">
      <c r="A113"/>
      <c r="D113" s="20">
        <v>2030</v>
      </c>
      <c r="E113" s="18">
        <f>IF(D113&lt;=B92,B87*EXP(B88*(D113-D88)),"")</f>
      </c>
      <c r="F113" s="19">
        <f>IF(D113&gt;B92,"",IF(B90&gt;D113,"",IF(B90=D113,B91,IF(B90&lt;D113,(D113-B90)*B94+B91,B93))))</f>
      </c>
      <c r="G113" s="18">
        <f>IF(ISERR(F113*E113),IF(D113&gt;B92,G112,""),F113*E113)</f>
        <v>51152727796.89024</v>
      </c>
      <c r="H113" s="17">
        <f>IF(ISERR(G113-G91),"",(G113-G91))</f>
        <v>19793725136.437794</v>
      </c>
      <c r="I113" s="16">
        <f>IF(ISERR(B89*H113),"",((B89*H113)))</f>
        <v>5443274412520.394</v>
      </c>
    </row>
    <row r="114" spans="2:13" ht="12.75">
      <c r="B114" s="63"/>
      <c r="E114" s="64"/>
      <c r="K114" s="63"/>
      <c r="L114" s="63"/>
      <c r="M114" s="63"/>
    </row>
    <row r="116" spans="1:9" ht="12.75" customHeight="1">
      <c r="A116" s="466" t="s">
        <v>874</v>
      </c>
      <c r="B116" s="467"/>
      <c r="C116" s="467"/>
      <c r="D116" s="467"/>
      <c r="E116" s="467"/>
      <c r="F116" s="467"/>
      <c r="G116" s="55"/>
      <c r="H116" s="55"/>
      <c r="I116" s="54"/>
    </row>
    <row r="117" spans="1:9" ht="12.75">
      <c r="A117" s="468" t="s">
        <v>1017</v>
      </c>
      <c r="B117" s="469"/>
      <c r="C117" s="469"/>
      <c r="D117" s="469"/>
      <c r="E117" s="469"/>
      <c r="F117" s="469"/>
      <c r="G117" s="52"/>
      <c r="H117" s="52"/>
      <c r="I117" s="51"/>
    </row>
    <row r="118" spans="1:9" ht="30.75" customHeight="1">
      <c r="A118" s="470" t="s">
        <v>1106</v>
      </c>
      <c r="B118" s="469"/>
      <c r="C118" s="469"/>
      <c r="D118" s="469"/>
      <c r="E118" s="469"/>
      <c r="F118" s="469"/>
      <c r="G118" s="52"/>
      <c r="H118" s="52"/>
      <c r="I118" s="51"/>
    </row>
    <row r="119" spans="1:9" ht="12.75">
      <c r="A119" s="473" t="s">
        <v>989</v>
      </c>
      <c r="B119" s="474"/>
      <c r="C119" s="474"/>
      <c r="D119" s="474"/>
      <c r="E119" s="474"/>
      <c r="F119" s="474"/>
      <c r="G119" s="49"/>
      <c r="H119" s="49"/>
      <c r="I119" s="48"/>
    </row>
    <row r="120" ht="12.75">
      <c r="A120"/>
    </row>
    <row r="121" spans="1:2" ht="12.75">
      <c r="A121" t="s">
        <v>886</v>
      </c>
      <c r="B121" s="62" t="s">
        <v>988</v>
      </c>
    </row>
    <row r="122" ht="13.5" thickBot="1">
      <c r="E122" s="61"/>
    </row>
    <row r="123" spans="1:9" ht="51">
      <c r="A123" t="s">
        <v>987</v>
      </c>
      <c r="B123" t="s">
        <v>986</v>
      </c>
      <c r="D123" s="46" t="s">
        <v>985</v>
      </c>
      <c r="E123" s="45" t="s">
        <v>984</v>
      </c>
      <c r="F123" s="45" t="s">
        <v>983</v>
      </c>
      <c r="G123" s="45" t="s">
        <v>982</v>
      </c>
      <c r="H123" s="45" t="s">
        <v>981</v>
      </c>
      <c r="I123" s="44" t="s">
        <v>980</v>
      </c>
    </row>
    <row r="124" spans="1:9" ht="13.5" thickBot="1">
      <c r="A124" t="s">
        <v>979</v>
      </c>
      <c r="B124" s="58">
        <f>0.1*10^9</f>
        <v>100000000</v>
      </c>
      <c r="D124" s="43"/>
      <c r="E124" s="41" t="s">
        <v>978</v>
      </c>
      <c r="F124" s="42" t="s">
        <v>977</v>
      </c>
      <c r="G124" s="41" t="s">
        <v>976</v>
      </c>
      <c r="H124" s="41" t="s">
        <v>975</v>
      </c>
      <c r="I124" s="40" t="s">
        <v>974</v>
      </c>
    </row>
    <row r="125" spans="1:9" ht="13.5" thickTop="1">
      <c r="A125" t="s">
        <v>894</v>
      </c>
      <c r="B125" s="31">
        <v>0.035</v>
      </c>
      <c r="C125" s="30"/>
      <c r="D125" s="25">
        <v>2005</v>
      </c>
      <c r="E125" s="23">
        <f>IF(D125&lt;=B129,B124*EXP(B125*(D125-D125)),"")</f>
        <v>100000000</v>
      </c>
      <c r="F125" s="24">
        <f>IF(D125&gt;B129,"",IF(B127&gt;D125,"",IF(B127=D125,B128,IF(B127&lt;D125,(D125-B127)*B131+B128,B130))))</f>
      </c>
      <c r="G125" s="23">
        <f>IF(ISERR(F125*E125),IF(D125&gt;B129,G124,""),F125*E125)</f>
      </c>
      <c r="H125" s="39"/>
      <c r="I125" s="38"/>
    </row>
    <row r="126" spans="1:9" ht="12.75">
      <c r="A126" t="s">
        <v>893</v>
      </c>
      <c r="B126" s="37">
        <v>420</v>
      </c>
      <c r="D126" s="25">
        <v>2006</v>
      </c>
      <c r="E126" s="23">
        <f>IF(D126&lt;=B129,B124*EXP(B125*(D126-D125)),"")</f>
        <v>103561970.87996233</v>
      </c>
      <c r="F126" s="24">
        <f>IF(D126&gt;B129,"",IF(B127&gt;D126,"",IF(B127=D126,B128,IF(B127&lt;D126,(D126-B127)*B131+B128,B130))))</f>
      </c>
      <c r="G126" s="23">
        <f>IF(ISERR(F126*E126),IF(D126&gt;B129,G125,""),F126*E126)</f>
      </c>
      <c r="H126" s="23"/>
      <c r="I126" s="34"/>
    </row>
    <row r="127" spans="1:9" ht="12.75">
      <c r="A127" t="s">
        <v>892</v>
      </c>
      <c r="B127" s="37">
        <v>2008</v>
      </c>
      <c r="D127" s="25">
        <v>2007</v>
      </c>
      <c r="E127" s="23">
        <f>IF(D127&lt;=B129,B124*EXP(B125*(D127-D125)),"")</f>
        <v>107250818.12542166</v>
      </c>
      <c r="F127" s="24">
        <f>IF(D127&gt;B129,"",IF(B127&gt;D127,"",IF(B127=D127,B128,IF(B127&lt;D127,(D127-B127)*B131+B128,B130))))</f>
      </c>
      <c r="G127" s="23">
        <f>IF(ISERR(F127*E127),IF(D127&gt;B129,G126,""),F127*E127)</f>
      </c>
      <c r="H127" s="23"/>
      <c r="I127" s="34"/>
    </row>
    <row r="128" spans="1:9" s="33" customFormat="1" ht="12.75">
      <c r="A128" s="33" t="s">
        <v>891</v>
      </c>
      <c r="B128" s="36">
        <v>0.45</v>
      </c>
      <c r="C128" s="35"/>
      <c r="D128" s="25">
        <v>2008</v>
      </c>
      <c r="E128" s="23">
        <f>IF(D128&lt;=B129,B124*EXP(B125*(D128-D125)),"")</f>
        <v>111071061.03557052</v>
      </c>
      <c r="F128" s="24">
        <f>IF(D128&gt;B129,"",IF(B127&gt;D128,"",IF(B127=D128,B128,IF(B127&lt;D128,(D128-B127)*B131+B128,B130))))</f>
        <v>0.45</v>
      </c>
      <c r="G128" s="23">
        <f>IF(ISERR(F128*E128),IF(D128&gt;B129,G127,""),F128*E128)</f>
        <v>49981977.46600673</v>
      </c>
      <c r="H128" s="23"/>
      <c r="I128" s="34"/>
    </row>
    <row r="129" spans="1:9" ht="12.75">
      <c r="A129" t="s">
        <v>890</v>
      </c>
      <c r="B129" s="32">
        <v>2012</v>
      </c>
      <c r="C129" s="30"/>
      <c r="D129" s="25">
        <v>2009</v>
      </c>
      <c r="E129" s="23">
        <f>IF(D129&lt;=B129,B124*EXP(B125*(D129-D125)),"")</f>
        <v>115027379.88572274</v>
      </c>
      <c r="F129" s="24">
        <f>IF(D129&gt;B129,"",IF(B127&gt;D129,"",IF(B127=D129,B128,IF(B127&lt;D129,(D129-B127)*B131+B128,B130))))</f>
        <v>0.5625</v>
      </c>
      <c r="G129" s="23">
        <f>IF(ISERR(F129*E129),IF(D129&gt;B129,G128,""),F129*E129)</f>
        <v>64702901.18571904</v>
      </c>
      <c r="H129" s="22">
        <f>IF(ISERR(G129-G128),"",(G129-G128))</f>
        <v>14720923.71971231</v>
      </c>
      <c r="I129" s="21">
        <f>IF(ISERR(B126*H129),"",((B126*H129)))</f>
        <v>6182787962.27917</v>
      </c>
    </row>
    <row r="130" spans="1:9" ht="12.75">
      <c r="A130" t="s">
        <v>921</v>
      </c>
      <c r="B130" s="31">
        <v>0.9</v>
      </c>
      <c r="C130" s="30"/>
      <c r="D130" s="25">
        <v>2010</v>
      </c>
      <c r="E130" s="23">
        <f>IF(D130&lt;=B129,B124*EXP(B125*(D130-D125)),"")</f>
        <v>119124621.66123581</v>
      </c>
      <c r="F130" s="24">
        <f>IF(D130&gt;B129,"",IF(B127&gt;D130,"",IF(B127=D130,B128,IF(B127&lt;D130,(D130-B127)*B131+B128,B130))))</f>
        <v>0.675</v>
      </c>
      <c r="G130" s="23">
        <f>IF(ISERR(F130*E130),IF(D130&gt;B129,G129,""),F130*E130)</f>
        <v>80409119.62133418</v>
      </c>
      <c r="H130" s="22">
        <f>IF(ISERR(G130-G128),"",(G130-G128))</f>
        <v>30427142.155327447</v>
      </c>
      <c r="I130" s="21">
        <f>IF(ISERR(B126*H130),"",((B126*H130)))</f>
        <v>12779399705.237528</v>
      </c>
    </row>
    <row r="131" spans="1:9" ht="12.75">
      <c r="A131" s="29" t="s">
        <v>920</v>
      </c>
      <c r="B131" s="28">
        <f>(B130-B128)/(B129-B127)</f>
        <v>0.1125</v>
      </c>
      <c r="D131" s="25">
        <v>2011</v>
      </c>
      <c r="E131" s="23">
        <f>IF(D131&lt;=B129,B124*EXP(B125*(D131-D125)),"")</f>
        <v>123367805.99567431</v>
      </c>
      <c r="F131" s="24">
        <f>IF(D131&gt;B129,"",IF(B127&gt;D131,"",IF(B127=D131,B128,IF(B127&lt;D131,(D131-B127)*B131+B128,B130))))</f>
        <v>0.7875000000000001</v>
      </c>
      <c r="G131" s="23">
        <f>IF(ISERR(F131*E131),IF(D131&gt;B129,G130,""),F131*E131)</f>
        <v>97152147.22159353</v>
      </c>
      <c r="H131" s="22">
        <f>IF(ISERR(G131-G128),"",(G131-G128))</f>
        <v>47170169.755586796</v>
      </c>
      <c r="I131" s="21">
        <f>IF(ISERR(B126*H131),"",((B126*H131)))</f>
        <v>19811471297.346455</v>
      </c>
    </row>
    <row r="132" spans="1:9" ht="12.75">
      <c r="A132"/>
      <c r="D132" s="25">
        <v>2012</v>
      </c>
      <c r="E132" s="23">
        <f>IF(D132&lt;=B129,B124*EXP(B125*(D132-D125)),"")</f>
        <v>127762131.32048866</v>
      </c>
      <c r="F132" s="24">
        <f>IF(D132&gt;B129,"",IF(B127&gt;D132,"",IF(B127=D132,B128,IF(B127&lt;D132,(D132-B127)*B131+B128,B130))))</f>
        <v>0.9</v>
      </c>
      <c r="G132" s="23">
        <f>IF(ISERR(F132*E132),IF(D132&gt;B129,G131,""),F132*E132)</f>
        <v>114985918.1884398</v>
      </c>
      <c r="H132" s="22">
        <f>IF(ISERR(G132-G128),"",(G132-G128))</f>
        <v>65003940.72243307</v>
      </c>
      <c r="I132" s="21">
        <f>IF(ISERR(B126*H132),"",((B126*H132)))</f>
        <v>27301655103.42189</v>
      </c>
    </row>
    <row r="133" spans="1:9" ht="12.75">
      <c r="A133"/>
      <c r="D133" s="25">
        <v>2013</v>
      </c>
      <c r="E133" s="23">
        <f>IF(D133&lt;=B129,B124*EXP(B125*(D133-D125)),"")</f>
      </c>
      <c r="F133" s="24">
        <f>IF(D133&gt;B129,"",IF(B127&gt;D133,"",IF(B127=D133,B128,IF(B127&lt;D133,(D133-B127)*B131+B128,B130))))</f>
      </c>
      <c r="G133" s="23">
        <f>IF(ISERR(F133*E133),IF(D133&gt;B129,G132,""),F133*E133)</f>
        <v>114985918.1884398</v>
      </c>
      <c r="H133" s="22">
        <f>IF(ISERR(G133-G128),"",(G133-G128))</f>
        <v>65003940.72243307</v>
      </c>
      <c r="I133" s="21">
        <f>IF(ISERR(B126*H133),"",((B126*H133)))</f>
        <v>27301655103.42189</v>
      </c>
    </row>
    <row r="134" spans="1:9" ht="12.75">
      <c r="A134" t="s">
        <v>915</v>
      </c>
      <c r="B134" s="27">
        <f>VLOOKUP(B129,D125:I150,6,FALSE)</f>
        <v>27301655103.42189</v>
      </c>
      <c r="D134" s="25">
        <v>2014</v>
      </c>
      <c r="E134" s="23">
        <f>IF(D134&lt;=B129,B124*EXP(B125*(D134-D125)),"")</f>
      </c>
      <c r="F134" s="24">
        <f>IF(D134&gt;B129,"",IF(B127&gt;D134,"",IF(B127=D134,B128,IF(B127&lt;D134,(D134-B127)*B131+B128,B130))))</f>
      </c>
      <c r="G134" s="23">
        <f>IF(ISERR(F134*E134),IF(D134&gt;B129,G133,""),F134*E134)</f>
        <v>114985918.1884398</v>
      </c>
      <c r="H134" s="22">
        <f>IF(ISERR(G134-G128),"",(G134-G128))</f>
        <v>65003940.72243307</v>
      </c>
      <c r="I134" s="21">
        <f>IF(ISERR(B126*H134),"",((B126*H134)))</f>
        <v>27301655103.42189</v>
      </c>
    </row>
    <row r="135" spans="1:9" ht="12.75">
      <c r="A135" t="s">
        <v>914</v>
      </c>
      <c r="B135" s="27">
        <f>SUM(I129:I150)</f>
        <v>557505105929.8789</v>
      </c>
      <c r="D135" s="25">
        <v>2015</v>
      </c>
      <c r="E135" s="23">
        <f>IF(D135&lt;=B129,B124*EXP(B125*(D135-D125)),"")</f>
      </c>
      <c r="F135" s="24">
        <f>IF(D135&gt;B129,"",IF(B127&gt;D135,"",IF(B127=D135,B128,IF(B127&lt;D135,(D135-B127)*B131+B128,B130))))</f>
      </c>
      <c r="G135" s="23">
        <f>IF(ISERR(F135*E135),IF(D135&gt;B129,G134,""),F135*E135)</f>
        <v>114985918.1884398</v>
      </c>
      <c r="H135" s="22">
        <f>IF(ISERR(G135-G128),"",(G135-G128))</f>
        <v>65003940.72243307</v>
      </c>
      <c r="I135" s="21">
        <f>IF(ISERR(B126*H135),"",((B126*H135)))</f>
        <v>27301655103.42189</v>
      </c>
    </row>
    <row r="136" spans="1:9" ht="12.75">
      <c r="A136" t="s">
        <v>1068</v>
      </c>
      <c r="B136" s="26">
        <f>B134/(10^12)</f>
        <v>0.02730165510342189</v>
      </c>
      <c r="D136" s="25">
        <v>2016</v>
      </c>
      <c r="E136" s="23">
        <f>IF(D136&lt;=B129,B124*EXP(B125*(D136-D125)),"")</f>
      </c>
      <c r="F136" s="24">
        <f>IF(D136&gt;B129,"",IF(B127&gt;D136,"",IF(B127=D136,B128,IF(B127&lt;D136,(D136-B127)*B131+B128,B130))))</f>
      </c>
      <c r="G136" s="23">
        <f>IF(ISERR(F136*E136),IF(D136&gt;B129,G135,""),F136*E136)</f>
        <v>114985918.1884398</v>
      </c>
      <c r="H136" s="22">
        <f>IF(ISERR(G136-G128),"",(G136-G128))</f>
        <v>65003940.72243307</v>
      </c>
      <c r="I136" s="21">
        <f>IF(ISERR(B126*H136),"",((B126*H136)))</f>
        <v>27301655103.42189</v>
      </c>
    </row>
    <row r="137" spans="1:9" ht="12.75">
      <c r="A137" t="s">
        <v>1067</v>
      </c>
      <c r="B137" s="26">
        <f>B135/(10^12)</f>
        <v>0.5575051059298789</v>
      </c>
      <c r="D137" s="25">
        <v>2017</v>
      </c>
      <c r="E137" s="23">
        <f>IF(D137&lt;=B129,B124*EXP(B125*(D137-D125)),"")</f>
      </c>
      <c r="F137" s="24">
        <f>IF(D137&gt;B129,"",IF(B127&gt;D137,"",IF(B127=D137,B128,IF(B127&lt;D137,(D137-B127)*B131+B128,B130))))</f>
      </c>
      <c r="G137" s="23">
        <f>IF(ISERR(F137*E137),IF(D137&gt;B129,G136,""),F137*E137)</f>
        <v>114985918.1884398</v>
      </c>
      <c r="H137" s="22">
        <f>IF(ISERR(G137-G128),"",(G137-G128))</f>
        <v>65003940.72243307</v>
      </c>
      <c r="I137" s="21">
        <f>IF(ISERR(B126*H137),"",((B126*H137)))</f>
        <v>27301655103.42189</v>
      </c>
    </row>
    <row r="138" spans="1:9" ht="12.75">
      <c r="A138"/>
      <c r="D138" s="25">
        <v>2018</v>
      </c>
      <c r="E138" s="23">
        <f>IF(D138&lt;=B129,B124*EXP(B125*(D138-D125)),"")</f>
      </c>
      <c r="F138" s="24">
        <f>IF(D138&gt;B129,"",IF(B127&gt;D138,"",IF(B127=D138,B128,IF(B127&lt;D138,(D138-B127)*B131+B128,B130))))</f>
      </c>
      <c r="G138" s="23">
        <f>IF(ISERR(F138*E138),IF(D138&gt;B129,G137,""),F138*E138)</f>
        <v>114985918.1884398</v>
      </c>
      <c r="H138" s="22">
        <f>IF(ISERR(G138-G128),"",(G138-G128))</f>
        <v>65003940.72243307</v>
      </c>
      <c r="I138" s="21">
        <f>IF(ISERR(B126*H138),"",((B126*H138)))</f>
        <v>27301655103.42189</v>
      </c>
    </row>
    <row r="139" spans="1:9" ht="12.75">
      <c r="A139"/>
      <c r="D139" s="25">
        <v>2019</v>
      </c>
      <c r="E139" s="23">
        <f>IF(D139&lt;=B129,B124*EXP(B125*(D139-D125)),"")</f>
      </c>
      <c r="F139" s="24">
        <f>IF(D139&gt;B129,"",IF(B127&gt;D139,"",IF(B127=D139,B128,IF(B127&lt;D139,(D139-B127)*B131+B128,B130))))</f>
      </c>
      <c r="G139" s="23">
        <f>IF(ISERR(F139*E139),IF(D139&gt;B129,G138,""),F139*E139)</f>
        <v>114985918.1884398</v>
      </c>
      <c r="H139" s="22">
        <f>IF(ISERR(G139-G128),"",(G139-G128))</f>
        <v>65003940.72243307</v>
      </c>
      <c r="I139" s="21">
        <f>IF(ISERR(B126*H139),"",((B126*H139)))</f>
        <v>27301655103.42189</v>
      </c>
    </row>
    <row r="140" spans="1:9" ht="12.75">
      <c r="A140"/>
      <c r="D140" s="25">
        <v>2020</v>
      </c>
      <c r="E140" s="23">
        <f>IF(D140&lt;=B129,B124*EXP(B125*(D140-D125)),"")</f>
      </c>
      <c r="F140" s="24">
        <f>IF(D140&gt;B129,"",IF(B127&gt;D140,"",IF(B127=D140,B128,IF(B127&lt;D140,(D140-B127)*B131+B128,B130))))</f>
      </c>
      <c r="G140" s="23">
        <f>IF(ISERR(F140*E140),IF(D140&gt;B129,G139,""),F140*E140)</f>
        <v>114985918.1884398</v>
      </c>
      <c r="H140" s="22">
        <f>IF(ISERR(G140-G128),"",(G140-G128))</f>
        <v>65003940.72243307</v>
      </c>
      <c r="I140" s="21">
        <f>IF(ISERR(B126*H140),"",((B126*H140)))</f>
        <v>27301655103.42189</v>
      </c>
    </row>
    <row r="141" spans="1:9" ht="12.75">
      <c r="A141"/>
      <c r="D141" s="25">
        <v>2021</v>
      </c>
      <c r="E141" s="23">
        <f>IF(D141&lt;=B129,B124*EXP(B125*(D141-D125)),"")</f>
      </c>
      <c r="F141" s="24">
        <f>IF(D141&gt;B129,"",IF(B127&gt;D141,"",IF(B127=D141,B128,IF(B127&lt;D141,(D141-B127)*B131+B128,B130))))</f>
      </c>
      <c r="G141" s="23">
        <f>IF(ISERR(F141*E141),IF(D141&gt;B129,G140,""),F141*E141)</f>
        <v>114985918.1884398</v>
      </c>
      <c r="H141" s="22">
        <f>IF(ISERR(G141-G128),"",(G141-G128))</f>
        <v>65003940.72243307</v>
      </c>
      <c r="I141" s="21">
        <f>IF(ISERR(B126*H141),"",((B126*H141)))</f>
        <v>27301655103.42189</v>
      </c>
    </row>
    <row r="142" spans="1:9" ht="12.75">
      <c r="A142"/>
      <c r="D142" s="25">
        <v>2022</v>
      </c>
      <c r="E142" s="23">
        <f>IF(D142&lt;=B129,B124*EXP(B125*(D142-D125)),"")</f>
      </c>
      <c r="F142" s="24">
        <f>IF(D142&gt;B129,"",IF(B127&gt;D142,"",IF(B127=D142,B128,IF(B127&lt;D142,(D142-B127)*B131+B128,B130))))</f>
      </c>
      <c r="G142" s="23">
        <f>IF(ISERR(F142*E142),IF(D142&gt;B129,G141,""),F142*E142)</f>
        <v>114985918.1884398</v>
      </c>
      <c r="H142" s="22">
        <f>IF(ISERR(G142-G128),"",(G142-G128))</f>
        <v>65003940.72243307</v>
      </c>
      <c r="I142" s="21">
        <f>IF(ISERR(B126*H142),"",((B126*H142)))</f>
        <v>27301655103.42189</v>
      </c>
    </row>
    <row r="143" spans="1:9" ht="12.75">
      <c r="A143"/>
      <c r="D143" s="25">
        <v>2023</v>
      </c>
      <c r="E143" s="23">
        <f>IF(D143&lt;=B129,B124*EXP(B125*(D143-D125)),"")</f>
      </c>
      <c r="F143" s="24">
        <f>IF(D143&gt;B129,"",IF(B127&gt;D143,"",IF(B127=D143,B128,IF(B127&lt;D143,(D143-B127)*B131+B128,B130))))</f>
      </c>
      <c r="G143" s="23">
        <f>IF(ISERR(F143*E143),IF(D143&gt;B129,G142,""),F143*E143)</f>
        <v>114985918.1884398</v>
      </c>
      <c r="H143" s="22">
        <f>IF(ISERR(G143-G128),"",(G143-G128))</f>
        <v>65003940.72243307</v>
      </c>
      <c r="I143" s="21">
        <f>IF(ISERR(B126*H143),"",((B126*H143)))</f>
        <v>27301655103.42189</v>
      </c>
    </row>
    <row r="144" spans="1:9" ht="12.75">
      <c r="A144"/>
      <c r="D144" s="25">
        <v>2024</v>
      </c>
      <c r="E144" s="23">
        <f>IF(D144&lt;=B129,B124*EXP(B125*(D144-D125)),"")</f>
      </c>
      <c r="F144" s="24">
        <f>IF(D144&gt;B129,"",IF(B127&gt;D144,"",IF(B127=D144,B128,IF(B127&lt;D144,(D144-B127)*B131+B128,B130))))</f>
      </c>
      <c r="G144" s="23">
        <f>IF(ISERR(F144*E144),IF(D144&gt;B129,G143,""),F144*E144)</f>
        <v>114985918.1884398</v>
      </c>
      <c r="H144" s="22">
        <f>IF(ISERR(G144-G128),"",(G144-G128))</f>
        <v>65003940.72243307</v>
      </c>
      <c r="I144" s="21">
        <f>IF(ISERR(B126*H144),"",((B126*H144)))</f>
        <v>27301655103.42189</v>
      </c>
    </row>
    <row r="145" spans="1:9" ht="12.75">
      <c r="A145"/>
      <c r="D145" s="25">
        <v>2025</v>
      </c>
      <c r="E145" s="23">
        <f>IF(D145&lt;=B129,B124*EXP(B125*(D145-D125)),"")</f>
      </c>
      <c r="F145" s="24">
        <f>IF(D145&gt;B129,"",IF(B127&gt;D145,"",IF(B127=D145,B128,IF(B127&lt;D145,(D145-B127)*B131+B128,B130))))</f>
      </c>
      <c r="G145" s="23">
        <f>IF(ISERR(F145*E145),IF(D145&gt;B129,G144,""),F145*E145)</f>
        <v>114985918.1884398</v>
      </c>
      <c r="H145" s="22">
        <f>IF(ISERR(G145-G128),"",(G145-G128))</f>
        <v>65003940.72243307</v>
      </c>
      <c r="I145" s="21">
        <f>IF(ISERR(B126*H145),"",((B126*H145)))</f>
        <v>27301655103.42189</v>
      </c>
    </row>
    <row r="146" spans="1:9" ht="12.75">
      <c r="A146"/>
      <c r="D146" s="25">
        <v>2026</v>
      </c>
      <c r="E146" s="23">
        <f>IF(D146&lt;=B129,B124*EXP(B125*(D146-D125)),"")</f>
      </c>
      <c r="F146" s="24">
        <f>IF(D146&gt;B129,"",IF(B127&gt;D146,"",IF(B127=D146,B128,IF(B127&lt;D146,(D146-B127)*B131+B128,B130))))</f>
      </c>
      <c r="G146" s="23">
        <f>IF(ISERR(F146*E146),IF(D146&gt;B129,G145,""),F146*E146)</f>
        <v>114985918.1884398</v>
      </c>
      <c r="H146" s="22">
        <f>IF(ISERR(G146-G128),"",(G146-G128))</f>
        <v>65003940.72243307</v>
      </c>
      <c r="I146" s="21">
        <f>IF(ISERR(B126*H146),"",((B126*H146)))</f>
        <v>27301655103.42189</v>
      </c>
    </row>
    <row r="147" spans="1:9" ht="12.75">
      <c r="A147"/>
      <c r="D147" s="25">
        <v>2027</v>
      </c>
      <c r="E147" s="23">
        <f>IF(D147&lt;=B129,B124*EXP(B125*(D147-D125)),"")</f>
      </c>
      <c r="F147" s="24">
        <f>IF(D147&gt;B129,"",IF(B127&gt;D147,"",IF(B127=D147,B128,IF(B127&lt;D147,(D147-B127)*B131+B128,B130))))</f>
      </c>
      <c r="G147" s="23">
        <f>IF(ISERR(F147*E147),IF(D147&gt;B129,G146,""),F147*E147)</f>
        <v>114985918.1884398</v>
      </c>
      <c r="H147" s="22">
        <f>IF(ISERR(G147-G128),"",(G147-G128))</f>
        <v>65003940.72243307</v>
      </c>
      <c r="I147" s="21">
        <f>IF(ISERR(B126*H147),"",((B126*H147)))</f>
        <v>27301655103.42189</v>
      </c>
    </row>
    <row r="148" spans="1:9" ht="12.75">
      <c r="A148"/>
      <c r="D148" s="25">
        <v>2028</v>
      </c>
      <c r="E148" s="23">
        <f>IF(D148&lt;=B129,B124*EXP(B125*(D148-D125)),"")</f>
      </c>
      <c r="F148" s="24">
        <f>IF(D148&gt;B129,"",IF(B127&gt;D148,"",IF(B127=D148,B128,IF(B127&lt;D148,(D148-B127)*B131+B128,B130))))</f>
      </c>
      <c r="G148" s="23">
        <f>IF(ISERR(F148*E148),IF(D148&gt;B129,G147,""),F148*E148)</f>
        <v>114985918.1884398</v>
      </c>
      <c r="H148" s="22">
        <f>IF(ISERR(G148-G128),"",(G148-G128))</f>
        <v>65003940.72243307</v>
      </c>
      <c r="I148" s="21">
        <f>IF(ISERR(B126*H148),"",((B126*H148)))</f>
        <v>27301655103.42189</v>
      </c>
    </row>
    <row r="149" spans="1:9" ht="12.75">
      <c r="A149"/>
      <c r="D149" s="25">
        <v>2029</v>
      </c>
      <c r="E149" s="23">
        <f>IF(D149&lt;=B129,B124*EXP(B125*(D149-D125)),"")</f>
      </c>
      <c r="F149" s="24">
        <f>IF(D149&gt;B129,"",IF(B127&gt;D149,"",IF(B127=D149,B128,IF(B127&lt;D149,(D149-B127)*B131+B128,B130))))</f>
      </c>
      <c r="G149" s="23">
        <f>IF(ISERR(F149*E149),IF(D149&gt;B129,G148,""),F149*E149)</f>
        <v>114985918.1884398</v>
      </c>
      <c r="H149" s="22">
        <f>IF(ISERR(G149-G128),"",(G149-G128))</f>
        <v>65003940.72243307</v>
      </c>
      <c r="I149" s="21">
        <f>IF(ISERR(B126*H149),"",((B126*H149)))</f>
        <v>27301655103.42189</v>
      </c>
    </row>
    <row r="150" spans="1:9" ht="13.5" thickBot="1">
      <c r="A150"/>
      <c r="D150" s="20">
        <v>2030</v>
      </c>
      <c r="E150" s="18">
        <f>IF(D150&lt;=B129,B124*EXP(B125*(D150-D125)),"")</f>
      </c>
      <c r="F150" s="19">
        <f>IF(D150&gt;B129,"",IF(B127&gt;D150,"",IF(B127=D150,B128,IF(B127&lt;D150,(D150-B127)*B131+B128,B130))))</f>
      </c>
      <c r="G150" s="18">
        <f>IF(ISERR(F150*E150),IF(D150&gt;B129,G149,""),F150*E150)</f>
        <v>114985918.1884398</v>
      </c>
      <c r="H150" s="17">
        <f>IF(ISERR(G150-G128),"",(G150-G128))</f>
        <v>65003940.72243307</v>
      </c>
      <c r="I150" s="16">
        <f>IF(ISERR(B126*H150),"",((B126*H150)))</f>
        <v>27301655103.42189</v>
      </c>
    </row>
    <row r="153" spans="1:9" ht="12.75">
      <c r="A153" s="466" t="s">
        <v>875</v>
      </c>
      <c r="B153" s="467"/>
      <c r="C153" s="467"/>
      <c r="D153" s="467"/>
      <c r="E153" s="467"/>
      <c r="F153" s="467"/>
      <c r="G153" s="55"/>
      <c r="H153" s="55"/>
      <c r="I153" s="54"/>
    </row>
    <row r="154" spans="1:9" ht="12.75">
      <c r="A154" s="468" t="s">
        <v>889</v>
      </c>
      <c r="B154" s="471"/>
      <c r="C154" s="471"/>
      <c r="D154" s="471"/>
      <c r="E154" s="471"/>
      <c r="F154" s="471"/>
      <c r="G154" s="52"/>
      <c r="H154" s="52"/>
      <c r="I154" s="51"/>
    </row>
    <row r="155" spans="1:9" ht="12.75">
      <c r="A155" s="470" t="s">
        <v>888</v>
      </c>
      <c r="B155" s="469"/>
      <c r="C155" s="469"/>
      <c r="D155" s="469"/>
      <c r="E155" s="469"/>
      <c r="F155" s="469"/>
      <c r="G155" s="52"/>
      <c r="H155" s="52"/>
      <c r="I155" s="51"/>
    </row>
    <row r="156" spans="1:9" ht="12.75">
      <c r="A156" s="473" t="s">
        <v>887</v>
      </c>
      <c r="B156" s="474"/>
      <c r="C156" s="474"/>
      <c r="D156" s="474"/>
      <c r="E156" s="474"/>
      <c r="F156" s="474"/>
      <c r="G156" s="49"/>
      <c r="H156" s="49"/>
      <c r="I156" s="48"/>
    </row>
    <row r="158" spans="1:2" ht="13.5" thickBot="1">
      <c r="A158" t="s">
        <v>886</v>
      </c>
      <c r="B158" t="s">
        <v>958</v>
      </c>
    </row>
    <row r="159" spans="1:9" ht="51">
      <c r="A159" t="s">
        <v>743</v>
      </c>
      <c r="B159" t="s">
        <v>933</v>
      </c>
      <c r="D159" s="46" t="s">
        <v>932</v>
      </c>
      <c r="E159" s="45" t="s">
        <v>931</v>
      </c>
      <c r="F159" s="45" t="s">
        <v>930</v>
      </c>
      <c r="G159" s="45" t="s">
        <v>929</v>
      </c>
      <c r="H159" s="45" t="s">
        <v>1086</v>
      </c>
      <c r="I159" s="44" t="s">
        <v>928</v>
      </c>
    </row>
    <row r="160" spans="1:9" ht="13.5" thickBot="1">
      <c r="A160" t="s">
        <v>927</v>
      </c>
      <c r="B160" s="58">
        <f>5*10^7</f>
        <v>50000000</v>
      </c>
      <c r="C160" s="57"/>
      <c r="D160" s="43"/>
      <c r="E160" s="41" t="s">
        <v>863</v>
      </c>
      <c r="F160" s="42" t="s">
        <v>862</v>
      </c>
      <c r="G160" s="41" t="s">
        <v>861</v>
      </c>
      <c r="H160" s="41" t="s">
        <v>860</v>
      </c>
      <c r="I160" s="40" t="s">
        <v>859</v>
      </c>
    </row>
    <row r="161" spans="1:9" ht="13.5" thickTop="1">
      <c r="A161" t="s">
        <v>858</v>
      </c>
      <c r="B161" s="31">
        <v>0.035</v>
      </c>
      <c r="C161" s="30"/>
      <c r="D161" s="25">
        <v>2005</v>
      </c>
      <c r="E161" s="23">
        <f>IF(D161&lt;=B165,B160*EXP(B161*(D161-D161)),"")</f>
        <v>50000000</v>
      </c>
      <c r="F161" s="24">
        <f>IF(D161&gt;B165,"",IF(B163&gt;D161,"",IF(B163=D161,B164,IF(B163&lt;D161,(D161-B163)*B167+B164,B166))))</f>
      </c>
      <c r="G161" s="23">
        <f>IF(ISERR(F161*E161),IF(D161&gt;B165,G160,""),F161*E161)</f>
      </c>
      <c r="H161" s="39"/>
      <c r="I161" s="38"/>
    </row>
    <row r="162" spans="1:9" ht="12.75">
      <c r="A162" t="s">
        <v>857</v>
      </c>
      <c r="B162" s="37">
        <v>420</v>
      </c>
      <c r="D162" s="25">
        <v>2006</v>
      </c>
      <c r="E162" s="23">
        <f>IF(D162&lt;=B165,B160*EXP(B161*(D162-D161)),"")</f>
        <v>51780985.43998116</v>
      </c>
      <c r="F162" s="24">
        <f>IF(D162&gt;B165,"",IF(B163&gt;D162,"",IF(B163=D162,B164,IF(B163&lt;D162,(D162-B163)*B167+B164,B166))))</f>
      </c>
      <c r="G162" s="23">
        <f>IF(ISERR(F162*E162),IF(D162&gt;B165,G161,""),F162*E162)</f>
      </c>
      <c r="H162" s="23"/>
      <c r="I162" s="34"/>
    </row>
    <row r="163" spans="1:9" ht="12.75">
      <c r="A163" t="s">
        <v>856</v>
      </c>
      <c r="B163" s="37">
        <v>2008</v>
      </c>
      <c r="D163" s="25">
        <v>2007</v>
      </c>
      <c r="E163" s="23">
        <f>IF(D163&lt;=B165,B160*EXP(B161*(D163-D161)),"")</f>
        <v>53625409.06271083</v>
      </c>
      <c r="F163" s="24">
        <f>IF(D163&gt;B165,"",IF(B163&gt;D163,"",IF(B163=D163,B164,IF(B163&lt;D163,(D163-B163)*B167+B164,B166))))</f>
      </c>
      <c r="G163" s="23">
        <f>IF(ISERR(F163*E163),IF(D163&gt;B165,G162,""),F163*E163)</f>
      </c>
      <c r="H163" s="23"/>
      <c r="I163" s="34"/>
    </row>
    <row r="164" spans="1:9" s="33" customFormat="1" ht="12.75">
      <c r="A164" s="33" t="s">
        <v>855</v>
      </c>
      <c r="B164" s="36">
        <v>0.032</v>
      </c>
      <c r="C164" s="35"/>
      <c r="D164" s="25">
        <v>2008</v>
      </c>
      <c r="E164" s="23">
        <f>IF(D164&lt;=B165,B160*EXP(B161*(D164-D161)),"")</f>
        <v>55535530.51778526</v>
      </c>
      <c r="F164" s="24">
        <f>IF(D164&gt;B165,"",IF(B163&gt;D164,"",IF(B163=D164,B164,IF(B163&lt;D164,(D164-B163)*B167+B164,B166))))</f>
        <v>0.032</v>
      </c>
      <c r="G164" s="23">
        <f>IF(ISERR(F164*E164),IF(D164&gt;B165,G163,""),F164*E164)</f>
        <v>1777136.9765691282</v>
      </c>
      <c r="H164" s="23"/>
      <c r="I164" s="34"/>
    </row>
    <row r="165" spans="1:9" ht="12.75">
      <c r="A165" t="s">
        <v>854</v>
      </c>
      <c r="B165" s="32">
        <v>2020</v>
      </c>
      <c r="C165" s="30"/>
      <c r="D165" s="25">
        <v>2009</v>
      </c>
      <c r="E165" s="23">
        <f>IF(D165&lt;=B165,B160*EXP(B161*(D165-D161)),"")</f>
        <v>57513689.94286137</v>
      </c>
      <c r="F165" s="24">
        <f>IF(D165&gt;B165,"",IF(B163&gt;D165,"",IF(B163=D165,B164,IF(B163&lt;D165,(D165-B163)*B167+B164,B166))))</f>
        <v>0.07100000000000001</v>
      </c>
      <c r="G165" s="23">
        <f>IF(ISERR(F165*E165),IF(D165&gt;B165,G164,""),F165*E165)</f>
        <v>4083471.9859431577</v>
      </c>
      <c r="H165" s="22">
        <f>IF(ISERR(G165-G164),"",(G165-G164))</f>
        <v>2306335.0093740295</v>
      </c>
      <c r="I165" s="21">
        <f>IF(ISERR(B162*H165),"",((B162*H165)))</f>
        <v>968660703.9370924</v>
      </c>
    </row>
    <row r="166" spans="1:9" ht="12.75">
      <c r="A166" t="s">
        <v>921</v>
      </c>
      <c r="B166" s="31">
        <v>0.5</v>
      </c>
      <c r="C166" s="30"/>
      <c r="D166" s="25">
        <v>2010</v>
      </c>
      <c r="E166" s="23">
        <f>IF(D166&lt;=B165,B160*EXP(B161*(D166-D161)),"")</f>
        <v>59562310.830617905</v>
      </c>
      <c r="F166" s="24">
        <f>IF(D166&gt;B165,"",IF(B163&gt;D166,"",IF(B163=D166,B164,IF(B163&lt;D166,(D166-B163)*B167+B164,B166))))</f>
        <v>0.11</v>
      </c>
      <c r="G166" s="23">
        <f>IF(ISERR(F166*E166),IF(D166&gt;B165,G165,""),F166*E166)</f>
        <v>6551854.19136797</v>
      </c>
      <c r="H166" s="22">
        <f>IF(ISERR(G166-G164),"",(G166-G164))</f>
        <v>4774717.214798842</v>
      </c>
      <c r="I166" s="21">
        <f>IF(ISERR(B162*H166),"",((B162*H166)))</f>
        <v>2005381230.2155135</v>
      </c>
    </row>
    <row r="167" spans="1:9" ht="12.75">
      <c r="A167" s="29" t="s">
        <v>920</v>
      </c>
      <c r="B167" s="28">
        <f>(B166-B164)/(B165-B163)</f>
        <v>0.039</v>
      </c>
      <c r="D167" s="25">
        <v>2011</v>
      </c>
      <c r="E167" s="23">
        <f>IF(D167&lt;=B165,B160*EXP(B161*(D167-D161)),"")</f>
        <v>61683902.997837156</v>
      </c>
      <c r="F167" s="24">
        <f>IF(D167&gt;B165,"",IF(B163&gt;D167,"",IF(B163=D167,B164,IF(B163&lt;D167,(D167-B163)*B167+B164,B166))))</f>
        <v>0.149</v>
      </c>
      <c r="G167" s="23">
        <f>IF(ISERR(F167*E167),IF(D167&gt;B165,G166,""),F167*E167)</f>
        <v>9190901.546677737</v>
      </c>
      <c r="H167" s="22">
        <f>IF(ISERR(G167-G164),"",(G167-G164))</f>
        <v>7413764.570108608</v>
      </c>
      <c r="I167" s="21">
        <f>IF(ISERR(B162*H167),"",((B162*H167)))</f>
        <v>3113781119.4456153</v>
      </c>
    </row>
    <row r="168" spans="1:9" ht="12.75">
      <c r="A168"/>
      <c r="D168" s="25">
        <v>2012</v>
      </c>
      <c r="E168" s="23">
        <f>IF(D168&lt;=B165,B160*EXP(B161*(D168-D161)),"")</f>
        <v>63881065.66024433</v>
      </c>
      <c r="F168" s="24">
        <f>IF(D168&gt;B165,"",IF(B163&gt;D168,"",IF(B163=D168,B164,IF(B163&lt;D168,(D168-B163)*B167+B164,B166))))</f>
        <v>0.188</v>
      </c>
      <c r="G168" s="23">
        <f>IF(ISERR(F168*E168),IF(D168&gt;B165,G167,""),F168*E168)</f>
        <v>12009640.344125934</v>
      </c>
      <c r="H168" s="22">
        <f>IF(ISERR(G168-G164),"",(G168-G164))</f>
        <v>10232503.367556807</v>
      </c>
      <c r="I168" s="21">
        <f>IF(ISERR(B162*H168),"",((B162*H168)))</f>
        <v>4297651414.373858</v>
      </c>
    </row>
    <row r="169" spans="1:9" ht="12.75">
      <c r="A169"/>
      <c r="D169" s="25">
        <v>2013</v>
      </c>
      <c r="E169" s="23">
        <f>IF(D169&lt;=B165,B160*EXP(B161*(D169-D161)),"")</f>
        <v>66156490.61687184</v>
      </c>
      <c r="F169" s="24">
        <f>IF(D169&gt;B165,"",IF(B163&gt;D169,"",IF(B163=D169,B164,IF(B163&lt;D169,(D169-B163)*B167+B164,B166))))</f>
        <v>0.227</v>
      </c>
      <c r="G169" s="23">
        <f>IF(ISERR(F169*E169),IF(D169&gt;B165,G168,""),F169*E169)</f>
        <v>15017523.370029908</v>
      </c>
      <c r="H169" s="22">
        <f>IF(ISERR(G169-G164),"",(G169-G164))</f>
        <v>13240386.39346078</v>
      </c>
      <c r="I169" s="21">
        <f>IF(ISERR(B162*H169),"",((B162*H169)))</f>
        <v>5560962285.253528</v>
      </c>
    </row>
    <row r="170" spans="1:9" ht="12.75">
      <c r="A170" t="s">
        <v>915</v>
      </c>
      <c r="B170" s="27">
        <f>VLOOKUP(B165,D161:I186,6,FALSE)</f>
        <v>17003420377.821424</v>
      </c>
      <c r="D170" s="25">
        <v>2014</v>
      </c>
      <c r="E170" s="23">
        <f>IF(D170&lt;=B165,B160*EXP(B161*(D170-D161)),"")</f>
        <v>68512965.54784983</v>
      </c>
      <c r="F170" s="24">
        <f>IF(D170&gt;B165,"",IF(B163&gt;D170,"",IF(B163=D170,B164,IF(B163&lt;D170,(D170-B163)*B167+B164,B166))))</f>
        <v>0.266</v>
      </c>
      <c r="G170" s="23">
        <f>IF(ISERR(F170*E170),IF(D170&gt;B165,G169,""),F170*E170)</f>
        <v>18224448.835728057</v>
      </c>
      <c r="H170" s="22">
        <f>IF(ISERR(G170-G164),"",(G170-G164))</f>
        <v>16447311.85915893</v>
      </c>
      <c r="I170" s="21">
        <f>IF(ISERR(B162*H170),"",((B162*H170)))</f>
        <v>6907870980.84675</v>
      </c>
    </row>
    <row r="171" spans="1:9" ht="12.75">
      <c r="A171" t="s">
        <v>914</v>
      </c>
      <c r="B171" s="27">
        <f>SUM(I165:I186)</f>
        <v>267877204383.81934</v>
      </c>
      <c r="D171" s="25">
        <v>2015</v>
      </c>
      <c r="E171" s="23">
        <f>IF(D171&lt;=B165,B160*EXP(B161*(D171-D161)),"")</f>
        <v>70953377.42966287</v>
      </c>
      <c r="F171" s="24">
        <f>IF(D171&gt;B165,"",IF(B163&gt;D171,"",IF(B163=D171,B164,IF(B163&lt;D171,(D171-B163)*B167+B164,B166))))</f>
        <v>0.30500000000000005</v>
      </c>
      <c r="G171" s="23">
        <f>IF(ISERR(F171*E171),IF(D171&gt;B165,G170,""),F171*E171)</f>
        <v>21640780.116047177</v>
      </c>
      <c r="H171" s="22">
        <f>IF(ISERR(G171-G164),"",(G171-G164))</f>
        <v>19863643.13947805</v>
      </c>
      <c r="I171" s="21">
        <f>IF(ISERR(B162*H171),"",((B162*H171)))</f>
        <v>8342730118.580781</v>
      </c>
    </row>
    <row r="172" spans="1:9" ht="12.75">
      <c r="A172" t="s">
        <v>1068</v>
      </c>
      <c r="B172" s="26">
        <f>B170/(10^12)</f>
        <v>0.017003420377821425</v>
      </c>
      <c r="D172" s="25">
        <v>2016</v>
      </c>
      <c r="E172" s="23">
        <f>IF(D172&lt;=B165,B160*EXP(B161*(D172-D161)),"")</f>
        <v>73480716.07205722</v>
      </c>
      <c r="F172" s="24">
        <f>IF(D172&gt;B165,"",IF(B163&gt;D172,"",IF(B163=D172,B164,IF(B163&lt;D172,(D172-B163)*B167+B164,B166))))</f>
        <v>0.344</v>
      </c>
      <c r="G172" s="23">
        <f>IF(ISERR(F172*E172),IF(D172&gt;B165,G171,""),F172*E172)</f>
        <v>25277366.32878768</v>
      </c>
      <c r="H172" s="22">
        <f>IF(ISERR(G172-G164),"",(G172-G164))</f>
        <v>23500229.352218553</v>
      </c>
      <c r="I172" s="21">
        <f>IF(ISERR(B162*H172),"",((B162*H172)))</f>
        <v>9870096327.931793</v>
      </c>
    </row>
    <row r="173" spans="1:9" ht="12.75">
      <c r="A173" t="s">
        <v>1067</v>
      </c>
      <c r="B173" s="26">
        <f>B171/(10^12)</f>
        <v>0.26787720438381935</v>
      </c>
      <c r="D173" s="25">
        <v>2017</v>
      </c>
      <c r="E173" s="23">
        <f>IF(D173&lt;=B165,B160*EXP(B161*(D173-D161)),"")</f>
        <v>76098077.7809317</v>
      </c>
      <c r="F173" s="24">
        <f>IF(D173&gt;B165,"",IF(B163&gt;D173,"",IF(B163=D173,B164,IF(B163&lt;D173,(D173-B163)*B167+B164,B166))))</f>
        <v>0.383</v>
      </c>
      <c r="G173" s="23">
        <f>IF(ISERR(F173*E173),IF(D173&gt;B165,G172,""),F173*E173)</f>
        <v>29145563.79009684</v>
      </c>
      <c r="H173" s="22">
        <f>IF(ISERR(G173-G164),"",(G173-G164))</f>
        <v>27368426.813527714</v>
      </c>
      <c r="I173" s="21">
        <f>IF(ISERR(B162*H173),"",((B162*H173)))</f>
        <v>11494739261.68164</v>
      </c>
    </row>
    <row r="174" spans="1:9" ht="12.75">
      <c r="A174"/>
      <c r="D174" s="25">
        <v>2018</v>
      </c>
      <c r="E174" s="23">
        <f>IF(D174&lt;=B165,B160*EXP(B161*(D174-D161)),"")</f>
        <v>78808669.15169956</v>
      </c>
      <c r="F174" s="24">
        <f>IF(D174&gt;B165,"",IF(B163&gt;D174,"",IF(B163=D174,B164,IF(B163&lt;D174,(D174-B163)*B167+B164,B166))))</f>
        <v>0.42200000000000004</v>
      </c>
      <c r="G174" s="23">
        <f>IF(ISERR(F174*E174),IF(D174&gt;B165,G173,""),F174*E174)</f>
        <v>33257258.382017218</v>
      </c>
      <c r="H174" s="22">
        <f>IF(ISERR(G174-G164),"",(G174-G164))</f>
        <v>31480121.40544809</v>
      </c>
      <c r="I174" s="21">
        <f>IF(ISERR(B162*H174),"",((B162*H174)))</f>
        <v>13221650990.288198</v>
      </c>
    </row>
    <row r="175" spans="1:9" ht="12.75">
      <c r="A175"/>
      <c r="D175" s="25">
        <v>2019</v>
      </c>
      <c r="E175" s="23">
        <f>IF(D175&lt;=B165,B160*EXP(B161*(D175-D161)),"")</f>
        <v>81615810.99776895</v>
      </c>
      <c r="F175" s="24">
        <f>IF(D175&gt;B165,"",IF(B163&gt;D175,"",IF(B163=D175,B164,IF(B163&lt;D175,(D175-B163)*B167+B164,B166))))</f>
        <v>0.46099999999999997</v>
      </c>
      <c r="G175" s="23">
        <f>IF(ISERR(F175*E175),IF(D175&gt;B165,G174,""),F175*E175)</f>
        <v>37624888.869971484</v>
      </c>
      <c r="H175" s="22">
        <f>IF(ISERR(G175-G164),"",(G175-G164))</f>
        <v>35847751.89340235</v>
      </c>
      <c r="I175" s="21">
        <f>IF(ISERR(B162*H175),"",((B162*H175)))</f>
        <v>15056055795.228989</v>
      </c>
    </row>
    <row r="176" spans="1:9" ht="12.75">
      <c r="A176"/>
      <c r="D176" s="25">
        <v>2020</v>
      </c>
      <c r="E176" s="23">
        <f>IF(D176&lt;=B165,B160*EXP(B161*(D176-D161)),"")</f>
        <v>84522942.41895457</v>
      </c>
      <c r="F176" s="24">
        <f>IF(D176&gt;B165,"",IF(B163&gt;D176,"",IF(B163=D176,B164,IF(B163&lt;D176,(D176-B163)*B167+B164,B166))))</f>
        <v>0.5</v>
      </c>
      <c r="G176" s="23">
        <f>IF(ISERR(F176*E176),IF(D176&gt;B165,G175,""),F176*E176)</f>
        <v>42261471.20947728</v>
      </c>
      <c r="H176" s="22">
        <f>IF(ISERR(G176-G164),"",(G176-G164))</f>
        <v>40484334.23290815</v>
      </c>
      <c r="I176" s="21">
        <f>IF(ISERR(B162*H176),"",((B162*H176)))</f>
        <v>17003420377.821424</v>
      </c>
    </row>
    <row r="177" spans="1:9" ht="12.75">
      <c r="A177"/>
      <c r="D177" s="25">
        <v>2021</v>
      </c>
      <c r="E177" s="23">
        <f>IF(D177&lt;=B165,B160*EXP(B161*(D177-D161)),"")</f>
      </c>
      <c r="F177" s="24">
        <f>IF(D177&gt;B165,"",IF(B163&gt;D177,"",IF(B163=D177,B164,IF(B163&lt;D177,(D177-B163)*B167+B164,B166))))</f>
      </c>
      <c r="G177" s="23">
        <f>IF(ISERR(F177*E177),IF(D177&gt;B165,G176,""),F177*E177)</f>
        <v>42261471.20947728</v>
      </c>
      <c r="H177" s="22">
        <f>IF(ISERR(G177-G164),"",(G177-G164))</f>
        <v>40484334.23290815</v>
      </c>
      <c r="I177" s="21">
        <f>IF(ISERR(B162*H177),"",((B162*H177)))</f>
        <v>17003420377.821424</v>
      </c>
    </row>
    <row r="178" spans="1:9" ht="12.75">
      <c r="A178"/>
      <c r="D178" s="25">
        <v>2022</v>
      </c>
      <c r="E178" s="23">
        <f>IF(D178&lt;=B165,B160*EXP(B161*(D178-D161)),"")</f>
      </c>
      <c r="F178" s="24">
        <f>IF(D178&gt;B165,"",IF(B163&gt;D178,"",IF(B163=D178,B164,IF(B163&lt;D178,(D178-B163)*B167+B164,B166))))</f>
      </c>
      <c r="G178" s="23">
        <f>IF(ISERR(F178*E178),IF(D178&gt;B165,G177,""),F178*E178)</f>
        <v>42261471.20947728</v>
      </c>
      <c r="H178" s="22">
        <f>IF(ISERR(G178-G164),"",(G178-G164))</f>
        <v>40484334.23290815</v>
      </c>
      <c r="I178" s="21">
        <f>IF(ISERR(B162*H178),"",((B162*H178)))</f>
        <v>17003420377.821424</v>
      </c>
    </row>
    <row r="179" spans="1:9" ht="12.75">
      <c r="A179"/>
      <c r="D179" s="25">
        <v>2023</v>
      </c>
      <c r="E179" s="23">
        <f>IF(D179&lt;=B165,B160*EXP(B161*(D179-D161)),"")</f>
      </c>
      <c r="F179" s="24">
        <f>IF(D179&gt;B165,"",IF(B163&gt;D179,"",IF(B163=D179,B164,IF(B163&lt;D179,(D179-B163)*B167+B164,B166))))</f>
      </c>
      <c r="G179" s="23">
        <f>IF(ISERR(F179*E179),IF(D179&gt;B165,G178,""),F179*E179)</f>
        <v>42261471.20947728</v>
      </c>
      <c r="H179" s="22">
        <f>IF(ISERR(G179-G164),"",(G179-G164))</f>
        <v>40484334.23290815</v>
      </c>
      <c r="I179" s="21">
        <f>IF(ISERR(B162*H179),"",((B162*H179)))</f>
        <v>17003420377.821424</v>
      </c>
    </row>
    <row r="180" spans="1:9" ht="12.75">
      <c r="A180"/>
      <c r="D180" s="25">
        <v>2024</v>
      </c>
      <c r="E180" s="23">
        <f>IF(D180&lt;=B165,B160*EXP(B161*(D180-D161)),"")</f>
      </c>
      <c r="F180" s="24">
        <f>IF(D180&gt;B165,"",IF(B163&gt;D180,"",IF(B163=D180,B164,IF(B163&lt;D180,(D180-B163)*B167+B164,B166))))</f>
      </c>
      <c r="G180" s="23">
        <f>IF(ISERR(F180*E180),IF(D180&gt;B165,G179,""),F180*E180)</f>
        <v>42261471.20947728</v>
      </c>
      <c r="H180" s="22">
        <f>IF(ISERR(G180-G164),"",(G180-G164))</f>
        <v>40484334.23290815</v>
      </c>
      <c r="I180" s="21">
        <f>IF(ISERR(B162*H180),"",((B162*H180)))</f>
        <v>17003420377.821424</v>
      </c>
    </row>
    <row r="181" spans="1:9" ht="12.75">
      <c r="A181"/>
      <c r="D181" s="25">
        <v>2025</v>
      </c>
      <c r="E181" s="23">
        <f>IF(D181&lt;=B165,B160*EXP(B161*(D181-D161)),"")</f>
      </c>
      <c r="F181" s="24">
        <f>IF(D181&gt;B165,"",IF(B163&gt;D181,"",IF(B163=D181,B164,IF(B163&lt;D181,(D181-B163)*B167+B164,B166))))</f>
      </c>
      <c r="G181" s="23">
        <f>IF(ISERR(F181*E181),IF(D181&gt;B165,G180,""),F181*E181)</f>
        <v>42261471.20947728</v>
      </c>
      <c r="H181" s="22">
        <f>IF(ISERR(G181-G164),"",(G181-G164))</f>
        <v>40484334.23290815</v>
      </c>
      <c r="I181" s="21">
        <f>IF(ISERR(B162*H181),"",((B162*H181)))</f>
        <v>17003420377.821424</v>
      </c>
    </row>
    <row r="182" spans="1:9" ht="12.75">
      <c r="A182"/>
      <c r="D182" s="25">
        <v>2026</v>
      </c>
      <c r="E182" s="23">
        <f>IF(D182&lt;=B165,B160*EXP(B161*(D182-D161)),"")</f>
      </c>
      <c r="F182" s="24">
        <f>IF(D182&gt;B165,"",IF(B163&gt;D182,"",IF(B163=D182,B164,IF(B163&lt;D182,(D182-B163)*B167+B164,B166))))</f>
      </c>
      <c r="G182" s="23">
        <f>IF(ISERR(F182*E182),IF(D182&gt;B165,G181,""),F182*E182)</f>
        <v>42261471.20947728</v>
      </c>
      <c r="H182" s="22">
        <f>IF(ISERR(G182-G164),"",(G182-G164))</f>
        <v>40484334.23290815</v>
      </c>
      <c r="I182" s="21">
        <f>IF(ISERR(B162*H182),"",((B162*H182)))</f>
        <v>17003420377.821424</v>
      </c>
    </row>
    <row r="183" spans="1:9" ht="12.75">
      <c r="A183"/>
      <c r="D183" s="25">
        <v>2027</v>
      </c>
      <c r="E183" s="23">
        <f>IF(D183&lt;=B165,B160*EXP(B161*(D183-D161)),"")</f>
      </c>
      <c r="F183" s="24">
        <f>IF(D183&gt;B165,"",IF(B163&gt;D183,"",IF(B163=D183,B164,IF(B163&lt;D183,(D183-B163)*B167+B164,B166))))</f>
      </c>
      <c r="G183" s="23">
        <f>IF(ISERR(F183*E183),IF(D183&gt;B165,G182,""),F183*E183)</f>
        <v>42261471.20947728</v>
      </c>
      <c r="H183" s="22">
        <f>IF(ISERR(G183-G164),"",(G183-G164))</f>
        <v>40484334.23290815</v>
      </c>
      <c r="I183" s="21">
        <f>IF(ISERR(B162*H183),"",((B162*H183)))</f>
        <v>17003420377.821424</v>
      </c>
    </row>
    <row r="184" spans="1:9" ht="12.75">
      <c r="A184"/>
      <c r="D184" s="25">
        <v>2028</v>
      </c>
      <c r="E184" s="23">
        <f>IF(D184&lt;=B165,B160*EXP(B161*(D184-D161)),"")</f>
      </c>
      <c r="F184" s="24">
        <f>IF(D184&gt;B165,"",IF(B163&gt;D184,"",IF(B163=D184,B164,IF(B163&lt;D184,(D184-B163)*B167+B164,B166))))</f>
      </c>
      <c r="G184" s="23">
        <f>IF(ISERR(F184*E184),IF(D184&gt;B165,G183,""),F184*E184)</f>
        <v>42261471.20947728</v>
      </c>
      <c r="H184" s="22">
        <f>IF(ISERR(G184-G164),"",(G184-G164))</f>
        <v>40484334.23290815</v>
      </c>
      <c r="I184" s="21">
        <f>IF(ISERR(B162*H184),"",((B162*H184)))</f>
        <v>17003420377.821424</v>
      </c>
    </row>
    <row r="185" spans="1:9" ht="12.75">
      <c r="A185"/>
      <c r="D185" s="25">
        <v>2029</v>
      </c>
      <c r="E185" s="23">
        <f>IF(D185&lt;=B165,B160*EXP(B161*(D185-D161)),"")</f>
      </c>
      <c r="F185" s="24">
        <f>IF(D185&gt;B165,"",IF(B163&gt;D185,"",IF(B163=D185,B164,IF(B163&lt;D185,(D185-B163)*B167+B164,B166))))</f>
      </c>
      <c r="G185" s="23">
        <f>IF(ISERR(F185*E185),IF(D185&gt;B165,G184,""),F185*E185)</f>
        <v>42261471.20947728</v>
      </c>
      <c r="H185" s="22">
        <f>IF(ISERR(G185-G164),"",(G185-G164))</f>
        <v>40484334.23290815</v>
      </c>
      <c r="I185" s="21">
        <f>IF(ISERR(B162*H185),"",((B162*H185)))</f>
        <v>17003420377.821424</v>
      </c>
    </row>
    <row r="186" spans="1:9" ht="13.5" thickBot="1">
      <c r="A186"/>
      <c r="D186" s="20">
        <v>2030</v>
      </c>
      <c r="E186" s="18">
        <f>IF(D186&lt;=B165,B160*EXP(B161*(D186-D161)),"")</f>
      </c>
      <c r="F186" s="19">
        <f>IF(D186&gt;B165,"",IF(B163&gt;D186,"",IF(B163=D186,B164,IF(B163&lt;D186,(D186-B163)*B167+B164,B166))))</f>
      </c>
      <c r="G186" s="18">
        <f>IF(ISERR(F186*E186),IF(D186&gt;B165,G185,""),F186*E186)</f>
        <v>42261471.20947728</v>
      </c>
      <c r="H186" s="17">
        <f>IF(ISERR(G186-G164),"",(G186-G164))</f>
        <v>40484334.23290815</v>
      </c>
      <c r="I186" s="16">
        <f>IF(ISERR(B162*H186),"",((B162*H186)))</f>
        <v>17003420377.821424</v>
      </c>
    </row>
    <row r="188" spans="1:9" ht="12.75" customHeight="1">
      <c r="A188" s="466" t="s">
        <v>1066</v>
      </c>
      <c r="B188" s="467"/>
      <c r="C188" s="467"/>
      <c r="D188" s="467"/>
      <c r="E188" s="467"/>
      <c r="F188" s="467"/>
      <c r="G188" s="55"/>
      <c r="H188" s="55"/>
      <c r="I188" s="54"/>
    </row>
    <row r="189" spans="1:9" ht="12.75">
      <c r="A189" s="468" t="s">
        <v>1065</v>
      </c>
      <c r="B189" s="469"/>
      <c r="C189" s="469"/>
      <c r="D189" s="469"/>
      <c r="E189" s="469"/>
      <c r="F189" s="469"/>
      <c r="G189" s="52"/>
      <c r="H189" s="52"/>
      <c r="I189" s="51"/>
    </row>
    <row r="190" spans="1:9" ht="12.75">
      <c r="A190" s="470" t="s">
        <v>993</v>
      </c>
      <c r="B190" s="469"/>
      <c r="C190" s="469"/>
      <c r="D190" s="469"/>
      <c r="E190" s="469"/>
      <c r="F190" s="469"/>
      <c r="G190" s="52"/>
      <c r="H190" s="52"/>
      <c r="I190" s="51"/>
    </row>
    <row r="191" spans="1:9" ht="12.75">
      <c r="A191" s="470" t="s">
        <v>1027</v>
      </c>
      <c r="B191" s="469"/>
      <c r="C191" s="469"/>
      <c r="D191" s="469"/>
      <c r="E191" s="469"/>
      <c r="F191" s="469"/>
      <c r="G191" s="52"/>
      <c r="H191" s="52"/>
      <c r="I191" s="51"/>
    </row>
    <row r="192" spans="1:9" ht="12.75">
      <c r="A192" s="50" t="s">
        <v>953</v>
      </c>
      <c r="B192" s="49"/>
      <c r="C192" s="49"/>
      <c r="D192" s="49"/>
      <c r="E192" s="49"/>
      <c r="F192" s="49"/>
      <c r="G192" s="49"/>
      <c r="H192" s="49"/>
      <c r="I192" s="48"/>
    </row>
    <row r="193" spans="1:2" ht="12.75">
      <c r="A193" t="s">
        <v>952</v>
      </c>
      <c r="B193" s="47" t="s">
        <v>951</v>
      </c>
    </row>
    <row r="195" ht="13.5" thickBot="1"/>
    <row r="196" spans="1:9" ht="51">
      <c r="A196" t="s">
        <v>743</v>
      </c>
      <c r="B196" t="s">
        <v>742</v>
      </c>
      <c r="D196" s="46" t="s">
        <v>741</v>
      </c>
      <c r="E196" s="45" t="s">
        <v>947</v>
      </c>
      <c r="F196" s="45" t="s">
        <v>950</v>
      </c>
      <c r="G196" s="45" t="s">
        <v>948</v>
      </c>
      <c r="H196" s="45" t="s">
        <v>1086</v>
      </c>
      <c r="I196" s="44" t="s">
        <v>1085</v>
      </c>
    </row>
    <row r="197" spans="1:9" ht="13.5" thickBot="1">
      <c r="A197" t="s">
        <v>946</v>
      </c>
      <c r="B197" s="58">
        <f>7.42*10^9</f>
        <v>7420000000</v>
      </c>
      <c r="D197" s="43"/>
      <c r="E197" s="41" t="s">
        <v>945</v>
      </c>
      <c r="F197" s="42" t="s">
        <v>944</v>
      </c>
      <c r="G197" s="41" t="s">
        <v>943</v>
      </c>
      <c r="H197" s="41" t="s">
        <v>942</v>
      </c>
      <c r="I197" s="40" t="s">
        <v>941</v>
      </c>
    </row>
    <row r="198" spans="1:9" ht="13.5" thickTop="1">
      <c r="A198" t="s">
        <v>940</v>
      </c>
      <c r="B198" s="31">
        <v>0.029</v>
      </c>
      <c r="C198" s="30"/>
      <c r="D198" s="25">
        <v>2005</v>
      </c>
      <c r="E198" s="23">
        <f>IF(D198&lt;=B202,B197*EXP(B198*(D198-D198)),"")</f>
        <v>7420000000</v>
      </c>
      <c r="F198" s="24">
        <f>IF(D198&gt;B202,"",IF(B200&gt;D198,"",IF(B200=D198,B201,IF(B200&lt;D198,(D198-B200)*B204+B201,B203))))</f>
        <v>0.0451</v>
      </c>
      <c r="G198" s="23">
        <f>IF(ISERR(F198*E198),IF(D198&gt;B202,G197,""),F198*E198)</f>
        <v>334642000</v>
      </c>
      <c r="H198" s="39"/>
      <c r="I198" s="38"/>
    </row>
    <row r="199" spans="1:9" ht="12.75">
      <c r="A199" t="s">
        <v>939</v>
      </c>
      <c r="B199" s="37">
        <v>713</v>
      </c>
      <c r="D199" s="25">
        <v>2006</v>
      </c>
      <c r="E199" s="23">
        <f>IF(D199&lt;=B202,B197*EXP(B198*(D199-D198)),"")</f>
        <v>7638330491.00547</v>
      </c>
      <c r="F199" s="24">
        <f>IF(D199&gt;B202,"",IF(B200&gt;D199,"",IF(B200=D199,B201,IF(B200&lt;D199,(D199-B200)*B204+B201,B203))))</f>
        <v>0.05209333333333333</v>
      </c>
      <c r="G199" s="23">
        <f>IF(ISERR(F199*E199),IF(D199&gt;B202,G198,""),F199*E199)</f>
        <v>397906096.3781116</v>
      </c>
      <c r="H199" s="23"/>
      <c r="I199" s="34"/>
    </row>
    <row r="200" spans="1:9" ht="12.75">
      <c r="A200" t="s">
        <v>938</v>
      </c>
      <c r="B200" s="37">
        <v>2005</v>
      </c>
      <c r="D200" s="25">
        <v>2007</v>
      </c>
      <c r="E200" s="23">
        <f>IF(D200&lt;=B202,B197*EXP(B198*(D200-D198)),"")</f>
        <v>7863085268.170334</v>
      </c>
      <c r="F200" s="24">
        <f>IF(D200&gt;B202,"",IF(B200&gt;D200,"",IF(B200=D200,B201,IF(B200&lt;D200,(D200-B200)*B204+B201,B203))))</f>
        <v>0.05908666666666667</v>
      </c>
      <c r="G200" s="23">
        <f>IF(ISERR(F200*E200),IF(D200&gt;B202,G199,""),F200*E200)</f>
        <v>464603498.2119578</v>
      </c>
      <c r="H200" s="23"/>
      <c r="I200" s="34"/>
    </row>
    <row r="201" spans="1:9" s="33" customFormat="1" ht="12.75">
      <c r="A201" s="33" t="s">
        <v>937</v>
      </c>
      <c r="B201" s="36">
        <v>0.0451</v>
      </c>
      <c r="C201" s="35"/>
      <c r="D201" s="25">
        <v>2008</v>
      </c>
      <c r="E201" s="23">
        <f>IF(D201&lt;=B202,B197*EXP(B198*(D201-D198)),"")</f>
        <v>8094453363.509621</v>
      </c>
      <c r="F201" s="24">
        <f>IF(D201&gt;B202,"",IF(B200&gt;D201,"",IF(B200=D201,B201,IF(B200&lt;D201,(D201-B200)*B204+B201,B203))))</f>
        <v>0.06608</v>
      </c>
      <c r="G201" s="23">
        <f>IF(ISERR(F201*E201),IF(D201&gt;B202,G200,""),F201*E201)</f>
        <v>534881478.2607157</v>
      </c>
      <c r="H201" s="23"/>
      <c r="I201" s="34"/>
    </row>
    <row r="202" spans="1:9" ht="12.75">
      <c r="A202" t="s">
        <v>936</v>
      </c>
      <c r="B202" s="32">
        <v>2020</v>
      </c>
      <c r="C202" s="30"/>
      <c r="D202" s="25">
        <v>2009</v>
      </c>
      <c r="E202" s="23">
        <f>IF(D202&lt;=B202,B197*EXP(B198*(D202-D198)),"")</f>
        <v>8332629371.22875</v>
      </c>
      <c r="F202" s="24">
        <f>IF(D202&gt;B202,"",IF(B200&gt;D202,"",IF(B200=D202,B201,IF(B200&lt;D202,(D202-B200)*B204+B201,B203))))</f>
        <v>0.07307333333333334</v>
      </c>
      <c r="G202" s="23">
        <f>IF(ISERR(F202*E202),IF(D202&gt;B202,G201,""),F202*E202)</f>
        <v>608893003.5869223</v>
      </c>
      <c r="H202" s="22">
        <f>IF(ISERR(G202-G201),"",(G202-G201))</f>
        <v>74011525.32620656</v>
      </c>
      <c r="I202" s="21">
        <f>IF(ISERR(B199*H202),"",((B199*H202)))</f>
        <v>52770217557.58528</v>
      </c>
    </row>
    <row r="203" spans="1:9" ht="12.75">
      <c r="A203" t="s">
        <v>935</v>
      </c>
      <c r="B203" s="31">
        <v>0.15</v>
      </c>
      <c r="C203" s="30"/>
      <c r="D203" s="25">
        <v>2010</v>
      </c>
      <c r="E203" s="23">
        <f>IF(D203&lt;=B202,B197*EXP(B198*(D203-D198)),"")</f>
        <v>8577813611.388721</v>
      </c>
      <c r="F203" s="24">
        <f>IF(D203&gt;B202,"",IF(B200&gt;D203,"",IF(B200=D203,B201,IF(B200&lt;D203,(D203-B200)*B204+B201,B203))))</f>
        <v>0.08006666666666667</v>
      </c>
      <c r="G203" s="23">
        <f>IF(ISERR(F203*E203),IF(D203&gt;B202,G202,""),F203*E203)</f>
        <v>686796943.151857</v>
      </c>
      <c r="H203" s="22">
        <f>IF(ISERR(G203-G201),"",(G203-G201))</f>
        <v>151915464.8911413</v>
      </c>
      <c r="I203" s="21">
        <f>IF(ISERR(B199*H203),"",((B199*H203)))</f>
        <v>108315726467.38374</v>
      </c>
    </row>
    <row r="204" spans="1:9" ht="12.75">
      <c r="A204" s="29" t="s">
        <v>934</v>
      </c>
      <c r="B204" s="28">
        <f>(B203-B201)/(B202-B200)</f>
        <v>0.006993333333333333</v>
      </c>
      <c r="D204" s="25">
        <v>2011</v>
      </c>
      <c r="E204" s="23">
        <f>IF(D204&lt;=B202,B197*EXP(B198*(D204-D198)),"")</f>
        <v>8830212298.38709</v>
      </c>
      <c r="F204" s="24">
        <f>IF(D204&gt;B202,"",IF(B200&gt;D204,"",IF(B200=D204,B201,IF(B200&lt;D204,(D204-B200)*B204+B201,B203))))</f>
        <v>0.08706</v>
      </c>
      <c r="G204" s="23">
        <f>IF(ISERR(F204*E204),IF(D204&gt;B202,G203,""),F204*E204)</f>
        <v>768758282.6975801</v>
      </c>
      <c r="H204" s="22">
        <f>IF(ISERR(G204-G201),"",(G204-G201))</f>
        <v>233876804.43686438</v>
      </c>
      <c r="I204" s="21">
        <f>IF(ISERR(B199*H204),"",((B199*H204)))</f>
        <v>166754161563.4843</v>
      </c>
    </row>
    <row r="205" spans="1:9" ht="12.75">
      <c r="A205"/>
      <c r="D205" s="25">
        <v>2012</v>
      </c>
      <c r="E205" s="23">
        <f>IF(D205&lt;=B202,B197*EXP(B198*(D205-D198)),"")</f>
        <v>9090037714.396444</v>
      </c>
      <c r="F205" s="24">
        <f>IF(D205&gt;B202,"",IF(B200&gt;D205,"",IF(B200=D205,B201,IF(B200&lt;D205,(D205-B200)*B204+B201,B203))))</f>
        <v>0.09405333333333334</v>
      </c>
      <c r="G205" s="23">
        <f>IF(ISERR(F205*E205),IF(D205&gt;B202,G204,""),F205*E205)</f>
        <v>854948347.1647003</v>
      </c>
      <c r="H205" s="22">
        <f>IF(ISERR(G205-G201),"",(G205-G201))</f>
        <v>320066868.90398455</v>
      </c>
      <c r="I205" s="21">
        <f>IF(ISERR(B199*H205),"",((B199*H205)))</f>
        <v>228207677528.541</v>
      </c>
    </row>
    <row r="206" spans="1:9" ht="12.75">
      <c r="A206"/>
      <c r="D206" s="25">
        <v>2013</v>
      </c>
      <c r="E206" s="23">
        <f>IF(D206&lt;=B202,B197*EXP(B198*(D206-D198)),"")</f>
        <v>9357508387.906204</v>
      </c>
      <c r="F206" s="24">
        <f>IF(D206&gt;B202,"",IF(B200&gt;D206,"",IF(B200=D206,B201,IF(B200&lt;D206,(D206-B200)*B204+B201,B203))))</f>
        <v>0.10104666666666667</v>
      </c>
      <c r="G206" s="23">
        <f>IF(ISERR(F206*E206),IF(D206&gt;B202,G205,""),F206*E206)</f>
        <v>945545030.9032956</v>
      </c>
      <c r="H206" s="22">
        <f>IF(ISERR(G206-G201),"",(G206-G201))</f>
        <v>410663552.6425799</v>
      </c>
      <c r="I206" s="21">
        <f>IF(ISERR(B199*H206),"",((B199*H206)))</f>
        <v>292803113034.1595</v>
      </c>
    </row>
    <row r="207" spans="1:9" ht="12.75">
      <c r="A207" t="s">
        <v>763</v>
      </c>
      <c r="B207" s="27">
        <f>VLOOKUP(B202,D198:I223,6,FALSE)</f>
        <v>844664295729.0642</v>
      </c>
      <c r="D207" s="25">
        <v>2014</v>
      </c>
      <c r="E207" s="23">
        <f>IF(D207&lt;=B202,B197*EXP(B198*(D207-D198)),"")</f>
        <v>9632849277.517979</v>
      </c>
      <c r="F207" s="24">
        <f>IF(D207&gt;B202,"",IF(B200&gt;D207,"",IF(B200=D207,B201,IF(B200&lt;D207,(D207-B200)*B204+B201,B203))))</f>
        <v>0.10804</v>
      </c>
      <c r="G207" s="23">
        <f>IF(ISERR(F207*E207),IF(D207&gt;B202,G206,""),F207*E207)</f>
        <v>1040733035.9430424</v>
      </c>
      <c r="H207" s="22">
        <f>IF(ISERR(G207-G201),"",(G207-G201))</f>
        <v>505851557.6823267</v>
      </c>
      <c r="I207" s="21">
        <f>IF(ISERR(B199*H207),"",((B199*H207)))</f>
        <v>360672160627.4989</v>
      </c>
    </row>
    <row r="208" spans="1:9" ht="12.75">
      <c r="A208" t="s">
        <v>762</v>
      </c>
      <c r="B208" s="27">
        <f>SUM(I202:I223)</f>
        <v>13446670987464.438</v>
      </c>
      <c r="D208" s="25">
        <v>2015</v>
      </c>
      <c r="E208" s="23">
        <f>IF(D208&lt;=B202,B197*EXP(B198*(D208-D198)),"")</f>
        <v>9916291961.149002</v>
      </c>
      <c r="F208" s="24">
        <f>IF(D208&gt;B202,"",IF(B200&gt;D208,"",IF(B200=D208,B201,IF(B200&lt;D208,(D208-B200)*B204+B201,B203))))</f>
        <v>0.11503333333333333</v>
      </c>
      <c r="G208" s="23">
        <f>IF(ISERR(F208*E208),IF(D208&gt;B202,G207,""),F208*E208)</f>
        <v>1140704118.597507</v>
      </c>
      <c r="H208" s="22">
        <f>IF(ISERR(G208-G201),"",(G208-G201))</f>
        <v>605822640.3367913</v>
      </c>
      <c r="I208" s="21">
        <f>IF(ISERR(B199*H208),"",((B199*H208)))</f>
        <v>431951542560.1322</v>
      </c>
    </row>
    <row r="209" spans="1:9" ht="12.75">
      <c r="A209" t="s">
        <v>992</v>
      </c>
      <c r="B209" s="26">
        <f>B207/(10^12)</f>
        <v>0.8446642957290642</v>
      </c>
      <c r="D209" s="25">
        <v>2016</v>
      </c>
      <c r="E209" s="23">
        <f>IF(D209&lt;=B202,B197*EXP(B198*(D209-D198)),"")</f>
        <v>10208074830.802813</v>
      </c>
      <c r="F209" s="24">
        <f>IF(D209&gt;B202,"",IF(B200&gt;D209,"",IF(B200=D209,B201,IF(B200&lt;D209,(D209-B200)*B204+B201,B203))))</f>
        <v>0.12202666666666667</v>
      </c>
      <c r="G209" s="23">
        <f>IF(ISERR(F209*E209),IF(D209&gt;B202,G208,""),F209*E209)</f>
        <v>1245657344.6867647</v>
      </c>
      <c r="H209" s="22">
        <f>IF(ISERR(G209-G201),"",(G209-G201))</f>
        <v>710775866.426049</v>
      </c>
      <c r="I209" s="21">
        <f>IF(ISERR(B199*H209),"",((B199*H209)))</f>
        <v>506783192761.77295</v>
      </c>
    </row>
    <row r="210" spans="1:9" ht="12.75">
      <c r="A210" t="s">
        <v>908</v>
      </c>
      <c r="B210" s="26">
        <f>B208/(10^12)</f>
        <v>13.446670987464438</v>
      </c>
      <c r="D210" s="25">
        <v>2017</v>
      </c>
      <c r="E210" s="23">
        <f>IF(D210&lt;=B202,B197*EXP(B198*(D210-D198)),"")</f>
        <v>10508443293.070974</v>
      </c>
      <c r="F210" s="24">
        <f>IF(D210&gt;B202,"",IF(B200&gt;D210,"",IF(B200=D210,B201,IF(B200&lt;D210,(D210-B200)*B204+B201,B203))))</f>
        <v>0.12902</v>
      </c>
      <c r="G210" s="23">
        <f>IF(ISERR(F210*E210),IF(D210&gt;B202,G209,""),F210*E210)</f>
        <v>1355799353.672017</v>
      </c>
      <c r="H210" s="22">
        <f>IF(ISERR(G210-G201),"",(G210-G201))</f>
        <v>820917875.4113014</v>
      </c>
      <c r="I210" s="21">
        <f>IF(ISERR(B199*H210),"",((B199*H210)))</f>
        <v>585314445168.2579</v>
      </c>
    </row>
    <row r="211" spans="1:9" ht="12.75">
      <c r="A211"/>
      <c r="D211" s="25">
        <v>2018</v>
      </c>
      <c r="E211" s="23">
        <f>IF(D211&lt;=B202,B197*EXP(B198*(D211-D198)),"")</f>
        <v>10817649975.534496</v>
      </c>
      <c r="F211" s="24">
        <f>IF(D211&gt;B202,"",IF(B200&gt;D211,"",IF(B200=D211,B201,IF(B200&lt;D211,(D211-B200)*B204+B201,B203))))</f>
        <v>0.13601333333333332</v>
      </c>
      <c r="G211" s="23">
        <f>IF(ISERR(F211*E211),IF(D211&gt;B202,G210,""),F211*E211)</f>
        <v>1471344632.0056984</v>
      </c>
      <c r="H211" s="22">
        <f>IF(ISERR(G211-G201),"",(G211-G201))</f>
        <v>936463153.7449827</v>
      </c>
      <c r="I211" s="21">
        <f>IF(ISERR(B199*H211),"",((B199*H211)))</f>
        <v>667698228620.1727</v>
      </c>
    </row>
    <row r="212" spans="1:9" ht="12.75">
      <c r="A212"/>
      <c r="D212" s="25">
        <v>2019</v>
      </c>
      <c r="E212" s="23">
        <f>IF(D212&lt;=B202,B197*EXP(B198*(D212-D198)),"")</f>
        <v>11135954939.238508</v>
      </c>
      <c r="F212" s="24">
        <f>IF(D212&gt;B202,"",IF(B200&gt;D212,"",IF(B200=D212,B201,IF(B200&lt;D212,(D212-B200)*B204+B201,B203))))</f>
        <v>0.14300666666666667</v>
      </c>
      <c r="G212" s="23">
        <f>IF(ISERR(F212*E212),IF(D212&gt;B202,G211,""),F212*E212)</f>
        <v>1592515796.0107017</v>
      </c>
      <c r="H212" s="22">
        <f>IF(ISERR(G212-G201),"",(G212-G201))</f>
        <v>1057634317.7499859</v>
      </c>
      <c r="I212" s="21">
        <f>IF(ISERR(B199*H212),"",((B199*H212)))</f>
        <v>754093268555.74</v>
      </c>
    </row>
    <row r="213" spans="1:9" ht="12.75">
      <c r="A213"/>
      <c r="D213" s="25">
        <v>2020</v>
      </c>
      <c r="E213" s="23">
        <f>IF(D213&lt;=B202,B197*EXP(B198*(D213-D198)),"")</f>
        <v>11463625897.41893</v>
      </c>
      <c r="F213" s="24">
        <f>IF(D213&gt;B202,"",IF(B200&gt;D213,"",IF(B200=D213,B201,IF(B200&lt;D213,(D213-B200)*B204+B201,B203))))</f>
        <v>0.15</v>
      </c>
      <c r="G213" s="23">
        <f>IF(ISERR(F213*E213),IF(D213&gt;B202,G212,""),F213*E213)</f>
        <v>1719543884.6128395</v>
      </c>
      <c r="H213" s="22">
        <f>IF(ISERR(G213-G201),"",(G213-G201))</f>
        <v>1184662406.3521237</v>
      </c>
      <c r="I213" s="21">
        <f>IF(ISERR(B199*H213),"",((B199*H213)))</f>
        <v>844664295729.0642</v>
      </c>
    </row>
    <row r="214" spans="1:9" ht="12.75">
      <c r="A214"/>
      <c r="D214" s="25">
        <v>2021</v>
      </c>
      <c r="E214" s="23">
        <f>IF(D214&lt;=B202,B197*EXP(B198*(D214-D198)),"")</f>
      </c>
      <c r="F214" s="24">
        <f>IF(D214&gt;B202,"",IF(B200&gt;D214,"",IF(B200=D214,B201,IF(B200&lt;D214,(D214-B200)*B204+B201,B203))))</f>
      </c>
      <c r="G214" s="23">
        <f>IF(ISERR(F214*E214),IF(D214&gt;B202,G213,""),F214*E214)</f>
        <v>1719543884.6128395</v>
      </c>
      <c r="H214" s="22">
        <f>IF(ISERR(G214-G201),"",(G214-G201))</f>
        <v>1184662406.3521237</v>
      </c>
      <c r="I214" s="21">
        <f>IF(ISERR(B199*H214),"",((B199*H214)))</f>
        <v>844664295729.0642</v>
      </c>
    </row>
    <row r="215" spans="1:9" ht="12.75">
      <c r="A215"/>
      <c r="D215" s="25">
        <v>2022</v>
      </c>
      <c r="E215" s="23">
        <f>IF(D215&lt;=B202,B197*EXP(B198*(D215-D198)),"")</f>
      </c>
      <c r="F215" s="24">
        <f>IF(D215&gt;B202,"",IF(B200&gt;D215,"",IF(B200=D215,B201,IF(B200&lt;D215,(D215-B200)*B204+B201,B203))))</f>
      </c>
      <c r="G215" s="23">
        <f>IF(ISERR(F215*E215),IF(D215&gt;B202,G214,""),F215*E215)</f>
        <v>1719543884.6128395</v>
      </c>
      <c r="H215" s="22">
        <f>IF(ISERR(G215-G201),"",(G215-G201))</f>
        <v>1184662406.3521237</v>
      </c>
      <c r="I215" s="21">
        <f>IF(ISERR(B199*H215),"",((B199*H215)))</f>
        <v>844664295729.0642</v>
      </c>
    </row>
    <row r="216" spans="1:9" ht="12.75">
      <c r="A216"/>
      <c r="D216" s="25">
        <v>2023</v>
      </c>
      <c r="E216" s="23">
        <f>IF(D216&lt;=B202,B197*EXP(B198*(D216-D198)),"")</f>
      </c>
      <c r="F216" s="24">
        <f>IF(D216&gt;B202,"",IF(B200&gt;D216,"",IF(B200=D216,B201,IF(B200&lt;D216,(D216-B200)*B204+B201,B203))))</f>
      </c>
      <c r="G216" s="23">
        <f>IF(ISERR(F216*E216),IF(D216&gt;B202,G215,""),F216*E216)</f>
        <v>1719543884.6128395</v>
      </c>
      <c r="H216" s="22">
        <f>IF(ISERR(G216-G201),"",(G216-G201))</f>
        <v>1184662406.3521237</v>
      </c>
      <c r="I216" s="21">
        <f>IF(ISERR(B199*H216),"",((B199*H216)))</f>
        <v>844664295729.0642</v>
      </c>
    </row>
    <row r="217" spans="1:9" ht="12.75">
      <c r="A217"/>
      <c r="D217" s="25">
        <v>2024</v>
      </c>
      <c r="E217" s="23">
        <f>IF(D217&lt;=B202,B197*EXP(B198*(D217-D198)),"")</f>
      </c>
      <c r="F217" s="24">
        <f>IF(D217&gt;B202,"",IF(B200&gt;D217,"",IF(B200=D217,B201,IF(B200&lt;D217,(D217-B200)*B204+B201,B203))))</f>
      </c>
      <c r="G217" s="23">
        <f>IF(ISERR(F217*E217),IF(D217&gt;B202,G216,""),F217*E217)</f>
        <v>1719543884.6128395</v>
      </c>
      <c r="H217" s="22">
        <f>IF(ISERR(G217-G201),"",(G217-G201))</f>
        <v>1184662406.3521237</v>
      </c>
      <c r="I217" s="21">
        <f>IF(ISERR(B199*H217),"",((B199*H217)))</f>
        <v>844664295729.0642</v>
      </c>
    </row>
    <row r="218" spans="1:9" ht="12.75">
      <c r="A218"/>
      <c r="D218" s="25">
        <v>2025</v>
      </c>
      <c r="E218" s="23">
        <f>IF(D218&lt;=B202,B197*EXP(B198*(D218-D198)),"")</f>
      </c>
      <c r="F218" s="24">
        <f>IF(D218&gt;B202,"",IF(B200&gt;D218,"",IF(B200=D218,B201,IF(B200&lt;D218,(D218-B200)*B204+B201,B203))))</f>
      </c>
      <c r="G218" s="23">
        <f>IF(ISERR(F218*E218),IF(D218&gt;B202,G217,""),F218*E218)</f>
        <v>1719543884.6128395</v>
      </c>
      <c r="H218" s="22">
        <f>IF(ISERR(G218-G201),"",(G218-G201))</f>
        <v>1184662406.3521237</v>
      </c>
      <c r="I218" s="21">
        <f>IF(ISERR(B199*H218),"",((B199*H218)))</f>
        <v>844664295729.0642</v>
      </c>
    </row>
    <row r="219" spans="1:9" ht="12.75">
      <c r="A219"/>
      <c r="D219" s="25">
        <v>2026</v>
      </c>
      <c r="E219" s="23">
        <f>IF(D219&lt;=B202,B197*EXP(B198*(D219-D198)),"")</f>
      </c>
      <c r="F219" s="24">
        <f>IF(D219&gt;B202,"",IF(B200&gt;D219,"",IF(B200=D219,B201,IF(B200&lt;D219,(D219-B200)*B204+B201,B203))))</f>
      </c>
      <c r="G219" s="23">
        <f>IF(ISERR(F219*E219),IF(D219&gt;B202,G218,""),F219*E219)</f>
        <v>1719543884.6128395</v>
      </c>
      <c r="H219" s="22">
        <f>IF(ISERR(G219-G201),"",(G219-G201))</f>
        <v>1184662406.3521237</v>
      </c>
      <c r="I219" s="21">
        <f>IF(ISERR(B199*H219),"",((B199*H219)))</f>
        <v>844664295729.0642</v>
      </c>
    </row>
    <row r="220" spans="1:9" ht="12.75">
      <c r="A220"/>
      <c r="D220" s="25">
        <v>2027</v>
      </c>
      <c r="E220" s="23">
        <f>IF(D220&lt;=B202,B197*EXP(B198*(D220-D198)),"")</f>
      </c>
      <c r="F220" s="24">
        <f>IF(D220&gt;B202,"",IF(B200&gt;D220,"",IF(B200=D220,B201,IF(B200&lt;D220,(D220-B200)*B204+B201,B203))))</f>
      </c>
      <c r="G220" s="23">
        <f>IF(ISERR(F220*E220),IF(D220&gt;B202,G219,""),F220*E220)</f>
        <v>1719543884.6128395</v>
      </c>
      <c r="H220" s="22">
        <f>IF(ISERR(G220-G201),"",(G220-G201))</f>
        <v>1184662406.3521237</v>
      </c>
      <c r="I220" s="21">
        <f>IF(ISERR(B199*H220),"",((B199*H220)))</f>
        <v>844664295729.0642</v>
      </c>
    </row>
    <row r="221" spans="1:9" ht="12.75">
      <c r="A221"/>
      <c r="D221" s="25">
        <v>2028</v>
      </c>
      <c r="E221" s="23">
        <f>IF(D221&lt;=B202,B197*EXP(B198*(D221-D198)),"")</f>
      </c>
      <c r="F221" s="24">
        <f>IF(D221&gt;B202,"",IF(B200&gt;D221,"",IF(B200=D221,B201,IF(B200&lt;D221,(D221-B200)*B204+B201,B203))))</f>
      </c>
      <c r="G221" s="23">
        <f>IF(ISERR(F221*E221),IF(D221&gt;B202,G220,""),F221*E221)</f>
        <v>1719543884.6128395</v>
      </c>
      <c r="H221" s="22">
        <f>IF(ISERR(G221-G201),"",(G221-G201))</f>
        <v>1184662406.3521237</v>
      </c>
      <c r="I221" s="21">
        <f>IF(ISERR(B199*H221),"",((B199*H221)))</f>
        <v>844664295729.0642</v>
      </c>
    </row>
    <row r="222" spans="1:9" ht="12.75">
      <c r="A222"/>
      <c r="D222" s="25">
        <v>2029</v>
      </c>
      <c r="E222" s="23">
        <f>IF(D222&lt;=B202,B197*EXP(B198*(D222-D198)),"")</f>
      </c>
      <c r="F222" s="24">
        <f>IF(D222&gt;B202,"",IF(B200&gt;D222,"",IF(B200=D222,B201,IF(B200&lt;D222,(D222-B200)*B204+B201,B203))))</f>
      </c>
      <c r="G222" s="23">
        <f>IF(ISERR(F222*E222),IF(D222&gt;B202,G221,""),F222*E222)</f>
        <v>1719543884.6128395</v>
      </c>
      <c r="H222" s="22">
        <f>IF(ISERR(G222-G201),"",(G222-G201))</f>
        <v>1184662406.3521237</v>
      </c>
      <c r="I222" s="21">
        <f>IF(ISERR(B199*H222),"",((B199*H222)))</f>
        <v>844664295729.0642</v>
      </c>
    </row>
    <row r="223" spans="1:9" ht="13.5" thickBot="1">
      <c r="A223"/>
      <c r="D223" s="20">
        <v>2030</v>
      </c>
      <c r="E223" s="18">
        <f>IF(D223&lt;=B202,B197*EXP(B198*(D223-D198)),"")</f>
      </c>
      <c r="F223" s="19">
        <f>IF(D223&gt;B202,"",IF(B200&gt;D223,"",IF(B200=D223,B201,IF(B200&lt;D223,(D223-B200)*B204+B201,B203))))</f>
      </c>
      <c r="G223" s="18">
        <f>IF(ISERR(F223*E223),IF(D223&gt;B202,G222,""),F223*E223)</f>
        <v>1719543884.6128395</v>
      </c>
      <c r="H223" s="17">
        <f>IF(ISERR(G223-G201),"",(G223-G201))</f>
        <v>1184662406.3521237</v>
      </c>
      <c r="I223" s="16">
        <f>IF(ISERR(B199*H223),"",((B199*H223)))</f>
        <v>844664295729.0642</v>
      </c>
    </row>
    <row r="225" spans="1:9" ht="12.75" customHeight="1">
      <c r="A225" s="466" t="s">
        <v>668</v>
      </c>
      <c r="B225" s="467"/>
      <c r="C225" s="467"/>
      <c r="D225" s="467"/>
      <c r="E225" s="467"/>
      <c r="F225" s="467"/>
      <c r="G225" s="55"/>
      <c r="H225" s="55"/>
      <c r="I225" s="54"/>
    </row>
    <row r="226" spans="1:9" ht="12.75">
      <c r="A226" s="468" t="s">
        <v>669</v>
      </c>
      <c r="B226" s="469"/>
      <c r="C226" s="469"/>
      <c r="D226" s="469"/>
      <c r="E226" s="469"/>
      <c r="F226" s="469"/>
      <c r="G226" s="52"/>
      <c r="H226" s="52"/>
      <c r="I226" s="51"/>
    </row>
    <row r="227" spans="1:9" ht="24" customHeight="1">
      <c r="A227" s="470" t="s">
        <v>326</v>
      </c>
      <c r="B227" s="469"/>
      <c r="C227" s="469"/>
      <c r="D227" s="469"/>
      <c r="E227" s="469"/>
      <c r="F227" s="469"/>
      <c r="G227" s="52"/>
      <c r="H227" s="52"/>
      <c r="I227" s="51"/>
    </row>
    <row r="228" spans="1:9" ht="12.75">
      <c r="A228" s="470"/>
      <c r="B228" s="469"/>
      <c r="C228" s="469"/>
      <c r="D228" s="469"/>
      <c r="E228" s="469"/>
      <c r="F228" s="469"/>
      <c r="G228" s="52"/>
      <c r="H228" s="52"/>
      <c r="I228" s="51"/>
    </row>
    <row r="229" spans="1:9" ht="12.75">
      <c r="A229" s="50" t="s">
        <v>716</v>
      </c>
      <c r="B229" s="49"/>
      <c r="C229" s="49"/>
      <c r="D229" s="49"/>
      <c r="E229" s="49"/>
      <c r="F229" s="49"/>
      <c r="G229" s="49"/>
      <c r="H229" s="49"/>
      <c r="I229" s="48"/>
    </row>
    <row r="230" spans="1:2" ht="12.75">
      <c r="A230"/>
      <c r="B230" s="47"/>
    </row>
    <row r="232" ht="13.5" thickBot="1"/>
    <row r="233" spans="1:9" ht="51">
      <c r="A233" t="s">
        <v>743</v>
      </c>
      <c r="B233" t="s">
        <v>742</v>
      </c>
      <c r="D233" s="46" t="s">
        <v>741</v>
      </c>
      <c r="E233" s="45" t="s">
        <v>947</v>
      </c>
      <c r="F233" s="45" t="s">
        <v>950</v>
      </c>
      <c r="G233" s="45" t="s">
        <v>948</v>
      </c>
      <c r="H233" s="45" t="s">
        <v>1086</v>
      </c>
      <c r="I233" s="44" t="s">
        <v>1085</v>
      </c>
    </row>
    <row r="234" spans="1:9" ht="13.5" thickBot="1">
      <c r="A234" t="s">
        <v>946</v>
      </c>
      <c r="B234" s="58">
        <f>9.6*10^6</f>
        <v>9600000</v>
      </c>
      <c r="C234" s="57"/>
      <c r="D234" s="43"/>
      <c r="E234" s="41" t="s">
        <v>945</v>
      </c>
      <c r="F234" s="42" t="s">
        <v>944</v>
      </c>
      <c r="G234" s="41" t="s">
        <v>943</v>
      </c>
      <c r="H234" s="41" t="s">
        <v>942</v>
      </c>
      <c r="I234" s="40" t="s">
        <v>941</v>
      </c>
    </row>
    <row r="235" spans="1:9" ht="13.5" thickTop="1">
      <c r="A235" t="s">
        <v>940</v>
      </c>
      <c r="B235" s="31">
        <f>(B234*0.75-B234)/((2012-2008)*B234)</f>
        <v>-0.0625</v>
      </c>
      <c r="C235" s="30"/>
      <c r="D235" s="25">
        <v>2005</v>
      </c>
      <c r="E235" s="23">
        <f>IF(D235&lt;=B239,B234*EXP(B235*(D235-D235)),"")</f>
        <v>9600000</v>
      </c>
      <c r="F235" s="24">
        <f>IF(D235&gt;B239,"",IF(B237&gt;D235,"",IF(B237=D235,B238,IF(B237&lt;D235,(D235-B237)*B241+B238,B240))))</f>
      </c>
      <c r="G235" s="23">
        <f>IF(ISERR(F235*E235),IF(D235&gt;B239,G234,""),F235*E235)</f>
      </c>
      <c r="H235" s="39"/>
      <c r="I235" s="38"/>
    </row>
    <row r="236" spans="1:9" ht="12.75">
      <c r="A236" t="s">
        <v>939</v>
      </c>
      <c r="B236" s="37">
        <v>572.934</v>
      </c>
      <c r="D236" s="25">
        <v>2006</v>
      </c>
      <c r="E236" s="23">
        <f>IF(D236&lt;=B239,B234*EXP(B235*(D236-D235)),"")</f>
        <v>9018365.403009368</v>
      </c>
      <c r="F236" s="24">
        <f>IF(D236&gt;B239,"",IF(B237&gt;D236,"",IF(B237=D236,B238,IF(B237&lt;D236,(D236-B237)*B241+B238,B240))))</f>
      </c>
      <c r="G236" s="23">
        <f>IF(ISERR(F236*E236),IF(D236&gt;B239,G235,""),F236*E236)</f>
      </c>
      <c r="H236" s="23"/>
      <c r="I236" s="34"/>
    </row>
    <row r="237" spans="1:9" ht="12.75">
      <c r="A237" t="s">
        <v>938</v>
      </c>
      <c r="B237" s="37">
        <v>2008</v>
      </c>
      <c r="D237" s="25">
        <v>2007</v>
      </c>
      <c r="E237" s="23">
        <f>IF(D237&lt;=B239,B234*EXP(B235*(D237-D235)),"")</f>
        <v>8471970.264812116</v>
      </c>
      <c r="F237" s="24">
        <f>IF(D237&gt;B239,"",IF(B237&gt;D237,"",IF(B237=D237,B238,IF(B237&lt;D237,(D237-B237)*B241+B238,B240))))</f>
      </c>
      <c r="G237" s="23">
        <f>IF(ISERR(F237*E237),IF(D237&gt;B239,G236,""),F237*E237)</f>
      </c>
      <c r="H237" s="23"/>
      <c r="I237" s="34"/>
    </row>
    <row r="238" spans="1:9" s="33" customFormat="1" ht="12.75">
      <c r="A238" s="33" t="s">
        <v>937</v>
      </c>
      <c r="B238" s="36">
        <v>0.1</v>
      </c>
      <c r="C238" s="35"/>
      <c r="D238" s="25">
        <v>2008</v>
      </c>
      <c r="E238" s="23">
        <f>IF(D238&lt;=B239,B234*EXP(B235*(D238-D235)),"")</f>
        <v>7958679.534531844</v>
      </c>
      <c r="F238" s="24">
        <f>IF(D238&gt;B239,"",IF(B237&gt;D238,"",IF(B237=D238,B238,IF(B237&lt;D238,(D238-B237)*B241+B238,B240))))</f>
        <v>0.1</v>
      </c>
      <c r="G238" s="23">
        <f>IF(ISERR(F238*E238),IF(D238&gt;B239,G237,""),F238*E238)</f>
        <v>795867.9534531845</v>
      </c>
      <c r="H238" s="23"/>
      <c r="I238" s="34"/>
    </row>
    <row r="239" spans="1:9" ht="12.75">
      <c r="A239" t="s">
        <v>936</v>
      </c>
      <c r="B239" s="32">
        <v>2012</v>
      </c>
      <c r="C239" s="30"/>
      <c r="D239" s="25">
        <v>2009</v>
      </c>
      <c r="E239" s="23">
        <f>IF(D239&lt;=B239,B234*EXP(B235*(D239-D235)),"")</f>
        <v>7476487.517485487</v>
      </c>
      <c r="F239" s="24">
        <f>IF(D239&gt;B239,"",IF(B237&gt;D239,"",IF(B237=D239,B238,IF(B237&lt;D239,(D239-B237)*B241+B238,B240))))</f>
        <v>0.2625</v>
      </c>
      <c r="G239" s="23">
        <f>IF(ISERR(F239*E239),IF(D239&gt;B239,G238,""),F239*E239)</f>
        <v>1962577.9733399404</v>
      </c>
      <c r="H239" s="22">
        <f>IF(ISERR(G239-G238),"",(G239-G238))</f>
        <v>1166710.0198867559</v>
      </c>
      <c r="I239" s="21">
        <f>IF(ISERR(B236*H239),"",((B236*H239)))</f>
        <v>668447838.5337986</v>
      </c>
    </row>
    <row r="240" spans="1:9" ht="12.75">
      <c r="A240" t="s">
        <v>935</v>
      </c>
      <c r="B240" s="31">
        <v>0.75</v>
      </c>
      <c r="C240" s="30"/>
      <c r="D240" s="25">
        <v>2010</v>
      </c>
      <c r="E240" s="23">
        <f>IF(D240&lt;=B239,B234*EXP(B235*(D240-D235)),"")</f>
        <v>7023510.037887761</v>
      </c>
      <c r="F240" s="24">
        <f>IF(D240&gt;B239,"",IF(B237&gt;D240,"",IF(B237=D240,B238,IF(B237&lt;D240,(D240-B237)*B241+B238,B240))))</f>
        <v>0.42500000000000004</v>
      </c>
      <c r="G240" s="23">
        <f>IF(ISERR(F240*E240),IF(D240&gt;B239,G239,""),F240*E240)</f>
        <v>2984991.766102299</v>
      </c>
      <c r="H240" s="22">
        <f>IF(ISERR(G240-G238),"",(G240-G238))</f>
        <v>2189123.8126491145</v>
      </c>
      <c r="I240" s="21">
        <f>IF(ISERR(B236*H240),"",((B236*H240)))</f>
        <v>1254223462.4763076</v>
      </c>
    </row>
    <row r="241" spans="1:9" ht="12.75">
      <c r="A241" s="29" t="s">
        <v>934</v>
      </c>
      <c r="B241" s="28">
        <f>(B240-B238)/(B239-B237)</f>
        <v>0.1625</v>
      </c>
      <c r="D241" s="25">
        <v>2011</v>
      </c>
      <c r="E241" s="23">
        <f>IF(D241&lt;=B239,B234*EXP(B235*(D241-D235)),"")</f>
        <v>6597977.076393333</v>
      </c>
      <c r="F241" s="24">
        <f>IF(D241&gt;B239,"",IF(B237&gt;D241,"",IF(B237=D241,B238,IF(B237&lt;D241,(D241-B237)*B241+B238,B240))))</f>
        <v>0.5875</v>
      </c>
      <c r="G241" s="23">
        <f>IF(ISERR(F241*E241),IF(D241&gt;B239,G240,""),F241*E241)</f>
        <v>3876311.5323810834</v>
      </c>
      <c r="H241" s="22">
        <f>IF(ISERR(G241-G238),"",(G241-G238))</f>
        <v>3080443.578927899</v>
      </c>
      <c r="I241" s="21">
        <f>IF(ISERR(B236*H241),"",((B236*H241)))</f>
        <v>1764890861.4494767</v>
      </c>
    </row>
    <row r="242" spans="1:9" ht="12.75">
      <c r="A242"/>
      <c r="D242" s="25">
        <v>2012</v>
      </c>
      <c r="E242" s="23">
        <f>IF(D242&lt;=B239,B234*EXP(B235*(D242-D235)),"")</f>
        <v>6198225.853707763</v>
      </c>
      <c r="F242" s="24">
        <f>IF(D242&gt;B239,"",IF(B237&gt;D242,"",IF(B237=D242,B238,IF(B237&lt;D242,(D242-B237)*B241+B238,B240))))</f>
        <v>0.75</v>
      </c>
      <c r="G242" s="23">
        <f>IF(ISERR(F242*E242),IF(D242&gt;B239,G241,""),F242*E242)</f>
        <v>4648669.390280822</v>
      </c>
      <c r="H242" s="22">
        <f>IF(ISERR(G242-G238),"",(G242-G238))</f>
        <v>3852801.4368276377</v>
      </c>
      <c r="I242" s="21">
        <f>IF(ISERR(B236*H242),"",((B236*H242)))</f>
        <v>2207400938.407406</v>
      </c>
    </row>
    <row r="243" spans="1:9" ht="12.75">
      <c r="A243"/>
      <c r="D243" s="25">
        <v>2013</v>
      </c>
      <c r="E243" s="23">
        <f>IF(D243&lt;=B239,B234*EXP(B235*(D243-D235)),"")</f>
      </c>
      <c r="F243" s="24">
        <f>IF(D243&gt;B239,"",IF(B237&gt;D243,"",IF(B237=D243,B238,IF(B237&lt;D243,(D243-B237)*B241+B238,B240))))</f>
      </c>
      <c r="G243" s="23">
        <f>IF(ISERR(F243*E243),IF(D243&gt;B239,G242,""),F243*E243)</f>
        <v>4648669.390280822</v>
      </c>
      <c r="H243" s="22">
        <f>IF(ISERR(G243-G238),"",(G243-G238))</f>
        <v>3852801.4368276377</v>
      </c>
      <c r="I243" s="21">
        <f>IF(ISERR(B236*H243),"",((B236*H243)))</f>
        <v>2207400938.407406</v>
      </c>
    </row>
    <row r="244" spans="1:9" ht="12.75">
      <c r="A244" t="s">
        <v>763</v>
      </c>
      <c r="B244" s="27">
        <f>VLOOKUP(B239,D235:I260,6,FALSE)</f>
        <v>2207400938.407406</v>
      </c>
      <c r="D244" s="25">
        <v>2014</v>
      </c>
      <c r="E244" s="23">
        <f>IF(D244&lt;=B239,B234*EXP(B235*(D244-D235)),"")</f>
      </c>
      <c r="F244" s="24">
        <f>IF(D244&gt;B239,"",IF(B237&gt;D244,"",IF(B237=D244,B238,IF(B237&lt;D244,(D244-B237)*B241+B238,B240))))</f>
      </c>
      <c r="G244" s="23">
        <f>IF(ISERR(F244*E244),IF(D244&gt;B239,G243,""),F244*E244)</f>
        <v>4648669.390280822</v>
      </c>
      <c r="H244" s="22">
        <f>IF(ISERR(G244-G238),"",(G244-G238))</f>
        <v>3852801.4368276377</v>
      </c>
      <c r="I244" s="21">
        <f>IF(ISERR(B236*H244),"",((B236*H244)))</f>
        <v>2207400938.407406</v>
      </c>
    </row>
    <row r="245" spans="1:9" ht="12.75">
      <c r="A245" t="s">
        <v>762</v>
      </c>
      <c r="B245" s="27">
        <f>SUM(I239:I260)</f>
        <v>45628179992.20032</v>
      </c>
      <c r="D245" s="25">
        <v>2015</v>
      </c>
      <c r="E245" s="23">
        <f>IF(D245&lt;=B239,B234*EXP(B235*(D245-D235)),"")</f>
      </c>
      <c r="F245" s="24">
        <f>IF(D245&gt;B239,"",IF(B237&gt;D245,"",IF(B237=D245,B238,IF(B237&lt;D245,(D245-B237)*B241+B238,B240))))</f>
      </c>
      <c r="G245" s="23">
        <f>IF(ISERR(F245*E245),IF(D245&gt;B239,G244,""),F245*E245)</f>
        <v>4648669.390280822</v>
      </c>
      <c r="H245" s="22">
        <f>IF(ISERR(G245-G238),"",(G245-G238))</f>
        <v>3852801.4368276377</v>
      </c>
      <c r="I245" s="21">
        <f>IF(ISERR(B236*H245),"",((B236*H245)))</f>
        <v>2207400938.407406</v>
      </c>
    </row>
    <row r="246" spans="1:9" ht="12.75">
      <c r="A246" t="s">
        <v>992</v>
      </c>
      <c r="B246" s="26">
        <f>B244/(10^12)</f>
        <v>0.002207400938407406</v>
      </c>
      <c r="D246" s="25">
        <v>2016</v>
      </c>
      <c r="E246" s="23">
        <f>IF(D246&lt;=B239,B234*EXP(B235*(D246-D235)),"")</f>
      </c>
      <c r="F246" s="24">
        <f>IF(D246&gt;B239,"",IF(B237&gt;D246,"",IF(B237=D246,B238,IF(B237&lt;D246,(D246-B237)*B241+B238,B240))))</f>
      </c>
      <c r="G246" s="23">
        <f>IF(ISERR(F246*E246),IF(D246&gt;B239,G245,""),F246*E246)</f>
        <v>4648669.390280822</v>
      </c>
      <c r="H246" s="22">
        <f>IF(ISERR(G246-G238),"",(G246-G238))</f>
        <v>3852801.4368276377</v>
      </c>
      <c r="I246" s="21">
        <f>IF(ISERR(B236*H246),"",((B236*H246)))</f>
        <v>2207400938.407406</v>
      </c>
    </row>
    <row r="247" spans="1:9" ht="12.75">
      <c r="A247" t="s">
        <v>908</v>
      </c>
      <c r="B247" s="26">
        <f>B245/(10^12)</f>
        <v>0.04562817999220032</v>
      </c>
      <c r="D247" s="25">
        <v>2017</v>
      </c>
      <c r="E247" s="23">
        <f>IF(D247&lt;=B239,B234*EXP(B235*(D247-D235)),"")</f>
      </c>
      <c r="F247" s="24">
        <f>IF(D247&gt;B239,"",IF(B237&gt;D247,"",IF(B237=D247,B238,IF(B237&lt;D247,(D247-B237)*B241+B238,B240))))</f>
      </c>
      <c r="G247" s="23">
        <f>IF(ISERR(F247*E247),IF(D247&gt;B239,G246,""),F247*E247)</f>
        <v>4648669.390280822</v>
      </c>
      <c r="H247" s="22">
        <f>IF(ISERR(G247-G238),"",(G247-G238))</f>
        <v>3852801.4368276377</v>
      </c>
      <c r="I247" s="21">
        <f>IF(ISERR(B236*H247),"",((B236*H247)))</f>
        <v>2207400938.407406</v>
      </c>
    </row>
    <row r="248" spans="1:9" ht="12.75">
      <c r="A248"/>
      <c r="D248" s="25">
        <v>2018</v>
      </c>
      <c r="E248" s="23">
        <f>IF(D248&lt;=B239,B234*EXP(B235*(D248-D235)),"")</f>
      </c>
      <c r="F248" s="24">
        <f>IF(D248&gt;B239,"",IF(B237&gt;D248,"",IF(B237=D248,B238,IF(B237&lt;D248,(D248-B237)*B241+B238,B240))))</f>
      </c>
      <c r="G248" s="23">
        <f>IF(ISERR(F248*E248),IF(D248&gt;B239,G247,""),F248*E248)</f>
        <v>4648669.390280822</v>
      </c>
      <c r="H248" s="22">
        <f>IF(ISERR(G248-G238),"",(G248-G238))</f>
        <v>3852801.4368276377</v>
      </c>
      <c r="I248" s="21">
        <f>IF(ISERR(B236*H248),"",((B236*H248)))</f>
        <v>2207400938.407406</v>
      </c>
    </row>
    <row r="249" spans="1:9" ht="12.75">
      <c r="A249"/>
      <c r="D249" s="25">
        <v>2019</v>
      </c>
      <c r="E249" s="23">
        <f>IF(D249&lt;=B239,B234*EXP(B235*(D249-D235)),"")</f>
      </c>
      <c r="F249" s="24">
        <f>IF(D249&gt;B239,"",IF(B237&gt;D249,"",IF(B237=D249,B238,IF(B237&lt;D249,(D249-B237)*B241+B238,B240))))</f>
      </c>
      <c r="G249" s="23">
        <f>IF(ISERR(F249*E249),IF(D249&gt;B239,G248,""),F249*E249)</f>
        <v>4648669.390280822</v>
      </c>
      <c r="H249" s="22">
        <f>IF(ISERR(G249-G238),"",(G249-G238))</f>
        <v>3852801.4368276377</v>
      </c>
      <c r="I249" s="21">
        <f>IF(ISERR(B236*H249),"",((B236*H249)))</f>
        <v>2207400938.407406</v>
      </c>
    </row>
    <row r="250" spans="1:9" ht="12.75">
      <c r="A250"/>
      <c r="D250" s="25">
        <v>2020</v>
      </c>
      <c r="E250" s="23">
        <f>IF(D250&lt;=B239,B234*EXP(B235*(D250-D235)),"")</f>
      </c>
      <c r="F250" s="24">
        <f>IF(D250&gt;B239,"",IF(B237&gt;D250,"",IF(B237=D250,B238,IF(B237&lt;D250,(D250-B237)*B241+B238,B240))))</f>
      </c>
      <c r="G250" s="23">
        <f>IF(ISERR(F250*E250),IF(D250&gt;B239,G249,""),F250*E250)</f>
        <v>4648669.390280822</v>
      </c>
      <c r="H250" s="22">
        <f>IF(ISERR(G250-G238),"",(G250-G238))</f>
        <v>3852801.4368276377</v>
      </c>
      <c r="I250" s="21">
        <f>IF(ISERR(B236*H250),"",((B236*H250)))</f>
        <v>2207400938.407406</v>
      </c>
    </row>
    <row r="251" spans="1:9" ht="12.75">
      <c r="A251"/>
      <c r="D251" s="25">
        <v>2021</v>
      </c>
      <c r="E251" s="23">
        <f>IF(D251&lt;=B239,B234*EXP(B235*(D251-D235)),"")</f>
      </c>
      <c r="F251" s="24">
        <f>IF(D251&gt;B239,"",IF(B237&gt;D251,"",IF(B237=D251,B238,IF(B237&lt;D251,(D251-B237)*B241+B238,B240))))</f>
      </c>
      <c r="G251" s="23">
        <f>IF(ISERR(F251*E251),IF(D251&gt;B239,G250,""),F251*E251)</f>
        <v>4648669.390280822</v>
      </c>
      <c r="H251" s="22">
        <f>IF(ISERR(G251-G238),"",(G251-G238))</f>
        <v>3852801.4368276377</v>
      </c>
      <c r="I251" s="21">
        <f>IF(ISERR(B236*H251),"",((B236*H251)))</f>
        <v>2207400938.407406</v>
      </c>
    </row>
    <row r="252" spans="1:9" ht="12.75">
      <c r="A252"/>
      <c r="D252" s="25">
        <v>2022</v>
      </c>
      <c r="E252" s="23">
        <f>IF(D252&lt;=B239,B234*EXP(B235*(D252-D235)),"")</f>
      </c>
      <c r="F252" s="24">
        <f>IF(D252&gt;B239,"",IF(B237&gt;D252,"",IF(B237=D252,B238,IF(B237&lt;D252,(D252-B237)*B241+B238,B240))))</f>
      </c>
      <c r="G252" s="23">
        <f>IF(ISERR(F252*E252),IF(D252&gt;B239,G251,""),F252*E252)</f>
        <v>4648669.390280822</v>
      </c>
      <c r="H252" s="22">
        <f>IF(ISERR(G252-G238),"",(G252-G238))</f>
        <v>3852801.4368276377</v>
      </c>
      <c r="I252" s="21">
        <f>IF(ISERR(B236*H252),"",((B236*H252)))</f>
        <v>2207400938.407406</v>
      </c>
    </row>
    <row r="253" spans="1:9" ht="12.75">
      <c r="A253"/>
      <c r="D253" s="25">
        <v>2023</v>
      </c>
      <c r="E253" s="23">
        <f>IF(D253&lt;=B239,B234*EXP(B235*(D253-D235)),"")</f>
      </c>
      <c r="F253" s="24">
        <f>IF(D253&gt;B239,"",IF(B237&gt;D253,"",IF(B237=D253,B238,IF(B237&lt;D253,(D253-B237)*B241+B238,B240))))</f>
      </c>
      <c r="G253" s="23">
        <f>IF(ISERR(F253*E253),IF(D253&gt;B239,G252,""),F253*E253)</f>
        <v>4648669.390280822</v>
      </c>
      <c r="H253" s="22">
        <f>IF(ISERR(G253-G238),"",(G253-G238))</f>
        <v>3852801.4368276377</v>
      </c>
      <c r="I253" s="21">
        <f>IF(ISERR(B236*H253),"",((B236*H253)))</f>
        <v>2207400938.407406</v>
      </c>
    </row>
    <row r="254" spans="1:9" ht="12.75">
      <c r="A254"/>
      <c r="D254" s="25">
        <v>2024</v>
      </c>
      <c r="E254" s="23">
        <f>IF(D254&lt;=B239,B234*EXP(B235*(D254-D235)),"")</f>
      </c>
      <c r="F254" s="24">
        <f>IF(D254&gt;B239,"",IF(B237&gt;D254,"",IF(B237=D254,B238,IF(B237&lt;D254,(D254-B237)*B241+B238,B240))))</f>
      </c>
      <c r="G254" s="23">
        <f>IF(ISERR(F254*E254),IF(D254&gt;B239,G253,""),F254*E254)</f>
        <v>4648669.390280822</v>
      </c>
      <c r="H254" s="22">
        <f>IF(ISERR(G254-G238),"",(G254-G238))</f>
        <v>3852801.4368276377</v>
      </c>
      <c r="I254" s="21">
        <f>IF(ISERR(B236*H254),"",((B236*H254)))</f>
        <v>2207400938.407406</v>
      </c>
    </row>
    <row r="255" spans="1:9" ht="12.75">
      <c r="A255"/>
      <c r="D255" s="25">
        <v>2025</v>
      </c>
      <c r="E255" s="23">
        <f>IF(D255&lt;=B239,B234*EXP(B235*(D255-D235)),"")</f>
      </c>
      <c r="F255" s="24">
        <f>IF(D255&gt;B239,"",IF(B237&gt;D255,"",IF(B237=D255,B238,IF(B237&lt;D255,(D255-B237)*B241+B238,B240))))</f>
      </c>
      <c r="G255" s="23">
        <f>IF(ISERR(F255*E255),IF(D255&gt;B239,G254,""),F255*E255)</f>
        <v>4648669.390280822</v>
      </c>
      <c r="H255" s="22">
        <f>IF(ISERR(G255-G238),"",(G255-G238))</f>
        <v>3852801.4368276377</v>
      </c>
      <c r="I255" s="21">
        <f>IF(ISERR(B236*H255),"",((B236*H255)))</f>
        <v>2207400938.407406</v>
      </c>
    </row>
    <row r="256" spans="1:9" ht="12.75">
      <c r="A256"/>
      <c r="D256" s="25">
        <v>2026</v>
      </c>
      <c r="E256" s="23">
        <f>IF(D256&lt;=B239,B234*EXP(B235*(D256-D235)),"")</f>
      </c>
      <c r="F256" s="24">
        <f>IF(D256&gt;B239,"",IF(B237&gt;D256,"",IF(B237=D256,B238,IF(B237&lt;D256,(D256-B237)*B241+B238,B240))))</f>
      </c>
      <c r="G256" s="23">
        <f>IF(ISERR(F256*E256),IF(D256&gt;B239,G255,""),F256*E256)</f>
        <v>4648669.390280822</v>
      </c>
      <c r="H256" s="22">
        <f>IF(ISERR(G256-G238),"",(G256-G238))</f>
        <v>3852801.4368276377</v>
      </c>
      <c r="I256" s="21">
        <f>IF(ISERR(B236*H256),"",((B236*H256)))</f>
        <v>2207400938.407406</v>
      </c>
    </row>
    <row r="257" spans="1:9" ht="12.75">
      <c r="A257"/>
      <c r="D257" s="25">
        <v>2027</v>
      </c>
      <c r="E257" s="23">
        <f>IF(D257&lt;=B239,B234*EXP(B235*(D257-D235)),"")</f>
      </c>
      <c r="F257" s="24">
        <f>IF(D257&gt;B239,"",IF(B237&gt;D257,"",IF(B237=D257,B238,IF(B237&lt;D257,(D257-B237)*B241+B238,B240))))</f>
      </c>
      <c r="G257" s="23">
        <f>IF(ISERR(F257*E257),IF(D257&gt;B239,G256,""),F257*E257)</f>
        <v>4648669.390280822</v>
      </c>
      <c r="H257" s="22">
        <f>IF(ISERR(G257-G238),"",(G257-G238))</f>
        <v>3852801.4368276377</v>
      </c>
      <c r="I257" s="21">
        <f>IF(ISERR(B236*H257),"",((B236*H257)))</f>
        <v>2207400938.407406</v>
      </c>
    </row>
    <row r="258" spans="1:9" ht="12.75">
      <c r="A258"/>
      <c r="D258" s="25">
        <v>2028</v>
      </c>
      <c r="E258" s="23">
        <f>IF(D258&lt;=B239,B234*EXP(B235*(D258-D235)),"")</f>
      </c>
      <c r="F258" s="24">
        <f>IF(D258&gt;B239,"",IF(B237&gt;D258,"",IF(B237=D258,B238,IF(B237&lt;D258,(D258-B237)*B241+B238,B240))))</f>
      </c>
      <c r="G258" s="23">
        <f>IF(ISERR(F258*E258),IF(D258&gt;B239,G257,""),F258*E258)</f>
        <v>4648669.390280822</v>
      </c>
      <c r="H258" s="22">
        <f>IF(ISERR(G258-G238),"",(G258-G238))</f>
        <v>3852801.4368276377</v>
      </c>
      <c r="I258" s="21">
        <f>IF(ISERR(B236*H258),"",((B236*H258)))</f>
        <v>2207400938.407406</v>
      </c>
    </row>
    <row r="259" spans="1:9" ht="12.75">
      <c r="A259"/>
      <c r="D259" s="25">
        <v>2029</v>
      </c>
      <c r="E259" s="23">
        <f>IF(D259&lt;=B239,B234*EXP(B235*(D259-D235)),"")</f>
      </c>
      <c r="F259" s="24">
        <f>IF(D259&gt;B239,"",IF(B237&gt;D259,"",IF(B237=D259,B238,IF(B237&lt;D259,(D259-B237)*B241+B238,B240))))</f>
      </c>
      <c r="G259" s="23">
        <f>IF(ISERR(F259*E259),IF(D259&gt;B239,G258,""),F259*E259)</f>
        <v>4648669.390280822</v>
      </c>
      <c r="H259" s="22">
        <f>IF(ISERR(G259-G238),"",(G259-G238))</f>
        <v>3852801.4368276377</v>
      </c>
      <c r="I259" s="21">
        <f>IF(ISERR(B236*H259),"",((B236*H259)))</f>
        <v>2207400938.407406</v>
      </c>
    </row>
    <row r="260" spans="1:9" ht="13.5" thickBot="1">
      <c r="A260"/>
      <c r="D260" s="20">
        <v>2030</v>
      </c>
      <c r="E260" s="18">
        <f>IF(D260&lt;=B239,B234*EXP(B235*(D260-D235)),"")</f>
      </c>
      <c r="F260" s="19">
        <f>IF(D260&gt;B239,"",IF(B237&gt;D260,"",IF(B237=D260,B238,IF(B237&lt;D260,(D260-B237)*B241+B238,B240))))</f>
      </c>
      <c r="G260" s="18">
        <f>IF(ISERR(F260*E260),IF(D260&gt;B239,G259,""),F260*E260)</f>
        <v>4648669.390280822</v>
      </c>
      <c r="H260" s="17">
        <f>IF(ISERR(G260-G238),"",(G260-G238))</f>
        <v>3852801.4368276377</v>
      </c>
      <c r="I260" s="16">
        <f>IF(ISERR(B236*H260),"",((B236*H260)))</f>
        <v>2207400938.407406</v>
      </c>
    </row>
  </sheetData>
  <mergeCells count="29">
    <mergeCell ref="A81:F81"/>
    <mergeCell ref="A8:I8"/>
    <mergeCell ref="A80:F80"/>
    <mergeCell ref="A42:I42"/>
    <mergeCell ref="A43:H43"/>
    <mergeCell ref="A44:I44"/>
    <mergeCell ref="A45:C45"/>
    <mergeCell ref="A1:I1"/>
    <mergeCell ref="A5:I5"/>
    <mergeCell ref="A6:I6"/>
    <mergeCell ref="A7:I7"/>
    <mergeCell ref="A191:F191"/>
    <mergeCell ref="A188:F188"/>
    <mergeCell ref="A155:F155"/>
    <mergeCell ref="A156:F156"/>
    <mergeCell ref="A189:F189"/>
    <mergeCell ref="A190:F190"/>
    <mergeCell ref="A154:F154"/>
    <mergeCell ref="A82:F82"/>
    <mergeCell ref="A153:F153"/>
    <mergeCell ref="A119:F119"/>
    <mergeCell ref="A118:F118"/>
    <mergeCell ref="A116:F116"/>
    <mergeCell ref="A117:F117"/>
    <mergeCell ref="A83:C83"/>
    <mergeCell ref="A225:F225"/>
    <mergeCell ref="A226:F226"/>
    <mergeCell ref="A227:F227"/>
    <mergeCell ref="A228:F228"/>
  </mergeCells>
  <hyperlinks>
    <hyperlink ref="D10" r:id="rId1" display="http://www.iea.org/Textbase/country/m_country.asp?COUNTRY_CODE=DE&amp;Submit=Submit"/>
    <hyperlink ref="D47" r:id="rId2" display="http://www.iea.org/Textbase/country/n_country.asp?COUNTRY_CODE=BR&amp;Submit=Submit"/>
    <hyperlink ref="B84" r:id="rId3" display="http://www.iea.org/Textbase/country/m_country.asp?COUNTRY_CODE=NZ&amp;Submit=Submit"/>
    <hyperlink ref="B193" r:id="rId4" display="http://www.iea.org/Textbase/country/n_country.asp?COUNTRY_CODE=JM&amp;Submit=Submit"/>
    <hyperlink ref="A8" r:id="rId5" display="http://www.ren21.net/wiap/detail.asp?id=89"/>
    <hyperlink ref="A45" r:id="rId6" display="http://www.ren21.net/wiap/detail.asp?id=96"/>
    <hyperlink ref="A83" r:id="rId7" display="http://www.ren21.net/wiap/detail.asp?id=57"/>
    <hyperlink ref="A119" r:id="rId8" display="http://www.ren21.net/wiap/detail.asp?id=146"/>
    <hyperlink ref="A156" r:id="rId9" display="http://www.ren21.net/wiap/detail.asp?id=31"/>
    <hyperlink ref="A192" r:id="rId10" display="http://www.ren21.net/wiap/detail.asp?id=73"/>
    <hyperlink ref="A229" r:id="rId11" display="http://www.ren21.net/wiap/detail.asp?id=37"/>
  </hyperlinks>
  <printOptions/>
  <pageMargins left="0.75" right="0.75" top="1" bottom="1" header="0.5" footer="0.5"/>
  <pageSetup orientation="portrait"/>
  <drawing r:id="rId12"/>
</worksheet>
</file>

<file path=xl/worksheets/sheet3.xml><?xml version="1.0" encoding="utf-8"?>
<worksheet xmlns="http://schemas.openxmlformats.org/spreadsheetml/2006/main" xmlns:r="http://schemas.openxmlformats.org/officeDocument/2006/relationships">
  <dimension ref="A1:X628"/>
  <sheetViews>
    <sheetView zoomScale="90" zoomScaleNormal="90" workbookViewId="0" topLeftCell="A528">
      <selection activeCell="A558" sqref="A558:F558"/>
    </sheetView>
  </sheetViews>
  <sheetFormatPr defaultColWidth="8.7109375" defaultRowHeight="12.75"/>
  <cols>
    <col min="1" max="1" width="43.28125" style="15" customWidth="1"/>
    <col min="2" max="4" width="12.7109375" style="0" customWidth="1"/>
    <col min="5" max="5" width="17.7109375" style="0" customWidth="1"/>
    <col min="6" max="6" width="17.28125" style="0" customWidth="1"/>
    <col min="7" max="8" width="13.28125" style="0" customWidth="1"/>
    <col min="9" max="9" width="10.421875" style="0" customWidth="1"/>
    <col min="10" max="10" width="24.00390625" style="0" customWidth="1"/>
    <col min="11" max="11" width="12.140625" style="0" customWidth="1"/>
    <col min="12" max="12" width="32.421875" style="0" customWidth="1"/>
    <col min="13" max="13" width="18.421875" style="0" customWidth="1"/>
    <col min="14" max="14" width="20.00390625" style="0" customWidth="1"/>
    <col min="15" max="18" width="11.421875" style="0" customWidth="1"/>
    <col min="19" max="19" width="19.00390625" style="0" customWidth="1"/>
    <col min="20" max="16384" width="11.421875" style="0" customWidth="1"/>
  </cols>
  <sheetData>
    <row r="1" spans="1:9" ht="21.75" customHeight="1">
      <c r="A1" s="475" t="s">
        <v>1042</v>
      </c>
      <c r="B1" s="476"/>
      <c r="C1" s="476"/>
      <c r="D1" s="476"/>
      <c r="E1" s="476"/>
      <c r="F1" s="476"/>
      <c r="G1" s="476"/>
      <c r="H1" s="476"/>
      <c r="I1" s="476"/>
    </row>
    <row r="3" spans="1:12" ht="15.75" customHeight="1">
      <c r="A3" s="466" t="s">
        <v>706</v>
      </c>
      <c r="B3" s="467"/>
      <c r="C3" s="467"/>
      <c r="D3" s="467"/>
      <c r="E3" s="467"/>
      <c r="F3" s="467"/>
      <c r="G3" s="467"/>
      <c r="H3" s="467"/>
      <c r="I3" s="477"/>
      <c r="J3" s="440"/>
      <c r="K3" s="439"/>
      <c r="L3" s="439"/>
    </row>
    <row r="4" spans="1:12" ht="16.5" customHeight="1">
      <c r="A4" s="468" t="s">
        <v>469</v>
      </c>
      <c r="B4" s="469"/>
      <c r="C4" s="469"/>
      <c r="D4" s="469"/>
      <c r="E4" s="469"/>
      <c r="F4" s="469"/>
      <c r="G4" s="469"/>
      <c r="H4" s="469"/>
      <c r="I4" s="478"/>
      <c r="J4" s="440"/>
      <c r="K4" s="439"/>
      <c r="L4" s="439"/>
    </row>
    <row r="5" spans="1:12" ht="33" customHeight="1">
      <c r="A5" s="470" t="s">
        <v>468</v>
      </c>
      <c r="B5" s="469"/>
      <c r="C5" s="469"/>
      <c r="D5" s="469"/>
      <c r="E5" s="469"/>
      <c r="F5" s="469"/>
      <c r="G5" s="469"/>
      <c r="H5" s="469"/>
      <c r="I5" s="478"/>
      <c r="J5" s="438"/>
      <c r="K5" s="439"/>
      <c r="L5" s="439"/>
    </row>
    <row r="6" spans="1:12" ht="12.75">
      <c r="A6" s="470" t="s">
        <v>467</v>
      </c>
      <c r="B6" s="469"/>
      <c r="C6" s="469"/>
      <c r="D6" s="469"/>
      <c r="E6" s="469"/>
      <c r="F6" s="469"/>
      <c r="G6" s="469"/>
      <c r="H6" s="469"/>
      <c r="I6" s="478"/>
      <c r="J6" s="98"/>
      <c r="K6" s="98"/>
      <c r="L6" s="98"/>
    </row>
    <row r="7" spans="1:9" ht="12.75">
      <c r="A7" s="441" t="s">
        <v>466</v>
      </c>
      <c r="B7" s="442"/>
      <c r="C7" s="442"/>
      <c r="D7" s="442"/>
      <c r="E7" s="442"/>
      <c r="F7" s="442"/>
      <c r="G7" s="442"/>
      <c r="H7" s="442"/>
      <c r="I7" s="443"/>
    </row>
    <row r="8" spans="1:18" s="74" customFormat="1" ht="12.75">
      <c r="A8" s="455" t="s">
        <v>431</v>
      </c>
      <c r="B8" s="455"/>
      <c r="C8" s="455"/>
      <c r="D8" t="s">
        <v>435</v>
      </c>
      <c r="E8" s="104"/>
      <c r="F8" s="103"/>
      <c r="G8" s="103"/>
      <c r="H8"/>
      <c r="I8"/>
      <c r="J8"/>
      <c r="K8"/>
      <c r="L8"/>
      <c r="M8"/>
      <c r="N8"/>
      <c r="O8"/>
      <c r="P8"/>
      <c r="Q8"/>
      <c r="R8"/>
    </row>
    <row r="9" spans="1:19" s="74" customFormat="1" ht="13.5" thickBot="1">
      <c r="A9" s="81"/>
      <c r="B9" s="63"/>
      <c r="C9" s="63"/>
      <c r="D9" s="63"/>
      <c r="E9"/>
      <c r="F9" s="104"/>
      <c r="G9" s="103"/>
      <c r="H9" s="103"/>
      <c r="I9"/>
      <c r="J9"/>
      <c r="K9"/>
      <c r="L9"/>
      <c r="M9"/>
      <c r="N9"/>
      <c r="O9"/>
      <c r="P9"/>
      <c r="Q9"/>
      <c r="R9"/>
      <c r="S9"/>
    </row>
    <row r="10" spans="1:7" ht="51">
      <c r="A10"/>
      <c r="D10" s="46" t="s">
        <v>932</v>
      </c>
      <c r="E10" s="45" t="s">
        <v>929</v>
      </c>
      <c r="F10" s="45" t="s">
        <v>1086</v>
      </c>
      <c r="G10" s="44" t="s">
        <v>928</v>
      </c>
    </row>
    <row r="11" spans="1:7" ht="13.5" thickBot="1">
      <c r="A11" t="s">
        <v>927</v>
      </c>
      <c r="B11" s="57"/>
      <c r="D11" s="43"/>
      <c r="E11" s="41"/>
      <c r="F11" s="41" t="s">
        <v>860</v>
      </c>
      <c r="G11" s="40" t="s">
        <v>859</v>
      </c>
    </row>
    <row r="12" spans="1:7" ht="13.5" thickTop="1">
      <c r="A12" t="s">
        <v>858</v>
      </c>
      <c r="C12" s="30"/>
      <c r="D12" s="25">
        <v>2005</v>
      </c>
      <c r="E12" s="23">
        <f>IF(D12&lt;B14,"",IF(D12=B14,B15,IF(D12&gt;B16,"",(D12-B14)*B18+B15)))</f>
      </c>
      <c r="F12" s="39"/>
      <c r="G12" s="38"/>
    </row>
    <row r="13" spans="1:7" ht="12.75">
      <c r="A13" t="s">
        <v>857</v>
      </c>
      <c r="B13" s="37">
        <v>349</v>
      </c>
      <c r="D13" s="25">
        <v>2006</v>
      </c>
      <c r="E13" s="23">
        <f>IF(D13&lt;B14,"",IF(D13=B14,B15,IF(D13&gt;B16,"",(D13-B14)*B18+B15)))</f>
      </c>
      <c r="F13" s="23"/>
      <c r="G13" s="34"/>
    </row>
    <row r="14" spans="1:7" ht="12.75">
      <c r="A14" t="s">
        <v>856</v>
      </c>
      <c r="B14" s="37">
        <v>2008</v>
      </c>
      <c r="D14" s="25">
        <v>2007</v>
      </c>
      <c r="E14" s="23">
        <f>IF(D14&lt;B14,"",IF(D14=B14,B15,IF(D14&gt;B16,"",(D14-B14)*B18+B15)))</f>
      </c>
      <c r="F14" s="23"/>
      <c r="G14" s="34"/>
    </row>
    <row r="15" spans="1:7" s="33" customFormat="1" ht="12.75">
      <c r="A15" s="33" t="s">
        <v>1059</v>
      </c>
      <c r="B15" s="84">
        <v>0</v>
      </c>
      <c r="C15" s="35"/>
      <c r="D15" s="25">
        <v>2008</v>
      </c>
      <c r="E15" s="23">
        <f>IF(D15&lt;B14,"",IF(D15=B14,B15,IF(D15&gt;B16,"",(D15-B14)*B18+B15)))</f>
        <v>0</v>
      </c>
      <c r="F15" s="23"/>
      <c r="G15" s="34"/>
    </row>
    <row r="16" spans="1:8" ht="12.75">
      <c r="A16" t="s">
        <v>854</v>
      </c>
      <c r="B16" s="32">
        <v>2030</v>
      </c>
      <c r="C16" s="30"/>
      <c r="D16" s="25">
        <v>2009</v>
      </c>
      <c r="E16" s="23">
        <f>IF(D16&lt;B14,"",IF(D16=B14,B15,IF(D16&gt;B16,"",(D16-B14)*B18+B15)))</f>
        <v>3583636363.6363635</v>
      </c>
      <c r="F16" s="22">
        <f>IF(ISERR(E16-E15),IF(D16&gt;B16,F15,""),(E16-E15))</f>
        <v>3583636363.6363635</v>
      </c>
      <c r="G16" s="21">
        <f>IF(ISERR(B13*F16),"",((B13*F16)))</f>
        <v>1250689090909.0908</v>
      </c>
      <c r="H16" s="57"/>
    </row>
    <row r="17" spans="1:8" ht="12.75">
      <c r="A17" t="s">
        <v>1058</v>
      </c>
      <c r="B17" s="102">
        <v>78840000000</v>
      </c>
      <c r="C17" s="30"/>
      <c r="D17" s="25">
        <v>2010</v>
      </c>
      <c r="E17" s="23">
        <f>IF(D17&lt;B14,"",IF(D17=B14,B15,IF(D17&gt;B16,"",(D17-B14)*B18+B15)))</f>
        <v>7167272727.272727</v>
      </c>
      <c r="F17" s="22">
        <f>IF(ISERR(E17-E16),IF(D17&gt;B16,F16,""),(E17-E15))</f>
        <v>7167272727.272727</v>
      </c>
      <c r="G17" s="21">
        <f>IF(ISERR(B13*F17),"",((B13*F17)))</f>
        <v>2501378181818.1816</v>
      </c>
      <c r="H17" s="57"/>
    </row>
    <row r="18" spans="1:7" ht="12.75">
      <c r="A18" s="29" t="s">
        <v>1057</v>
      </c>
      <c r="B18" s="27">
        <f>(B17-B15)/(B16-B14)</f>
        <v>3583636363.6363635</v>
      </c>
      <c r="D18" s="25">
        <v>2011</v>
      </c>
      <c r="E18" s="23">
        <f>IF(D18&lt;B14,"",IF(D18=B14,B15,IF(D18&gt;B16,"",(D18-B14)*B18+B15)))</f>
        <v>10750909090.90909</v>
      </c>
      <c r="F18" s="22">
        <f>IF(ISERR(E18-E17),IF(D18&gt;B16,F17,""),(E18-E15))</f>
        <v>10750909090.90909</v>
      </c>
      <c r="G18" s="21">
        <f>IF(ISERR(B13*F18),"",((B13*F18)))</f>
        <v>3752067272727.2725</v>
      </c>
    </row>
    <row r="19" spans="1:7" ht="12.75">
      <c r="A19"/>
      <c r="D19" s="25">
        <v>2012</v>
      </c>
      <c r="E19" s="23">
        <f>IF(D19&lt;B14,"",IF(D19=B14,B15,IF(D19&gt;B16,"",(D19-B14)*B18+B15)))</f>
        <v>14334545454.545454</v>
      </c>
      <c r="F19" s="22">
        <f>IF(ISERR(E19-E18),IF(D19&gt;B16,F18,""),(E19-E15))</f>
        <v>14334545454.545454</v>
      </c>
      <c r="G19" s="21">
        <f>IF(ISERR(B13*F19),"",((B13*F19)))</f>
        <v>5002756363636.363</v>
      </c>
    </row>
    <row r="20" spans="1:7" ht="12.75">
      <c r="A20"/>
      <c r="D20" s="25">
        <v>2013</v>
      </c>
      <c r="E20" s="23">
        <f>IF(D20&lt;B14,"",IF(D20=B14,B15,IF(D20&gt;B16,"",(D20-B14)*B18+B15)))</f>
        <v>17918181818.181816</v>
      </c>
      <c r="F20" s="22">
        <f>IF(ISERR(E20-E19),IF(D20&gt;B16,F19,""),(E20-E15))</f>
        <v>17918181818.181816</v>
      </c>
      <c r="G20" s="21">
        <f>IF(ISERR(B13*F20),"",((B13*F20)))</f>
        <v>6253445454545.454</v>
      </c>
    </row>
    <row r="21" spans="1:7" ht="12.75">
      <c r="A21" t="s">
        <v>915</v>
      </c>
      <c r="B21" s="27">
        <f>VLOOKUP(B16,D12:G37,4,FALSE)</f>
        <v>27515160000000</v>
      </c>
      <c r="D21" s="25">
        <v>2014</v>
      </c>
      <c r="E21" s="23">
        <f>IF(D21&lt;B14,"",IF(D21=B14,B15,IF(D21&gt;B16,"",(D21-B14)*B18+B15)))</f>
        <v>21501818181.81818</v>
      </c>
      <c r="F21" s="22">
        <f>IF(ISERR(E21-E20),IF(D21&gt;B16,F20,""),(E21-E15))</f>
        <v>21501818181.81818</v>
      </c>
      <c r="G21" s="21">
        <f>IF(ISERR(B13*F21),"",((B13*F21)))</f>
        <v>7504134545454.545</v>
      </c>
    </row>
    <row r="22" spans="1:7" ht="12.75">
      <c r="A22" t="s">
        <v>914</v>
      </c>
      <c r="B22" s="27">
        <f>SUM(G16:G37)</f>
        <v>316424340000000</v>
      </c>
      <c r="D22" s="25">
        <v>2015</v>
      </c>
      <c r="E22" s="23">
        <f>IF(D22&lt;B14,"",IF(D22=B14,B15,IF(D22&gt;B16,"",(D22-B14)*B18+B15)))</f>
        <v>25085454545.454544</v>
      </c>
      <c r="F22" s="22">
        <f>IF(ISERR(E22-E21),IF(D22&gt;B16,F21,""),(E22-E15))</f>
        <v>25085454545.454544</v>
      </c>
      <c r="G22" s="21">
        <f>IF(ISERR(B13*F22),"",((B13*F22)))</f>
        <v>8754823636363.636</v>
      </c>
    </row>
    <row r="23" spans="1:7" ht="12.75">
      <c r="A23" t="s">
        <v>1068</v>
      </c>
      <c r="B23" s="26">
        <f>B21/(10^12)</f>
        <v>27.51516</v>
      </c>
      <c r="D23" s="25">
        <v>2016</v>
      </c>
      <c r="E23" s="23">
        <f>IF(D23&lt;B14,"",IF(D23=B14,B15,IF(D23&gt;B16,"",(D23-B14)*B18+B15)))</f>
        <v>28669090909.090908</v>
      </c>
      <c r="F23" s="22">
        <f>IF(ISERR(E23-E22),IF(D23&gt;B16,F22,""),(E23-E15))</f>
        <v>28669090909.090908</v>
      </c>
      <c r="G23" s="21">
        <f>IF(ISERR(B13*F23),"",((B13*F23)))</f>
        <v>10005512727272.727</v>
      </c>
    </row>
    <row r="24" spans="1:7" ht="12.75">
      <c r="A24" t="s">
        <v>1067</v>
      </c>
      <c r="B24" s="26">
        <f>B22/(10^12)</f>
        <v>316.42434</v>
      </c>
      <c r="D24" s="25">
        <v>2017</v>
      </c>
      <c r="E24" s="23">
        <f>IF(D24&lt;B14,"",IF(D24=B14,B15,IF(D24&gt;B16,"",(D24-B14)*B18+B15)))</f>
        <v>32252727272.727272</v>
      </c>
      <c r="F24" s="22">
        <f>IF(ISERR(E24-E23),IF(D24&gt;B16,F23,""),(E24-E15))</f>
        <v>32252727272.727272</v>
      </c>
      <c r="G24" s="21">
        <f>IF(ISERR(B13*F24),"",((B13*F24)))</f>
        <v>11256201818181.818</v>
      </c>
    </row>
    <row r="25" spans="1:7" ht="12.75">
      <c r="A25"/>
      <c r="D25" s="25">
        <v>2018</v>
      </c>
      <c r="E25" s="23">
        <f>IF(D25&lt;B14,"",IF(D25=B14,B15,IF(D25&gt;B16,"",(D25-B14)*B18+B15)))</f>
        <v>35836363636.36363</v>
      </c>
      <c r="F25" s="22">
        <f>IF(ISERR(E25-E24),IF(D25&gt;B16,F24,""),(E25-E15))</f>
        <v>35836363636.36363</v>
      </c>
      <c r="G25" s="21">
        <f>IF(ISERR(B13*F25),"",((B13*F25)))</f>
        <v>12506890909090.908</v>
      </c>
    </row>
    <row r="26" spans="1:7" ht="12.75">
      <c r="A26"/>
      <c r="D26" s="25">
        <v>2019</v>
      </c>
      <c r="E26" s="23">
        <f>IF(D26&lt;B14,"",IF(D26=B14,B15,IF(D26&gt;B16,"",(D26-B14)*B18+B15)))</f>
        <v>39420000000</v>
      </c>
      <c r="F26" s="22">
        <f>IF(ISERR(E26-E25),IF(D26&gt;B16,F25,""),(E26-E15))</f>
        <v>39420000000</v>
      </c>
      <c r="G26" s="21">
        <f>IF(ISERR(B13*F26),"",((B13*F26)))</f>
        <v>13757580000000</v>
      </c>
    </row>
    <row r="27" spans="1:7" ht="12.75">
      <c r="A27"/>
      <c r="D27" s="25">
        <v>2020</v>
      </c>
      <c r="E27" s="23">
        <f>IF(D27&lt;B14,"",IF(D27=B14,B15,IF(D27&gt;B16,"",(D27-B14)*B18+B15)))</f>
        <v>43003636363.63636</v>
      </c>
      <c r="F27" s="22">
        <f>IF(ISERR(E27-E26),IF(D27&gt;B16,F26,""),(E27-E15))</f>
        <v>43003636363.63636</v>
      </c>
      <c r="G27" s="21">
        <f>IF(ISERR(B13*F27),"",((B13*F27)))</f>
        <v>15008269090909.09</v>
      </c>
    </row>
    <row r="28" spans="1:7" ht="12.75">
      <c r="A28"/>
      <c r="D28" s="25">
        <v>2021</v>
      </c>
      <c r="E28" s="23">
        <f>IF(D28&lt;B14,"",IF(D28=B14,B15,IF(D28&gt;B16,"",(D28-B14)*B18+B15)))</f>
        <v>46587272727.27273</v>
      </c>
      <c r="F28" s="22">
        <f>IF(ISERR(E28-E27),IF(D28&gt;B16,F27,""),(E28-E15))</f>
        <v>46587272727.27273</v>
      </c>
      <c r="G28" s="21">
        <f>IF(ISERR(B13*F28),"",((B13*F28)))</f>
        <v>16258958181818.182</v>
      </c>
    </row>
    <row r="29" spans="1:7" ht="12.75">
      <c r="A29"/>
      <c r="D29" s="25">
        <v>2022</v>
      </c>
      <c r="E29" s="23">
        <f>IF(D29&lt;B14,"",IF(D29=B14,B15,IF(D29&gt;B16,"",(D29-B14)*B18+B15)))</f>
        <v>50170909090.90909</v>
      </c>
      <c r="F29" s="22">
        <f>IF(ISERR(E29-E28),IF(D29&gt;B16,F28,""),(E29-E15))</f>
        <v>50170909090.90909</v>
      </c>
      <c r="G29" s="21">
        <f>IF(ISERR(B13*F29),"",((B13*F29)))</f>
        <v>17509647272727.271</v>
      </c>
    </row>
    <row r="30" spans="1:7" ht="12.75">
      <c r="A30"/>
      <c r="D30" s="25">
        <v>2023</v>
      </c>
      <c r="E30" s="23">
        <f>IF(D30&lt;B14,"",IF(D30=B14,B15,IF(D30&gt;B16,"",(D30-B14)*B18+B15)))</f>
        <v>53754545454.545456</v>
      </c>
      <c r="F30" s="22">
        <f>IF(ISERR(E30-E29),IF(D30&gt;B16,F29,""),(E30-E15))</f>
        <v>53754545454.545456</v>
      </c>
      <c r="G30" s="21">
        <f>IF(ISERR(B13*F30),"",((B13*F30)))</f>
        <v>18760336363636.363</v>
      </c>
    </row>
    <row r="31" spans="1:7" ht="12.75">
      <c r="A31"/>
      <c r="D31" s="25">
        <v>2024</v>
      </c>
      <c r="E31" s="23">
        <f>IF(D31&lt;B14,"",IF(D31=B14,B15,IF(D31&gt;B16,"",(D31-B14)*B18+B15)))</f>
        <v>57338181818.181816</v>
      </c>
      <c r="F31" s="22">
        <f>IF(ISERR(E31-E30),IF(D31&gt;B16,F30,""),(E31-E15))</f>
        <v>57338181818.181816</v>
      </c>
      <c r="G31" s="21">
        <f>IF(ISERR(B13*F31),"",((B13*F31)))</f>
        <v>20011025454545.453</v>
      </c>
    </row>
    <row r="32" spans="1:7" ht="12.75">
      <c r="A32"/>
      <c r="D32" s="25">
        <v>2025</v>
      </c>
      <c r="E32" s="23">
        <f>IF(D32&lt;B14,"",IF(D32=B14,B15,IF(D32&gt;B16,"",(D32-B14)*B18+B15)))</f>
        <v>60921818181.81818</v>
      </c>
      <c r="F32" s="22">
        <f>IF(ISERR(E32-E31),IF(D32&gt;B16,F31,""),(E32-E15))</f>
        <v>60921818181.81818</v>
      </c>
      <c r="G32" s="21">
        <f>IF(ISERR(B13*F32),"",((B13*F32)))</f>
        <v>21261714545454.543</v>
      </c>
    </row>
    <row r="33" spans="1:7" ht="12.75">
      <c r="A33"/>
      <c r="D33" s="25">
        <v>2026</v>
      </c>
      <c r="E33" s="23">
        <f>IF(D33&lt;B14,"",IF(D33=B14,B15,IF(D33&gt;B16,"",(D33-B14)*B18+B15)))</f>
        <v>64505454545.454544</v>
      </c>
      <c r="F33" s="22">
        <f>IF(ISERR(E33-E32),IF(D33&gt;B16,F32,""),(E33-E15))</f>
        <v>64505454545.454544</v>
      </c>
      <c r="G33" s="21">
        <f>IF(ISERR(B13*F33),"",((B13*F33)))</f>
        <v>22512403636363.637</v>
      </c>
    </row>
    <row r="34" spans="1:7" ht="12.75">
      <c r="A34"/>
      <c r="D34" s="25">
        <v>2027</v>
      </c>
      <c r="E34" s="23">
        <f>IF(D34&lt;B14,"",IF(D34=B14,B15,IF(D34&gt;B16,"",(D34-B14)*B18+B15)))</f>
        <v>68089090909.090904</v>
      </c>
      <c r="F34" s="22">
        <f>IF(ISERR(E34-E33),IF(D34&gt;B16,F33,""),(E34-E15))</f>
        <v>68089090909.090904</v>
      </c>
      <c r="G34" s="21">
        <f>IF(ISERR(B13*F34),"",((B13*F34)))</f>
        <v>23763092727272.727</v>
      </c>
    </row>
    <row r="35" spans="1:7" ht="12.75">
      <c r="A35"/>
      <c r="D35" s="25">
        <v>2028</v>
      </c>
      <c r="E35" s="23">
        <f>IF(D35&lt;B14,"",IF(D35=B14,B15,IF(D35&gt;B16,"",(D35-B14)*B18+B15)))</f>
        <v>71672727272.72726</v>
      </c>
      <c r="F35" s="22">
        <f>IF(ISERR(E35-E34),IF(D35&gt;B16,F34,""),(E35-E15))</f>
        <v>71672727272.72726</v>
      </c>
      <c r="G35" s="21">
        <f>IF(ISERR(B13*F35),"",((B13*F35)))</f>
        <v>25013781818181.816</v>
      </c>
    </row>
    <row r="36" spans="1:7" ht="12.75">
      <c r="A36"/>
      <c r="D36" s="25">
        <v>2029</v>
      </c>
      <c r="E36" s="23">
        <f>IF(D36&lt;B14,"",IF(D36=B14,B15,IF(D36&gt;B16,"",(D36-B14)*B18+B15)))</f>
        <v>75256363636.36363</v>
      </c>
      <c r="F36" s="22">
        <f>IF(ISERR(E36-E35),IF(D36&gt;B16,F35,""),(E36-E15))</f>
        <v>75256363636.36363</v>
      </c>
      <c r="G36" s="21">
        <f>IF(ISERR(B13*F36),"",((B13*F36)))</f>
        <v>26264470909090.906</v>
      </c>
    </row>
    <row r="37" spans="1:7" ht="13.5" thickBot="1">
      <c r="A37"/>
      <c r="D37" s="20">
        <v>2030</v>
      </c>
      <c r="E37" s="18">
        <f>IF(D37&lt;B14,"",IF(D37=B14,B15,IF(D37&gt;B16,"",(D37-B14)*B18+B15)))</f>
        <v>78840000000</v>
      </c>
      <c r="F37" s="17">
        <f>IF(ISERR(E37-E36),IF(D37&gt;B16,F36,""),(E37-E15))</f>
        <v>78840000000</v>
      </c>
      <c r="G37" s="16">
        <f>IF(ISERR(B13*F37),"",((B13*F37)))</f>
        <v>27515160000000</v>
      </c>
    </row>
    <row r="38" spans="1:19" s="74" customFormat="1" ht="12.75">
      <c r="A38" s="81"/>
      <c r="B38" s="63"/>
      <c r="C38" s="63"/>
      <c r="D38" s="63"/>
      <c r="E38"/>
      <c r="F38" s="104"/>
      <c r="G38" s="103"/>
      <c r="H38" s="103"/>
      <c r="I38"/>
      <c r="J38"/>
      <c r="K38"/>
      <c r="L38"/>
      <c r="M38"/>
      <c r="N38"/>
      <c r="O38"/>
      <c r="P38"/>
      <c r="Q38"/>
      <c r="R38"/>
      <c r="S38"/>
    </row>
    <row r="39" spans="2:13" ht="12.75">
      <c r="B39" s="67"/>
      <c r="K39" s="63"/>
      <c r="L39" s="63"/>
      <c r="M39" s="63"/>
    </row>
    <row r="40" spans="1:12" ht="15.75" customHeight="1">
      <c r="A40" s="466" t="s">
        <v>97</v>
      </c>
      <c r="B40" s="467"/>
      <c r="C40" s="467"/>
      <c r="D40" s="467"/>
      <c r="E40" s="467"/>
      <c r="F40" s="467"/>
      <c r="G40" s="467"/>
      <c r="H40" s="467"/>
      <c r="I40" s="477"/>
      <c r="J40" s="440"/>
      <c r="K40" s="439"/>
      <c r="L40" s="439"/>
    </row>
    <row r="41" spans="1:12" ht="16.5" customHeight="1">
      <c r="A41" s="468" t="s">
        <v>434</v>
      </c>
      <c r="B41" s="469"/>
      <c r="C41" s="469"/>
      <c r="D41" s="469"/>
      <c r="E41" s="469"/>
      <c r="F41" s="469"/>
      <c r="G41" s="469"/>
      <c r="H41" s="469"/>
      <c r="I41" s="478"/>
      <c r="J41" s="440"/>
      <c r="K41" s="439"/>
      <c r="L41" s="439"/>
    </row>
    <row r="42" spans="1:12" ht="33" customHeight="1">
      <c r="A42" s="470" t="s">
        <v>433</v>
      </c>
      <c r="B42" s="469"/>
      <c r="C42" s="469"/>
      <c r="D42" s="469"/>
      <c r="E42" s="469"/>
      <c r="F42" s="469"/>
      <c r="G42" s="469"/>
      <c r="H42" s="469"/>
      <c r="I42" s="478"/>
      <c r="J42" s="438"/>
      <c r="K42" s="439"/>
      <c r="L42" s="439"/>
    </row>
    <row r="43" spans="1:12" ht="22.5" customHeight="1">
      <c r="A43" s="444" t="s">
        <v>363</v>
      </c>
      <c r="B43" s="474"/>
      <c r="C43" s="474"/>
      <c r="D43" s="474"/>
      <c r="E43" s="474"/>
      <c r="F43" s="474"/>
      <c r="G43" s="474"/>
      <c r="H43" s="474"/>
      <c r="I43" s="480"/>
      <c r="J43" s="98"/>
      <c r="K43" s="98"/>
      <c r="L43" s="98"/>
    </row>
    <row r="44" spans="1:7" ht="12.75">
      <c r="A44" s="455" t="s">
        <v>431</v>
      </c>
      <c r="B44" s="455"/>
      <c r="C44" s="455"/>
      <c r="D44" s="64" t="s">
        <v>430</v>
      </c>
      <c r="E44" s="104"/>
      <c r="F44" s="103"/>
      <c r="G44" s="103"/>
    </row>
    <row r="45" spans="2:8" ht="13.5" thickBot="1">
      <c r="B45" s="63"/>
      <c r="C45" s="63"/>
      <c r="D45" s="63"/>
      <c r="E45" s="64"/>
      <c r="F45" s="104"/>
      <c r="G45" s="103"/>
      <c r="H45" s="103"/>
    </row>
    <row r="46" spans="1:7" ht="51">
      <c r="A46" t="s">
        <v>743</v>
      </c>
      <c r="B46" t="s">
        <v>387</v>
      </c>
      <c r="D46" s="46" t="s">
        <v>932</v>
      </c>
      <c r="E46" s="45" t="s">
        <v>929</v>
      </c>
      <c r="F46" s="45" t="s">
        <v>1086</v>
      </c>
      <c r="G46" s="44" t="s">
        <v>928</v>
      </c>
    </row>
    <row r="47" spans="1:7" ht="13.5" thickBot="1">
      <c r="A47" t="s">
        <v>927</v>
      </c>
      <c r="B47" s="57"/>
      <c r="D47" s="43"/>
      <c r="E47" s="41"/>
      <c r="F47" s="41" t="s">
        <v>860</v>
      </c>
      <c r="G47" s="40" t="s">
        <v>859</v>
      </c>
    </row>
    <row r="48" spans="1:7" ht="13.5" thickTop="1">
      <c r="A48" t="s">
        <v>858</v>
      </c>
      <c r="C48" s="30"/>
      <c r="D48" s="25">
        <v>2005</v>
      </c>
      <c r="E48" s="23">
        <f>IF(D48&lt;B50,"",IF(D48=B50,B51,IF(D48&gt;B52,"",(D48-B50)*B54+B51)))</f>
      </c>
      <c r="F48" s="39"/>
      <c r="G48" s="38"/>
    </row>
    <row r="49" spans="1:7" ht="12.75">
      <c r="A49" t="s">
        <v>857</v>
      </c>
      <c r="B49" s="37">
        <v>405</v>
      </c>
      <c r="D49" s="25">
        <v>2006</v>
      </c>
      <c r="E49" s="23">
        <f>IF(D49&lt;B50,"",IF(D49=B50,B51,IF(D49&gt;B52,"",(D49-B50)*B54+B51)))</f>
      </c>
      <c r="F49" s="23"/>
      <c r="G49" s="34"/>
    </row>
    <row r="50" spans="1:7" ht="12.75">
      <c r="A50" t="s">
        <v>856</v>
      </c>
      <c r="B50" s="37">
        <v>2008</v>
      </c>
      <c r="D50" s="25">
        <v>2007</v>
      </c>
      <c r="E50" s="23">
        <f>IF(D50&lt;B50,"",IF(D50=B50,B51,IF(D50&gt;B52,"",(D50-B50)*B54+B51)))</f>
      </c>
      <c r="F50" s="23"/>
      <c r="G50" s="34"/>
    </row>
    <row r="51" spans="1:7" s="33" customFormat="1" ht="12.75">
      <c r="A51" s="33" t="s">
        <v>1059</v>
      </c>
      <c r="B51" s="84">
        <v>0</v>
      </c>
      <c r="C51" s="35"/>
      <c r="D51" s="25">
        <v>2008</v>
      </c>
      <c r="E51" s="23">
        <f>IF(D51&lt;B50,"",IF(D51=B50,B51,IF(D51&gt;B52,"",(D51-B50)*B54+B51)))</f>
        <v>0</v>
      </c>
      <c r="F51" s="23"/>
      <c r="G51" s="34"/>
    </row>
    <row r="52" spans="1:7" ht="12.75">
      <c r="A52" t="s">
        <v>854</v>
      </c>
      <c r="B52" s="32">
        <v>2016</v>
      </c>
      <c r="C52" s="30"/>
      <c r="D52" s="25">
        <v>2009</v>
      </c>
      <c r="E52" s="23">
        <f>IF(D52&lt;B50,"",IF(D52=B50,B51,IF(D52&gt;B52,"",(D52-B50)*B54+B51)))</f>
        <v>657000000</v>
      </c>
      <c r="F52" s="22">
        <f>IF(ISERR(E52-E51),IF(D52&gt;B52,F51,""),(E52-E51))</f>
        <v>657000000</v>
      </c>
      <c r="G52" s="21">
        <f>IF(ISERR(B49*F52),"",((B49*F52)))</f>
        <v>266085000000</v>
      </c>
    </row>
    <row r="53" spans="1:7" ht="12.75">
      <c r="A53" t="s">
        <v>1058</v>
      </c>
      <c r="B53" s="102">
        <v>5256000000</v>
      </c>
      <c r="C53" s="30"/>
      <c r="D53" s="25">
        <v>2010</v>
      </c>
      <c r="E53" s="23">
        <f>IF(D53&lt;B50,"",IF(D53=B50,B51,IF(D53&gt;B52,"",(D53-B50)*B54+B51)))</f>
        <v>1314000000</v>
      </c>
      <c r="F53" s="22">
        <f>IF(ISERR(E53-E52),IF(D53&gt;B52,F52,""),(E53-E51))</f>
        <v>1314000000</v>
      </c>
      <c r="G53" s="21">
        <f>IF(ISERR(B49*F53),"",((B49*F53)))</f>
        <v>532170000000</v>
      </c>
    </row>
    <row r="54" spans="1:7" ht="12.75">
      <c r="A54" s="29" t="s">
        <v>1057</v>
      </c>
      <c r="B54" s="27">
        <f>(B53-B51)/(B52-B50)</f>
        <v>657000000</v>
      </c>
      <c r="D54" s="25">
        <v>2011</v>
      </c>
      <c r="E54" s="23">
        <f>IF(D54&lt;B50,"",IF(D54=B50,B51,IF(D54&gt;B52,"",(D54-B50)*B54+B51)))</f>
        <v>1971000000</v>
      </c>
      <c r="F54" s="22">
        <f>IF(ISERR(E54-E53),IF(D54&gt;B52,F53,""),(E54-E51))</f>
        <v>1971000000</v>
      </c>
      <c r="G54" s="21">
        <f>IF(ISERR(B49*F54),"",((B49*F54)))</f>
        <v>798255000000</v>
      </c>
    </row>
    <row r="55" spans="1:7" ht="12.75">
      <c r="A55"/>
      <c r="D55" s="25">
        <v>2012</v>
      </c>
      <c r="E55" s="23">
        <f>IF(D55&lt;B50,"",IF(D55=B50,B51,IF(D55&gt;B52,"",(D55-B50)*B54+B51)))</f>
        <v>2628000000</v>
      </c>
      <c r="F55" s="22">
        <f>IF(ISERR(E55-E54),IF(D55&gt;B52,F54,""),(E55-E51))</f>
        <v>2628000000</v>
      </c>
      <c r="G55" s="21">
        <f>IF(ISERR(B49*F55),"",((B49*F55)))</f>
        <v>1064340000000</v>
      </c>
    </row>
    <row r="56" spans="1:7" ht="12.75">
      <c r="A56"/>
      <c r="D56" s="25">
        <v>2013</v>
      </c>
      <c r="E56" s="23">
        <f>IF(D56&lt;B50,"",IF(D56=B50,B51,IF(D56&gt;B52,"",(D56-B50)*B54+B51)))</f>
        <v>3285000000</v>
      </c>
      <c r="F56" s="22">
        <f>IF(ISERR(E56-E55),IF(D56&gt;B52,F55,""),(E56-E51))</f>
        <v>3285000000</v>
      </c>
      <c r="G56" s="21">
        <f>IF(ISERR(B49*F56),"",((B49*F56)))</f>
        <v>1330425000000</v>
      </c>
    </row>
    <row r="57" spans="1:7" ht="12.75">
      <c r="A57" t="s">
        <v>915</v>
      </c>
      <c r="B57" s="27">
        <f>VLOOKUP(B52,D48:G73,4,FALSE)</f>
        <v>2128680000000</v>
      </c>
      <c r="D57" s="25">
        <v>2014</v>
      </c>
      <c r="E57" s="23">
        <f>IF(D57&lt;B50,"",IF(D57=B50,B51,IF(D57&gt;B52,"",(D57-B50)*B54+B51)))</f>
        <v>3942000000</v>
      </c>
      <c r="F57" s="22">
        <f>IF(ISERR(E57-E56),IF(D57&gt;B52,F56,""),(E57-E51))</f>
        <v>3942000000</v>
      </c>
      <c r="G57" s="21">
        <f>IF(ISERR(B49*F57),"",((B49*F57)))</f>
        <v>1596510000000</v>
      </c>
    </row>
    <row r="58" spans="1:7" ht="12.75">
      <c r="A58" t="s">
        <v>914</v>
      </c>
      <c r="B58" s="27">
        <f>SUM(G52:G73)</f>
        <v>39380580000000</v>
      </c>
      <c r="D58" s="25">
        <v>2015</v>
      </c>
      <c r="E58" s="23">
        <f>IF(D58&lt;B50,"",IF(D58=B50,B51,IF(D58&gt;B52,"",(D58-B50)*B54+B51)))</f>
        <v>4599000000</v>
      </c>
      <c r="F58" s="22">
        <f>IF(ISERR(E58-E57),IF(D58&gt;B52,F57,""),(E58-E51))</f>
        <v>4599000000</v>
      </c>
      <c r="G58" s="21">
        <f>IF(ISERR(B49*F58),"",((B49*F58)))</f>
        <v>1862595000000</v>
      </c>
    </row>
    <row r="59" spans="1:7" ht="12.75">
      <c r="A59" t="s">
        <v>1068</v>
      </c>
      <c r="B59" s="26">
        <f>B57/(10^12)</f>
        <v>2.12868</v>
      </c>
      <c r="D59" s="25">
        <v>2016</v>
      </c>
      <c r="E59" s="23">
        <f>IF(D59&lt;B50,"",IF(D59=B50,B51,IF(D59&gt;B52,"",(D59-B50)*B54+B51)))</f>
        <v>5256000000</v>
      </c>
      <c r="F59" s="22">
        <f>IF(ISERR(E59-E58),IF(D59&gt;B52,F58,""),(E59-E51))</f>
        <v>5256000000</v>
      </c>
      <c r="G59" s="21">
        <f>IF(ISERR(B49*F59),"",((B49*F59)))</f>
        <v>2128680000000</v>
      </c>
    </row>
    <row r="60" spans="1:7" ht="12.75">
      <c r="A60" t="s">
        <v>1067</v>
      </c>
      <c r="B60" s="26">
        <f>B58/(10^12)</f>
        <v>39.38058</v>
      </c>
      <c r="D60" s="25">
        <v>2017</v>
      </c>
      <c r="E60" s="23">
        <f>IF(D60&lt;B50,"",IF(D60=B50,B51,IF(D60&gt;B52,"",(D60-B50)*B54+B51)))</f>
      </c>
      <c r="F60" s="22">
        <f>IF(ISERR(E60-E59),IF(D60&gt;B52,F59,""),(E60-E51))</f>
        <v>5256000000</v>
      </c>
      <c r="G60" s="21">
        <f>IF(ISERR(B49*F60),"",((B49*F60)))</f>
        <v>2128680000000</v>
      </c>
    </row>
    <row r="61" spans="1:7" ht="12.75">
      <c r="A61"/>
      <c r="D61" s="25">
        <v>2018</v>
      </c>
      <c r="E61" s="23">
        <f>IF(D61&lt;B50,"",IF(D61=B50,B51,IF(D61&gt;B52,"",(D61-B50)*B54+B51)))</f>
      </c>
      <c r="F61" s="22">
        <f>IF(ISERR(E61-E60),IF(D61&gt;B52,F60,""),(E61-E51))</f>
        <v>5256000000</v>
      </c>
      <c r="G61" s="21">
        <f>IF(ISERR(B49*F61),"",((B49*F61)))</f>
        <v>2128680000000</v>
      </c>
    </row>
    <row r="62" spans="1:7" ht="12.75">
      <c r="A62"/>
      <c r="D62" s="25">
        <v>2019</v>
      </c>
      <c r="E62" s="23">
        <f>IF(D62&lt;B50,"",IF(D62=B50,B51,IF(D62&gt;B52,"",(D62-B50)*B54+B51)))</f>
      </c>
      <c r="F62" s="22">
        <f>IF(ISERR(E62-E61),IF(D62&gt;B52,F61,""),(E62-E51))</f>
        <v>5256000000</v>
      </c>
      <c r="G62" s="21">
        <f>IF(ISERR(B49*F62),"",((B49*F62)))</f>
        <v>2128680000000</v>
      </c>
    </row>
    <row r="63" spans="1:7" ht="12.75">
      <c r="A63" s="452" t="s">
        <v>790</v>
      </c>
      <c r="B63" s="452"/>
      <c r="D63" s="25">
        <v>2020</v>
      </c>
      <c r="E63" s="23">
        <f>IF(D63&lt;B50,"",IF(D63=B50,B51,IF(D63&gt;B52,"",(D63-B50)*B54+B51)))</f>
      </c>
      <c r="F63" s="22">
        <f>IF(ISERR(E63-E62),IF(D63&gt;B52,F62,""),(E63-E51))</f>
        <v>5256000000</v>
      </c>
      <c r="G63" s="21">
        <f>IF(ISERR(B49*F63),"",((B49*F63)))</f>
        <v>2128680000000</v>
      </c>
    </row>
    <row r="64" spans="1:7" ht="12.75">
      <c r="A64" s="452"/>
      <c r="B64" s="452"/>
      <c r="D64" s="25">
        <v>2021</v>
      </c>
      <c r="E64" s="23">
        <f>IF(D64&lt;B50,"",IF(D64=B50,B51,IF(D64&gt;B52,"",(D64-B50)*B54+B51)))</f>
      </c>
      <c r="F64" s="22">
        <f>IF(ISERR(E64-E63),IF(D64&gt;B52,F63,""),(E64-E51))</f>
        <v>5256000000</v>
      </c>
      <c r="G64" s="21">
        <f>IF(ISERR(B49*F64),"",((B49*F64)))</f>
        <v>2128680000000</v>
      </c>
    </row>
    <row r="65" spans="1:7" ht="12.75">
      <c r="A65" s="453"/>
      <c r="B65" s="453"/>
      <c r="D65" s="25">
        <v>2022</v>
      </c>
      <c r="E65" s="23">
        <f>IF(D65&lt;B50,"",IF(D65=B50,B51,IF(D65&gt;B52,"",(D65-B50)*B54+B51)))</f>
      </c>
      <c r="F65" s="22">
        <f>IF(ISERR(E65-E64),IF(D65&gt;B52,F64,""),(E65-E51))</f>
        <v>5256000000</v>
      </c>
      <c r="G65" s="21">
        <f>IF(ISERR(B49*F65),"",((B49*F65)))</f>
        <v>2128680000000</v>
      </c>
    </row>
    <row r="66" spans="1:7" ht="12.75">
      <c r="A66"/>
      <c r="D66" s="25">
        <v>2023</v>
      </c>
      <c r="E66" s="23">
        <f>IF(D66&lt;B50,"",IF(D66=B50,B51,IF(D66&gt;B52,"",(D66-B50)*B54+B51)))</f>
      </c>
      <c r="F66" s="22">
        <f>IF(ISERR(E66-E65),IF(D66&gt;B52,F65,""),(E66-E51))</f>
        <v>5256000000</v>
      </c>
      <c r="G66" s="21">
        <f>IF(ISERR(B49*F66),"",((B49*F66)))</f>
        <v>2128680000000</v>
      </c>
    </row>
    <row r="67" spans="1:7" ht="12.75">
      <c r="A67"/>
      <c r="D67" s="25">
        <v>2024</v>
      </c>
      <c r="E67" s="23">
        <f>IF(D67&lt;B50,"",IF(D67=B50,B51,IF(D67&gt;B52,"",(D67-B50)*B54+B51)))</f>
      </c>
      <c r="F67" s="22">
        <f>IF(ISERR(E67-E66),IF(D67&gt;B52,F66,""),(E67-E51))</f>
        <v>5256000000</v>
      </c>
      <c r="G67" s="21">
        <f>IF(ISERR(B49*F67),"",((B49*F67)))</f>
        <v>2128680000000</v>
      </c>
    </row>
    <row r="68" spans="1:7" ht="12.75">
      <c r="A68"/>
      <c r="D68" s="25">
        <v>2025</v>
      </c>
      <c r="E68" s="23">
        <f>IF(D68&lt;B50,"",IF(D68=B50,B51,IF(D68&gt;B52,"",(D68-B50)*B54+B51)))</f>
      </c>
      <c r="F68" s="22">
        <f>IF(ISERR(E68-E67),IF(D68&gt;B52,F67,""),(E68-E51))</f>
        <v>5256000000</v>
      </c>
      <c r="G68" s="21">
        <f>IF(ISERR(B49*F68),"",((B49*F68)))</f>
        <v>2128680000000</v>
      </c>
    </row>
    <row r="69" spans="1:7" ht="12.75">
      <c r="A69"/>
      <c r="D69" s="25">
        <v>2026</v>
      </c>
      <c r="E69" s="23">
        <f>IF(D69&lt;B50,"",IF(D69=B50,B51,IF(D69&gt;B52,"",(D69-B50)*B54+B51)))</f>
      </c>
      <c r="F69" s="22">
        <f>IF(ISERR(E69-E68),IF(D69&gt;B52,F68,""),(E69-E51))</f>
        <v>5256000000</v>
      </c>
      <c r="G69" s="21">
        <f>IF(ISERR(B49*F69),"",((B49*F69)))</f>
        <v>2128680000000</v>
      </c>
    </row>
    <row r="70" spans="1:7" ht="12.75">
      <c r="A70"/>
      <c r="D70" s="25">
        <v>2027</v>
      </c>
      <c r="E70" s="23">
        <f>IF(D70&lt;B50,"",IF(D70=B50,B51,IF(D70&gt;B52,"",(D70-B50)*B54+B51)))</f>
      </c>
      <c r="F70" s="22">
        <f>IF(ISERR(E70-E69),IF(D70&gt;B52,F69,""),(E70-E51))</f>
        <v>5256000000</v>
      </c>
      <c r="G70" s="21">
        <f>IF(ISERR(B49*F70),"",((B49*F70)))</f>
        <v>2128680000000</v>
      </c>
    </row>
    <row r="71" spans="1:7" ht="12.75">
      <c r="A71"/>
      <c r="D71" s="25">
        <v>2028</v>
      </c>
      <c r="E71" s="23">
        <f>IF(D71&lt;B50,"",IF(D71=B50,B51,IF(D71&gt;B52,"",(D71-B50)*B54+B51)))</f>
      </c>
      <c r="F71" s="22">
        <f>IF(ISERR(E71-E70),IF(D71&gt;B52,F70,""),(E71-E51))</f>
        <v>5256000000</v>
      </c>
      <c r="G71" s="21">
        <f>IF(ISERR(B49*F71),"",((B49*F71)))</f>
        <v>2128680000000</v>
      </c>
    </row>
    <row r="72" spans="1:7" ht="12.75">
      <c r="A72"/>
      <c r="D72" s="25">
        <v>2029</v>
      </c>
      <c r="E72" s="23">
        <f>IF(D72&lt;B50,"",IF(D72=B50,B51,IF(D72&gt;B52,"",(D72-B50)*B54+B51)))</f>
      </c>
      <c r="F72" s="22">
        <f>IF(ISERR(E72-E71),IF(D72&gt;B52,F71,""),(E72-E51))</f>
        <v>5256000000</v>
      </c>
      <c r="G72" s="21">
        <f>IF(ISERR(B49*F72),"",((B49*F72)))</f>
        <v>2128680000000</v>
      </c>
    </row>
    <row r="73" spans="1:7" ht="13.5" thickBot="1">
      <c r="A73"/>
      <c r="D73" s="20">
        <v>2030</v>
      </c>
      <c r="E73" s="18">
        <f>IF(D73&lt;B50,"",IF(D73=B50,B51,IF(D73&gt;B52,"",(D73-B50)*B54+B51)))</f>
      </c>
      <c r="F73" s="17">
        <f>IF(ISERR(E73-E72),IF(D73&gt;B52,F72,""),(E73-E51))</f>
        <v>5256000000</v>
      </c>
      <c r="G73" s="16">
        <f>IF(ISERR(B49*F73),"",((B49*F73)))</f>
        <v>2128680000000</v>
      </c>
    </row>
    <row r="74" spans="2:13" ht="12.75">
      <c r="B74" s="67"/>
      <c r="K74" s="63"/>
      <c r="L74" s="63"/>
      <c r="M74" s="63"/>
    </row>
    <row r="75" spans="1:9" ht="12.75" customHeight="1">
      <c r="A75" s="466" t="s">
        <v>1099</v>
      </c>
      <c r="B75" s="467"/>
      <c r="C75" s="467"/>
      <c r="D75" s="467"/>
      <c r="E75" s="467"/>
      <c r="F75" s="467"/>
      <c r="G75" s="55"/>
      <c r="H75" s="55"/>
      <c r="I75" s="54"/>
    </row>
    <row r="76" spans="1:9" ht="12.75" customHeight="1">
      <c r="A76" s="468" t="s">
        <v>714</v>
      </c>
      <c r="B76" s="471"/>
      <c r="C76" s="471"/>
      <c r="D76" s="471"/>
      <c r="E76" s="471"/>
      <c r="F76" s="471"/>
      <c r="G76" s="52"/>
      <c r="H76" s="52"/>
      <c r="I76" s="51"/>
    </row>
    <row r="77" spans="1:9" ht="12.75">
      <c r="A77" s="470" t="s">
        <v>1098</v>
      </c>
      <c r="B77" s="469"/>
      <c r="C77" s="469"/>
      <c r="D77" s="469"/>
      <c r="E77" s="469"/>
      <c r="F77" s="469"/>
      <c r="G77" s="52"/>
      <c r="H77" s="52"/>
      <c r="I77" s="51"/>
    </row>
    <row r="78" spans="1:9" ht="27" customHeight="1">
      <c r="A78" s="473" t="s">
        <v>1097</v>
      </c>
      <c r="B78" s="474"/>
      <c r="C78" s="474"/>
      <c r="D78" s="474"/>
      <c r="E78" s="474"/>
      <c r="F78" s="474"/>
      <c r="G78" s="49"/>
      <c r="H78" s="49"/>
      <c r="I78" s="48"/>
    </row>
    <row r="80" spans="1:4" ht="12.75">
      <c r="A80" t="s">
        <v>952</v>
      </c>
      <c r="D80" s="64" t="s">
        <v>1096</v>
      </c>
    </row>
    <row r="81" ht="13.5" thickBot="1">
      <c r="E81" s="64"/>
    </row>
    <row r="82" spans="1:7" ht="51">
      <c r="A82" t="s">
        <v>743</v>
      </c>
      <c r="D82" s="46" t="s">
        <v>932</v>
      </c>
      <c r="E82" s="45" t="s">
        <v>929</v>
      </c>
      <c r="F82" s="45" t="s">
        <v>1086</v>
      </c>
      <c r="G82" s="44" t="s">
        <v>928</v>
      </c>
    </row>
    <row r="83" spans="1:7" ht="13.5" thickBot="1">
      <c r="A83" t="s">
        <v>927</v>
      </c>
      <c r="B83" s="57"/>
      <c r="D83" s="43"/>
      <c r="E83" s="41"/>
      <c r="F83" s="41" t="s">
        <v>860</v>
      </c>
      <c r="G83" s="40" t="s">
        <v>859</v>
      </c>
    </row>
    <row r="84" spans="1:7" ht="13.5" thickTop="1">
      <c r="A84" t="s">
        <v>858</v>
      </c>
      <c r="C84" s="30"/>
      <c r="D84" s="25">
        <v>2005</v>
      </c>
      <c r="E84" s="23">
        <f>IF(D84&lt;B86,"",IF(D84=B86,B87,IF(D84&gt;B88,"",(D84-B86)*B90+B87)))</f>
        <v>0</v>
      </c>
      <c r="F84" s="39"/>
      <c r="G84" s="38"/>
    </row>
    <row r="85" spans="1:7" ht="12.75">
      <c r="A85" t="s">
        <v>857</v>
      </c>
      <c r="B85" s="37">
        <v>26</v>
      </c>
      <c r="D85" s="25">
        <v>2006</v>
      </c>
      <c r="E85" s="23">
        <f>IF(D85&lt;B86,"",IF(D85=B86,B87,IF(D85&gt;B88,"",(D85-B86)*B90+B87)))</f>
        <v>216000000</v>
      </c>
      <c r="F85" s="23"/>
      <c r="G85" s="34"/>
    </row>
    <row r="86" spans="1:7" ht="12.75">
      <c r="A86" t="s">
        <v>856</v>
      </c>
      <c r="B86" s="37">
        <v>2005</v>
      </c>
      <c r="D86" s="25">
        <v>2007</v>
      </c>
      <c r="E86" s="23">
        <f>IF(D86&lt;B86,"",IF(D86=B86,B87,IF(D86&gt;B88,"",(D86-B86)*B90+B87)))</f>
        <v>432000000</v>
      </c>
      <c r="F86" s="23"/>
      <c r="G86" s="34"/>
    </row>
    <row r="87" spans="1:7" s="33" customFormat="1" ht="12.75">
      <c r="A87" s="33" t="s">
        <v>1059</v>
      </c>
      <c r="B87" s="84">
        <v>0</v>
      </c>
      <c r="C87" s="35"/>
      <c r="D87" s="25">
        <v>2008</v>
      </c>
      <c r="E87" s="23">
        <f>IF(D87&lt;B86,"",IF(D87=B86,B87,IF(D87&gt;B88,"",(D87-B86)*B90+B87)))</f>
        <v>648000000</v>
      </c>
      <c r="F87" s="23"/>
      <c r="G87" s="34"/>
    </row>
    <row r="88" spans="1:7" ht="12.75">
      <c r="A88" t="s">
        <v>854</v>
      </c>
      <c r="B88" s="32">
        <v>2030</v>
      </c>
      <c r="C88" s="30"/>
      <c r="D88" s="25">
        <v>2009</v>
      </c>
      <c r="E88" s="23">
        <f>IF(D88&lt;B86,"",IF(D88=B86,B87,IF(D88&gt;B88,"",(D88-B86)*B90+B87)))</f>
        <v>864000000</v>
      </c>
      <c r="F88" s="22">
        <f>IF(ISERR(E88-E87),IF(D88&gt;B88,F87,""),(E88-E87))</f>
        <v>216000000</v>
      </c>
      <c r="G88" s="21">
        <f>IF(ISERR(B85*F88),"",((B85*F88)))</f>
        <v>5616000000</v>
      </c>
    </row>
    <row r="89" spans="1:7" ht="12.75">
      <c r="A89" t="s">
        <v>1058</v>
      </c>
      <c r="B89" s="58">
        <f>5.4*10^9</f>
        <v>5400000000</v>
      </c>
      <c r="C89" s="30"/>
      <c r="D89" s="25">
        <v>2010</v>
      </c>
      <c r="E89" s="23">
        <f>IF(D89&lt;B86,"",IF(D89=B86,B87,IF(D89&gt;B88,"",(D89-B86)*B90+B87)))</f>
        <v>1080000000</v>
      </c>
      <c r="F89" s="22">
        <f>IF(ISERR(E89-E88),IF(D89&gt;B88,F88,""),(E89-E87))</f>
        <v>432000000</v>
      </c>
      <c r="G89" s="21">
        <f>IF(ISERR(B85*F89),"",((B85*F89)))</f>
        <v>11232000000</v>
      </c>
    </row>
    <row r="90" spans="1:7" ht="12.75">
      <c r="A90" s="29" t="s">
        <v>1057</v>
      </c>
      <c r="B90" s="27">
        <f>(B89-B87)/(B88-B86)</f>
        <v>216000000</v>
      </c>
      <c r="D90" s="25">
        <v>2011</v>
      </c>
      <c r="E90" s="23">
        <f>IF(D90&lt;B86,"",IF(D90=B86,B87,IF(D90&gt;B88,"",(D90-B86)*B90+B87)))</f>
        <v>1296000000</v>
      </c>
      <c r="F90" s="22">
        <f>IF(ISERR(E90-E89),IF(D90&gt;B88,F89,""),(E90-E87))</f>
        <v>648000000</v>
      </c>
      <c r="G90" s="21">
        <f>IF(ISERR(B85*F90),"",((B85*F90)))</f>
        <v>16848000000</v>
      </c>
    </row>
    <row r="91" spans="1:7" ht="12.75">
      <c r="A91"/>
      <c r="D91" s="25">
        <v>2012</v>
      </c>
      <c r="E91" s="23">
        <f>IF(D91&lt;B86,"",IF(D91=B86,B87,IF(D91&gt;B88,"",(D91-B86)*B90+B87)))</f>
        <v>1512000000</v>
      </c>
      <c r="F91" s="22">
        <f>IF(ISERR(E91-E90),IF(D91&gt;B88,F90,""),(E91-E87))</f>
        <v>864000000</v>
      </c>
      <c r="G91" s="21">
        <f>IF(ISERR(B85*F91),"",((B85*F91)))</f>
        <v>22464000000</v>
      </c>
    </row>
    <row r="92" spans="1:7" ht="12.75">
      <c r="A92"/>
      <c r="D92" s="25">
        <v>2013</v>
      </c>
      <c r="E92" s="23">
        <f>IF(D92&lt;B86,"",IF(D92=B86,B87,IF(D92&gt;B88,"",(D92-B86)*B90+B87)))</f>
        <v>1728000000</v>
      </c>
      <c r="F92" s="22">
        <f>IF(ISERR(E92-E91),IF(D92&gt;B88,F91,""),(E92-E87))</f>
        <v>1080000000</v>
      </c>
      <c r="G92" s="21">
        <f>IF(ISERR(B85*F92),"",((B85*F92)))</f>
        <v>28080000000</v>
      </c>
    </row>
    <row r="93" spans="1:7" ht="12.75">
      <c r="A93" t="s">
        <v>915</v>
      </c>
      <c r="B93" s="27">
        <f>VLOOKUP(B88,D84:G109,4,FALSE)</f>
        <v>123552000000</v>
      </c>
      <c r="D93" s="25">
        <v>2014</v>
      </c>
      <c r="E93" s="23">
        <f>IF(D93&lt;B86,"",IF(D93=B86,B87,IF(D93&gt;B88,"",(D93-B86)*B90+B87)))</f>
        <v>1944000000</v>
      </c>
      <c r="F93" s="22">
        <f>IF(ISERR(E93-E92),IF(D93&gt;B88,F92,""),(E93-E87))</f>
        <v>1296000000</v>
      </c>
      <c r="G93" s="21">
        <f>IF(ISERR(B85*F93),"",((B85*F93)))</f>
        <v>33696000000</v>
      </c>
    </row>
    <row r="94" spans="1:7" ht="12.75">
      <c r="A94" t="s">
        <v>914</v>
      </c>
      <c r="B94" s="27">
        <f>SUM(G88:G109)</f>
        <v>1420848000000</v>
      </c>
      <c r="D94" s="25">
        <v>2015</v>
      </c>
      <c r="E94" s="23">
        <f>IF(D94&lt;B86,"",IF(D94=B86,B87,IF(D94&gt;B88,"",(D94-B86)*B90+B87)))</f>
        <v>2160000000</v>
      </c>
      <c r="F94" s="22">
        <f>IF(ISERR(E94-E93),IF(D94&gt;B88,F93,""),(E94-E87))</f>
        <v>1512000000</v>
      </c>
      <c r="G94" s="21">
        <f>IF(ISERR(B85*F94),"",((B85*F94)))</f>
        <v>39312000000</v>
      </c>
    </row>
    <row r="95" spans="1:7" ht="12.75">
      <c r="A95" t="s">
        <v>1068</v>
      </c>
      <c r="B95" s="26">
        <f>B93/(10^12)</f>
        <v>0.123552</v>
      </c>
      <c r="D95" s="25">
        <v>2016</v>
      </c>
      <c r="E95" s="23">
        <f>IF(D95&lt;B86,"",IF(D95=B86,B87,IF(D95&gt;B88,"",(D95-B86)*B90+B87)))</f>
        <v>2376000000</v>
      </c>
      <c r="F95" s="22">
        <f>IF(ISERR(E95-E94),IF(D95&gt;B88,F94,""),(E95-E87))</f>
        <v>1728000000</v>
      </c>
      <c r="G95" s="21">
        <f>IF(ISERR(B85*F95),"",((B85*F95)))</f>
        <v>44928000000</v>
      </c>
    </row>
    <row r="96" spans="1:7" ht="12.75">
      <c r="A96" t="s">
        <v>1067</v>
      </c>
      <c r="B96" s="26">
        <f>B94/(10^12)</f>
        <v>1.420848</v>
      </c>
      <c r="D96" s="25">
        <v>2017</v>
      </c>
      <c r="E96" s="23">
        <f>IF(D96&lt;B86,"",IF(D96=B86,B87,IF(D96&gt;B88,"",(D96-B86)*B90+B87)))</f>
        <v>2592000000</v>
      </c>
      <c r="F96" s="22">
        <f>IF(ISERR(E96-E95),IF(D96&gt;B88,F95,""),(E96-E87))</f>
        <v>1944000000</v>
      </c>
      <c r="G96" s="21">
        <f>IF(ISERR(B85*F96),"",((B85*F96)))</f>
        <v>50544000000</v>
      </c>
    </row>
    <row r="97" spans="1:7" ht="12.75">
      <c r="A97"/>
      <c r="D97" s="25">
        <v>2018</v>
      </c>
      <c r="E97" s="23">
        <f>IF(D97&lt;B86,"",IF(D97=B86,B87,IF(D97&gt;B88,"",(D97-B86)*B90+B87)))</f>
        <v>2808000000</v>
      </c>
      <c r="F97" s="22">
        <f>IF(ISERR(E97-E96),IF(D97&gt;B88,F96,""),(E97-E87))</f>
        <v>2160000000</v>
      </c>
      <c r="G97" s="21">
        <f>IF(ISERR(B85*F97),"",((B85*F97)))</f>
        <v>56160000000</v>
      </c>
    </row>
    <row r="98" spans="1:7" ht="12.75">
      <c r="A98"/>
      <c r="D98" s="25">
        <v>2019</v>
      </c>
      <c r="E98" s="23">
        <f>IF(D98&lt;B86,"",IF(D98=B86,B87,IF(D98&gt;B88,"",(D98-B86)*B90+B87)))</f>
        <v>3024000000</v>
      </c>
      <c r="F98" s="22">
        <f>IF(ISERR(E98-E97),IF(D98&gt;B88,F97,""),(E98-E87))</f>
        <v>2376000000</v>
      </c>
      <c r="G98" s="21">
        <f>IF(ISERR(B85*F98),"",((B85*F98)))</f>
        <v>61776000000</v>
      </c>
    </row>
    <row r="99" spans="1:7" ht="12.75">
      <c r="A99"/>
      <c r="D99" s="25">
        <v>2020</v>
      </c>
      <c r="E99" s="23">
        <f>IF(D99&lt;B86,"",IF(D99=B86,B87,IF(D99&gt;B88,"",(D99-B86)*B90+B87)))</f>
        <v>3240000000</v>
      </c>
      <c r="F99" s="22">
        <f>IF(ISERR(E99-E98),IF(D99&gt;B88,F98,""),(E99-E87))</f>
        <v>2592000000</v>
      </c>
      <c r="G99" s="21">
        <f>IF(ISERR(B85*F99),"",((B85*F99)))</f>
        <v>67392000000</v>
      </c>
    </row>
    <row r="100" spans="1:7" ht="12.75">
      <c r="A100"/>
      <c r="D100" s="25">
        <v>2021</v>
      </c>
      <c r="E100" s="23">
        <f>IF(D100&lt;B86,"",IF(D100=B86,B87,IF(D100&gt;B88,"",(D100-B86)*B90+B87)))</f>
        <v>3456000000</v>
      </c>
      <c r="F100" s="22">
        <f>IF(ISERR(E100-E99),IF(D100&gt;B88,F99,""),(E100-E87))</f>
        <v>2808000000</v>
      </c>
      <c r="G100" s="21">
        <f>IF(ISERR(B85*F100),"",((B85*F100)))</f>
        <v>73008000000</v>
      </c>
    </row>
    <row r="101" spans="1:7" ht="12.75">
      <c r="A101"/>
      <c r="D101" s="25">
        <v>2022</v>
      </c>
      <c r="E101" s="23">
        <f>IF(D101&lt;B86,"",IF(D101=B86,B87,IF(D101&gt;B88,"",(D101-B86)*B90+B87)))</f>
        <v>3672000000</v>
      </c>
      <c r="F101" s="22">
        <f>IF(ISERR(E101-E100),IF(D101&gt;B88,F100,""),(E101-E87))</f>
        <v>3024000000</v>
      </c>
      <c r="G101" s="21">
        <f>IF(ISERR(B85*F101),"",((B85*F101)))</f>
        <v>78624000000</v>
      </c>
    </row>
    <row r="102" spans="1:7" ht="12.75">
      <c r="A102"/>
      <c r="D102" s="25">
        <v>2023</v>
      </c>
      <c r="E102" s="23">
        <f>IF(D102&lt;B86,"",IF(D102=B86,B87,IF(D102&gt;B88,"",(D102-B86)*B90+B87)))</f>
        <v>3888000000</v>
      </c>
      <c r="F102" s="22">
        <f>IF(ISERR(E102-E101),IF(D102&gt;B88,F101,""),(E102-E87))</f>
        <v>3240000000</v>
      </c>
      <c r="G102" s="21">
        <f>IF(ISERR(B85*F102),"",((B85*F102)))</f>
        <v>84240000000</v>
      </c>
    </row>
    <row r="103" spans="1:7" ht="12.75">
      <c r="A103"/>
      <c r="D103" s="25">
        <v>2024</v>
      </c>
      <c r="E103" s="23">
        <f>IF(D103&lt;B86,"",IF(D103=B86,B87,IF(D103&gt;B88,"",(D103-B86)*B90+B87)))</f>
        <v>4104000000</v>
      </c>
      <c r="F103" s="22">
        <f>IF(ISERR(E103-E102),IF(D103&gt;B88,F102,""),(E103-E87))</f>
        <v>3456000000</v>
      </c>
      <c r="G103" s="21">
        <f>IF(ISERR(B85*F103),"",((B85*F103)))</f>
        <v>89856000000</v>
      </c>
    </row>
    <row r="104" spans="1:7" ht="12.75">
      <c r="A104"/>
      <c r="D104" s="25">
        <v>2025</v>
      </c>
      <c r="E104" s="23">
        <f>IF(D104&lt;B86,"",IF(D104=B86,B87,IF(D104&gt;B88,"",(D104-B86)*B90+B87)))</f>
        <v>4320000000</v>
      </c>
      <c r="F104" s="22">
        <f>IF(ISERR(E104-E103),IF(D104&gt;B88,F103,""),(E104-E87))</f>
        <v>3672000000</v>
      </c>
      <c r="G104" s="21">
        <f>IF(ISERR(B85*F104),"",((B85*F104)))</f>
        <v>95472000000</v>
      </c>
    </row>
    <row r="105" spans="1:7" ht="12.75">
      <c r="A105"/>
      <c r="D105" s="25">
        <v>2026</v>
      </c>
      <c r="E105" s="23">
        <f>IF(D105&lt;B86,"",IF(D105=B86,B87,IF(D105&gt;B88,"",(D105-B86)*B90+B87)))</f>
        <v>4536000000</v>
      </c>
      <c r="F105" s="22">
        <f>IF(ISERR(E105-E104),IF(D105&gt;B88,F104,""),(E105-E87))</f>
        <v>3888000000</v>
      </c>
      <c r="G105" s="21">
        <f>IF(ISERR(B85*F105),"",((B85*F105)))</f>
        <v>101088000000</v>
      </c>
    </row>
    <row r="106" spans="1:7" ht="12.75">
      <c r="A106"/>
      <c r="D106" s="25">
        <v>2027</v>
      </c>
      <c r="E106" s="23">
        <f>IF(D106&lt;B86,"",IF(D106=B86,B87,IF(D106&gt;B88,"",(D106-B86)*B90+B87)))</f>
        <v>4752000000</v>
      </c>
      <c r="F106" s="22">
        <f>IF(ISERR(E106-E105),IF(D106&gt;B88,F105,""),(E106-E87))</f>
        <v>4104000000</v>
      </c>
      <c r="G106" s="21">
        <f>IF(ISERR(B85*F106),"",((B85*F106)))</f>
        <v>106704000000</v>
      </c>
    </row>
    <row r="107" spans="1:7" ht="12.75">
      <c r="A107"/>
      <c r="D107" s="25">
        <v>2028</v>
      </c>
      <c r="E107" s="23">
        <f>IF(D107&lt;B86,"",IF(D107=B86,B87,IF(D107&gt;B88,"",(D107-B86)*B90+B87)))</f>
        <v>4968000000</v>
      </c>
      <c r="F107" s="22">
        <f>IF(ISERR(E107-E106),IF(D107&gt;B88,F106,""),(E107-E87))</f>
        <v>4320000000</v>
      </c>
      <c r="G107" s="21">
        <f>IF(ISERR(B85*F107),"",((B85*F107)))</f>
        <v>112320000000</v>
      </c>
    </row>
    <row r="108" spans="1:7" ht="12.75">
      <c r="A108"/>
      <c r="D108" s="25">
        <v>2029</v>
      </c>
      <c r="E108" s="23">
        <f>IF(D108&lt;B86,"",IF(D108=B86,B87,IF(D108&gt;B88,"",(D108-B86)*B90+B87)))</f>
        <v>5184000000</v>
      </c>
      <c r="F108" s="22">
        <f>IF(ISERR(E108-E107),IF(D108&gt;B88,F107,""),(E108-E87))</f>
        <v>4536000000</v>
      </c>
      <c r="G108" s="21">
        <f>IF(ISERR(B85*F108),"",((B85*F108)))</f>
        <v>117936000000</v>
      </c>
    </row>
    <row r="109" spans="1:7" ht="13.5" thickBot="1">
      <c r="A109"/>
      <c r="D109" s="20">
        <v>2030</v>
      </c>
      <c r="E109" s="18">
        <f>IF(D109&lt;B86,"",IF(D109=B86,B87,IF(D109&gt;B88,"",(D109-B86)*B90+B87)))</f>
        <v>5400000000</v>
      </c>
      <c r="F109" s="17">
        <f>IF(ISERR(E109-E108),IF(D109&gt;B88,F108,""),(E109-E87))</f>
        <v>4752000000</v>
      </c>
      <c r="G109" s="16">
        <f>IF(ISERR(B85*F109),"",((B85*F109)))</f>
        <v>123552000000</v>
      </c>
    </row>
    <row r="110" spans="2:13" ht="12.75">
      <c r="B110" s="67"/>
      <c r="K110" s="63"/>
      <c r="L110" s="63"/>
      <c r="M110" s="63"/>
    </row>
    <row r="111" spans="1:9" ht="12.75" customHeight="1">
      <c r="A111" s="466" t="s">
        <v>604</v>
      </c>
      <c r="B111" s="467"/>
      <c r="C111" s="467"/>
      <c r="D111" s="467"/>
      <c r="E111" s="467"/>
      <c r="F111" s="467"/>
      <c r="G111" s="55"/>
      <c r="H111" s="55"/>
      <c r="I111" s="54"/>
    </row>
    <row r="112" spans="1:9" ht="12.75" customHeight="1">
      <c r="A112" s="468" t="s">
        <v>714</v>
      </c>
      <c r="B112" s="471"/>
      <c r="C112" s="471"/>
      <c r="D112" s="471"/>
      <c r="E112" s="471"/>
      <c r="F112" s="471"/>
      <c r="G112" s="52"/>
      <c r="H112" s="52"/>
      <c r="I112" s="51"/>
    </row>
    <row r="113" spans="1:9" ht="18" customHeight="1">
      <c r="A113" s="470" t="s">
        <v>713</v>
      </c>
      <c r="B113" s="469"/>
      <c r="C113" s="469"/>
      <c r="D113" s="469"/>
      <c r="E113" s="469"/>
      <c r="F113" s="469"/>
      <c r="G113" s="52"/>
      <c r="H113" s="52"/>
      <c r="I113" s="51"/>
    </row>
    <row r="114" spans="1:9" ht="21" customHeight="1">
      <c r="A114" s="473" t="s">
        <v>655</v>
      </c>
      <c r="B114" s="474"/>
      <c r="C114" s="474"/>
      <c r="D114" s="474"/>
      <c r="E114" s="474"/>
      <c r="F114" s="474"/>
      <c r="G114" s="49"/>
      <c r="H114" s="49"/>
      <c r="I114" s="48"/>
    </row>
    <row r="116" spans="1:8" ht="12.75">
      <c r="A116" s="63" t="s">
        <v>952</v>
      </c>
      <c r="B116" s="63"/>
      <c r="C116" s="63"/>
      <c r="D116" s="101" t="s">
        <v>712</v>
      </c>
      <c r="E116" s="97"/>
      <c r="F116" s="97"/>
      <c r="G116" s="97"/>
      <c r="H116" s="97"/>
    </row>
    <row r="117" spans="1:19" s="74" customFormat="1" ht="13.5" thickBot="1">
      <c r="A117" s="81"/>
      <c r="B117" s="63"/>
      <c r="C117" s="63"/>
      <c r="D117" s="63"/>
      <c r="E117" s="101"/>
      <c r="F117" s="97"/>
      <c r="G117" s="97"/>
      <c r="H117" s="97"/>
      <c r="I117" s="97"/>
      <c r="J117"/>
      <c r="K117"/>
      <c r="L117"/>
      <c r="M117"/>
      <c r="N117"/>
      <c r="O117"/>
      <c r="P117"/>
      <c r="Q117"/>
      <c r="R117"/>
      <c r="S117"/>
    </row>
    <row r="118" spans="1:7" ht="51">
      <c r="A118" t="s">
        <v>743</v>
      </c>
      <c r="D118" s="46" t="s">
        <v>932</v>
      </c>
      <c r="E118" s="45" t="s">
        <v>929</v>
      </c>
      <c r="F118" s="45" t="s">
        <v>1086</v>
      </c>
      <c r="G118" s="44" t="s">
        <v>928</v>
      </c>
    </row>
    <row r="119" spans="1:7" ht="13.5" thickBot="1">
      <c r="A119" t="s">
        <v>927</v>
      </c>
      <c r="B119" s="57"/>
      <c r="D119" s="43"/>
      <c r="E119" s="41"/>
      <c r="F119" s="41" t="s">
        <v>860</v>
      </c>
      <c r="G119" s="40" t="s">
        <v>859</v>
      </c>
    </row>
    <row r="120" spans="1:7" ht="13.5" thickTop="1">
      <c r="A120" t="s">
        <v>858</v>
      </c>
      <c r="C120" s="30"/>
      <c r="D120" s="25">
        <v>2005</v>
      </c>
      <c r="E120" s="23">
        <f>IF(D120&lt;B122,"",IF(D120=B122,B123,IF(D120&gt;B124,"",(D120-B122)*B126+B123)))</f>
        <v>0</v>
      </c>
      <c r="F120" s="39"/>
      <c r="G120" s="38"/>
    </row>
    <row r="121" spans="1:7" ht="12.75">
      <c r="A121" t="s">
        <v>857</v>
      </c>
      <c r="B121" s="37">
        <v>6</v>
      </c>
      <c r="D121" s="25">
        <v>2006</v>
      </c>
      <c r="E121" s="23">
        <f>IF(D121&lt;B122,"",IF(D121=B122,B123,IF(D121&gt;B124,"",(D121-B122)*B126+B123)))</f>
        <v>2727272727.2727275</v>
      </c>
      <c r="F121" s="23"/>
      <c r="G121" s="34"/>
    </row>
    <row r="122" spans="1:7" ht="12.75">
      <c r="A122" t="s">
        <v>856</v>
      </c>
      <c r="B122" s="37">
        <v>2005</v>
      </c>
      <c r="D122" s="25">
        <v>2007</v>
      </c>
      <c r="E122" s="23">
        <f>IF(D122&lt;B122,"",IF(D122=B122,B123,IF(D122&gt;B124,"",(D122-B122)*B126+B123)))</f>
        <v>5454545454.545455</v>
      </c>
      <c r="F122" s="23"/>
      <c r="G122" s="34"/>
    </row>
    <row r="123" spans="1:7" s="33" customFormat="1" ht="12.75">
      <c r="A123" s="33" t="s">
        <v>1059</v>
      </c>
      <c r="B123" s="84">
        <v>0</v>
      </c>
      <c r="C123" s="35"/>
      <c r="D123" s="25">
        <v>2008</v>
      </c>
      <c r="E123" s="23">
        <f>IF(D123&lt;B122,"",IF(D123=B122,B123,IF(D123&gt;B124,"",(D123-B122)*B126+B123)))</f>
        <v>8181818181.818182</v>
      </c>
      <c r="F123" s="23"/>
      <c r="G123" s="34"/>
    </row>
    <row r="124" spans="1:8" ht="12.75">
      <c r="A124" t="s">
        <v>854</v>
      </c>
      <c r="B124" s="32">
        <v>2016</v>
      </c>
      <c r="C124" s="30"/>
      <c r="D124" s="25">
        <v>2009</v>
      </c>
      <c r="E124" s="23">
        <f>IF(D124&lt;B122,"",IF(D124=B122,B123,IF(D124&gt;B124,"",(D124-B122)*B126+B123)))</f>
        <v>10909090909.09091</v>
      </c>
      <c r="F124" s="22">
        <f>IF(ISERR(E124-E123),IF(D124&gt;B124,F123,""),(E124-E123))</f>
        <v>2727272727.272728</v>
      </c>
      <c r="G124" s="21">
        <f>IF(ISERR(B121*F124),"",((B121*F124)))</f>
        <v>16363636363.636368</v>
      </c>
      <c r="H124" s="57"/>
    </row>
    <row r="125" spans="1:7" ht="12.75">
      <c r="A125" t="s">
        <v>1058</v>
      </c>
      <c r="B125" s="58">
        <v>30000000000</v>
      </c>
      <c r="C125" s="30"/>
      <c r="D125" s="25">
        <v>2010</v>
      </c>
      <c r="E125" s="23">
        <f>IF(D125&lt;B122,"",IF(D125=B122,B123,IF(D125&gt;B124,"",(D125-B122)*B126+B123)))</f>
        <v>13636363636.363638</v>
      </c>
      <c r="F125" s="22">
        <f>IF(ISERR(E125-E124),IF(D125&gt;B124,F124,""),(E125-E123))</f>
        <v>5454545454.545456</v>
      </c>
      <c r="G125" s="21">
        <f>IF(ISERR(B121*F125),"",((B121*F125)))</f>
        <v>32727272727.272736</v>
      </c>
    </row>
    <row r="126" spans="1:7" ht="12.75">
      <c r="A126" s="29" t="s">
        <v>1057</v>
      </c>
      <c r="B126" s="27">
        <f>(B125-B123)/(B124-B122)</f>
        <v>2727272727.2727275</v>
      </c>
      <c r="D126" s="25">
        <v>2011</v>
      </c>
      <c r="E126" s="23">
        <f>IF(D126&lt;B122,"",IF(D126=B122,B123,IF(D126&gt;B124,"",(D126-B122)*B126+B123)))</f>
        <v>16363636363.636364</v>
      </c>
      <c r="F126" s="22">
        <f>IF(ISERR(E126-E125),IF(D126&gt;B124,F125,""),(E126-E123))</f>
        <v>8181818181.818182</v>
      </c>
      <c r="G126" s="21">
        <f>IF(ISERR(B121*F126),"",((B121*F126)))</f>
        <v>49090909090.90909</v>
      </c>
    </row>
    <row r="127" spans="1:7" ht="12.75">
      <c r="A127"/>
      <c r="D127" s="25">
        <v>2012</v>
      </c>
      <c r="E127" s="23">
        <f>IF(D127&lt;B122,"",IF(D127=B122,B123,IF(D127&gt;B124,"",(D127-B122)*B126+B123)))</f>
        <v>19090909090.909092</v>
      </c>
      <c r="F127" s="22">
        <f>IF(ISERR(E127-E126),IF(D127&gt;B124,F126,""),(E127-E123))</f>
        <v>10909090909.09091</v>
      </c>
      <c r="G127" s="21">
        <f>IF(ISERR(B121*F127),"",((B121*F127)))</f>
        <v>65454545454.545456</v>
      </c>
    </row>
    <row r="128" spans="1:7" ht="12.75">
      <c r="A128"/>
      <c r="D128" s="25">
        <v>2013</v>
      </c>
      <c r="E128" s="23">
        <f>IF(D128&lt;B122,"",IF(D128=B122,B123,IF(D128&gt;B124,"",(D128-B122)*B126+B123)))</f>
        <v>21818181818.18182</v>
      </c>
      <c r="F128" s="22">
        <f>IF(ISERR(E128-E127),IF(D128&gt;B124,F127,""),(E128-E123))</f>
        <v>13636363636.363638</v>
      </c>
      <c r="G128" s="21">
        <f>IF(ISERR(B121*F128),"",((B121*F128)))</f>
        <v>81818181818.18182</v>
      </c>
    </row>
    <row r="129" spans="1:7" ht="12.75">
      <c r="A129" t="s">
        <v>915</v>
      </c>
      <c r="B129" s="27">
        <f>VLOOKUP(B124,D120:G145,4,FALSE)</f>
        <v>130909090909.09094</v>
      </c>
      <c r="D129" s="25">
        <v>2014</v>
      </c>
      <c r="E129" s="23">
        <f>IF(D129&lt;B122,"",IF(D129=B122,B123,IF(D129&gt;B124,"",(D129-B122)*B126+B123)))</f>
        <v>24545454545.454548</v>
      </c>
      <c r="F129" s="22">
        <f>IF(ISERR(E129-E128),IF(D129&gt;B124,F128,""),(E129-E123))</f>
        <v>16363636363.636366</v>
      </c>
      <c r="G129" s="21">
        <f>IF(ISERR(B121*F129),"",((B121*F129)))</f>
        <v>98181818181.81819</v>
      </c>
    </row>
    <row r="130" spans="1:7" ht="12.75">
      <c r="A130" t="s">
        <v>914</v>
      </c>
      <c r="B130" s="27">
        <f>SUM(G124:G145)</f>
        <v>2421818181818.181</v>
      </c>
      <c r="D130" s="25">
        <v>2015</v>
      </c>
      <c r="E130" s="23">
        <f>IF(D130&lt;B122,"",IF(D130=B122,B123,IF(D130&gt;B124,"",(D130-B122)*B126+B123)))</f>
        <v>27272727272.727276</v>
      </c>
      <c r="F130" s="22">
        <f>IF(ISERR(E130-E129),IF(D130&gt;B124,F129,""),(E130-E123))</f>
        <v>19090909090.909096</v>
      </c>
      <c r="G130" s="21">
        <f>IF(ISERR(B121*F130),"",((B121*F130)))</f>
        <v>114545454545.45457</v>
      </c>
    </row>
    <row r="131" spans="1:7" ht="12.75">
      <c r="A131" t="s">
        <v>1068</v>
      </c>
      <c r="B131" s="26">
        <f>B129/(10^12)</f>
        <v>0.13090909090909095</v>
      </c>
      <c r="D131" s="25">
        <v>2016</v>
      </c>
      <c r="E131" s="23">
        <f>IF(D131&lt;B122,"",IF(D131=B122,B123,IF(D131&gt;B124,"",(D131-B122)*B126+B123)))</f>
        <v>30000000000.000004</v>
      </c>
      <c r="F131" s="22">
        <f>IF(ISERR(E131-E130),IF(D131&gt;B124,F130,""),(E131-E123))</f>
        <v>21818181818.181824</v>
      </c>
      <c r="G131" s="21">
        <f>IF(ISERR(B121*F131),"",((B121*F131)))</f>
        <v>130909090909.09094</v>
      </c>
    </row>
    <row r="132" spans="1:7" ht="12.75">
      <c r="A132" t="s">
        <v>1067</v>
      </c>
      <c r="B132" s="26">
        <f>B130/(10^12)</f>
        <v>2.421818181818181</v>
      </c>
      <c r="D132" s="25">
        <v>2017</v>
      </c>
      <c r="E132" s="23">
        <f>IF(D132&lt;B122,"",IF(D132=B122,B123,IF(D132&gt;B124,"",(D132-B122)*B126+B123)))</f>
      </c>
      <c r="F132" s="22">
        <f>IF(ISERR(E132-E131),IF(D132&gt;B124,F131,""),(E132-E123))</f>
        <v>21818181818.181824</v>
      </c>
      <c r="G132" s="21">
        <f>IF(ISERR(B121*F132),"",((B121*F132)))</f>
        <v>130909090909.09094</v>
      </c>
    </row>
    <row r="133" spans="1:7" ht="12.75">
      <c r="A133"/>
      <c r="D133" s="25">
        <v>2018</v>
      </c>
      <c r="E133" s="23">
        <f>IF(D133&lt;B122,"",IF(D133=B122,B123,IF(D133&gt;B124,"",(D133-B122)*B126+B123)))</f>
      </c>
      <c r="F133" s="22">
        <f>IF(ISERR(E133-E132),IF(D133&gt;B124,F132,""),(E133-E123))</f>
        <v>21818181818.181824</v>
      </c>
      <c r="G133" s="21">
        <f>IF(ISERR(B121*F133),"",((B121*F133)))</f>
        <v>130909090909.09094</v>
      </c>
    </row>
    <row r="134" spans="1:7" ht="12.75">
      <c r="A134"/>
      <c r="D134" s="25">
        <v>2019</v>
      </c>
      <c r="E134" s="23">
        <f>IF(D134&lt;B122,"",IF(D134=B122,B123,IF(D134&gt;B124,"",(D134-B122)*B126+B123)))</f>
      </c>
      <c r="F134" s="22">
        <f>IF(ISERR(E134-E133),IF(D134&gt;B124,F133,""),(E134-E123))</f>
        <v>21818181818.181824</v>
      </c>
      <c r="G134" s="21">
        <f>IF(ISERR(B121*F134),"",((B121*F134)))</f>
        <v>130909090909.09094</v>
      </c>
    </row>
    <row r="135" spans="1:7" ht="12.75">
      <c r="A135"/>
      <c r="D135" s="25">
        <v>2020</v>
      </c>
      <c r="E135" s="23">
        <f>IF(D135&lt;B122,"",IF(D135=B122,B123,IF(D135&gt;B124,"",(D135-B122)*B126+B123)))</f>
      </c>
      <c r="F135" s="22">
        <f>IF(ISERR(E135-E134),IF(D135&gt;B124,F134,""),(E135-E123))</f>
        <v>21818181818.181824</v>
      </c>
      <c r="G135" s="21">
        <f>IF(ISERR(B121*F135),"",((B121*F135)))</f>
        <v>130909090909.09094</v>
      </c>
    </row>
    <row r="136" spans="1:7" ht="12.75">
      <c r="A136"/>
      <c r="D136" s="25">
        <v>2021</v>
      </c>
      <c r="E136" s="23">
        <f>IF(D136&lt;B122,"",IF(D136=B122,B123,IF(D136&gt;B124,"",(D136-B122)*B126+B123)))</f>
      </c>
      <c r="F136" s="22">
        <f>IF(ISERR(E136-E135),IF(D136&gt;B124,F135,""),(E136-E123))</f>
        <v>21818181818.181824</v>
      </c>
      <c r="G136" s="21">
        <f>IF(ISERR(B121*F136),"",((B121*F136)))</f>
        <v>130909090909.09094</v>
      </c>
    </row>
    <row r="137" spans="1:7" ht="12.75">
      <c r="A137"/>
      <c r="D137" s="25">
        <v>2022</v>
      </c>
      <c r="E137" s="23">
        <f>IF(D137&lt;B122,"",IF(D137=B122,B123,IF(D137&gt;B124,"",(D137-B122)*B126+B123)))</f>
      </c>
      <c r="F137" s="22">
        <f>IF(ISERR(E137-E136),IF(D137&gt;B124,F136,""),(E137-E123))</f>
        <v>21818181818.181824</v>
      </c>
      <c r="G137" s="21">
        <f>IF(ISERR(B121*F137),"",((B121*F137)))</f>
        <v>130909090909.09094</v>
      </c>
    </row>
    <row r="138" spans="1:7" ht="12.75">
      <c r="A138"/>
      <c r="D138" s="25">
        <v>2023</v>
      </c>
      <c r="E138" s="23">
        <f>IF(D138&lt;B122,"",IF(D138=B122,B123,IF(D138&gt;B124,"",(D138-B122)*B126+B123)))</f>
      </c>
      <c r="F138" s="22">
        <f>IF(ISERR(E138-E137),IF(D138&gt;B124,F137,""),(E138-E123))</f>
        <v>21818181818.181824</v>
      </c>
      <c r="G138" s="21">
        <f>IF(ISERR(B121*F138),"",((B121*F138)))</f>
        <v>130909090909.09094</v>
      </c>
    </row>
    <row r="139" spans="1:7" ht="12.75">
      <c r="A139"/>
      <c r="D139" s="25">
        <v>2024</v>
      </c>
      <c r="E139" s="23">
        <f>IF(D139&lt;B122,"",IF(D139=B122,B123,IF(D139&gt;B124,"",(D139-B122)*B126+B123)))</f>
      </c>
      <c r="F139" s="22">
        <f>IF(ISERR(E139-E138),IF(D139&gt;B124,F138,""),(E139-E123))</f>
        <v>21818181818.181824</v>
      </c>
      <c r="G139" s="21">
        <f>IF(ISERR(B121*F139),"",((B121*F139)))</f>
        <v>130909090909.09094</v>
      </c>
    </row>
    <row r="140" spans="1:7" ht="12.75">
      <c r="A140"/>
      <c r="D140" s="25">
        <v>2025</v>
      </c>
      <c r="E140" s="23">
        <f>IF(D140&lt;B122,"",IF(D140=B122,B123,IF(D140&gt;B124,"",(D140-B122)*B126+B123)))</f>
      </c>
      <c r="F140" s="22">
        <f>IF(ISERR(E140-E139),IF(D140&gt;B124,F139,""),(E140-E123))</f>
        <v>21818181818.181824</v>
      </c>
      <c r="G140" s="21">
        <f>IF(ISERR(B121*F140),"",((B121*F140)))</f>
        <v>130909090909.09094</v>
      </c>
    </row>
    <row r="141" spans="1:7" ht="12.75">
      <c r="A141"/>
      <c r="D141" s="25">
        <v>2026</v>
      </c>
      <c r="E141" s="23">
        <f>IF(D141&lt;B122,"",IF(D141=B122,B123,IF(D141&gt;B124,"",(D141-B122)*B126+B123)))</f>
      </c>
      <c r="F141" s="22">
        <f>IF(ISERR(E141-E140),IF(D141&gt;B124,F140,""),(E141-E123))</f>
        <v>21818181818.181824</v>
      </c>
      <c r="G141" s="21">
        <f>IF(ISERR(B121*F141),"",((B121*F141)))</f>
        <v>130909090909.09094</v>
      </c>
    </row>
    <row r="142" spans="1:7" ht="12.75">
      <c r="A142"/>
      <c r="D142" s="25">
        <v>2027</v>
      </c>
      <c r="E142" s="23">
        <f>IF(D142&lt;B122,"",IF(D142=B122,B123,IF(D142&gt;B124,"",(D142-B122)*B126+B123)))</f>
      </c>
      <c r="F142" s="22">
        <f>IF(ISERR(E142-E141),IF(D142&gt;B124,F141,""),(E142-E123))</f>
        <v>21818181818.181824</v>
      </c>
      <c r="G142" s="21">
        <f>IF(ISERR(B121*F142),"",((B121*F142)))</f>
        <v>130909090909.09094</v>
      </c>
    </row>
    <row r="143" spans="1:7" ht="12.75">
      <c r="A143"/>
      <c r="D143" s="25">
        <v>2028</v>
      </c>
      <c r="E143" s="23">
        <f>IF(D143&lt;B122,"",IF(D143=B122,B123,IF(D143&gt;B124,"",(D143-B122)*B126+B123)))</f>
      </c>
      <c r="F143" s="22">
        <f>IF(ISERR(E143-E142),IF(D143&gt;B124,F142,""),(E143-E123))</f>
        <v>21818181818.181824</v>
      </c>
      <c r="G143" s="21">
        <f>IF(ISERR(B121*F143),"",((B121*F143)))</f>
        <v>130909090909.09094</v>
      </c>
    </row>
    <row r="144" spans="1:7" ht="12.75">
      <c r="A144"/>
      <c r="D144" s="25">
        <v>2029</v>
      </c>
      <c r="E144" s="23">
        <f>IF(D144&lt;B122,"",IF(D144=B122,B123,IF(D144&gt;B124,"",(D144-B122)*B126+B123)))</f>
      </c>
      <c r="F144" s="22">
        <f>IF(ISERR(E144-E143),IF(D144&gt;B124,F143,""),(E144-E123))</f>
        <v>21818181818.181824</v>
      </c>
      <c r="G144" s="21">
        <f>IF(ISERR(B121*F144),"",((B121*F144)))</f>
        <v>130909090909.09094</v>
      </c>
    </row>
    <row r="145" spans="1:7" ht="13.5" thickBot="1">
      <c r="A145"/>
      <c r="D145" s="20">
        <v>2030</v>
      </c>
      <c r="E145" s="18">
        <f>IF(D145&lt;B122,"",IF(D145=B122,B123,IF(D145&gt;B124,"",(D145-B122)*B126+B123)))</f>
      </c>
      <c r="F145" s="17">
        <f>IF(ISERR(E145-E144),IF(D145&gt;B124,F144,""),(E145-E123))</f>
        <v>21818181818.181824</v>
      </c>
      <c r="G145" s="16">
        <f>IF(ISERR(B121*F145),"",((B121*F145)))</f>
        <v>130909090909.09094</v>
      </c>
    </row>
    <row r="146" spans="2:13" ht="12.75">
      <c r="B146" s="67"/>
      <c r="K146" s="63"/>
      <c r="L146" s="63"/>
      <c r="M146" s="63"/>
    </row>
    <row r="147" spans="1:9" ht="12.75">
      <c r="A147" s="481" t="s">
        <v>1104</v>
      </c>
      <c r="B147" s="482"/>
      <c r="C147" s="482"/>
      <c r="D147" s="482"/>
      <c r="E147" s="482"/>
      <c r="F147" s="482"/>
      <c r="G147" s="482"/>
      <c r="H147" s="482"/>
      <c r="I147" s="437"/>
    </row>
    <row r="148" spans="1:9" ht="12.75">
      <c r="A148" s="100" t="s">
        <v>347</v>
      </c>
      <c r="B148" s="52"/>
      <c r="C148" s="52"/>
      <c r="D148" s="52"/>
      <c r="E148" s="52"/>
      <c r="F148" s="52"/>
      <c r="G148" s="52"/>
      <c r="H148" s="52"/>
      <c r="I148" s="51"/>
    </row>
    <row r="149" spans="1:9" ht="24" customHeight="1">
      <c r="A149" s="472" t="s">
        <v>1103</v>
      </c>
      <c r="B149" s="469"/>
      <c r="C149" s="469"/>
      <c r="D149" s="469"/>
      <c r="E149" s="469"/>
      <c r="F149" s="469"/>
      <c r="G149" s="469"/>
      <c r="H149" s="469"/>
      <c r="I149" s="478"/>
    </row>
    <row r="150" spans="1:9" ht="12" customHeight="1">
      <c r="A150" s="479" t="s">
        <v>412</v>
      </c>
      <c r="B150" s="474"/>
      <c r="C150" s="474"/>
      <c r="D150" s="474"/>
      <c r="E150" s="474"/>
      <c r="F150" s="474"/>
      <c r="G150" s="474"/>
      <c r="H150" s="474"/>
      <c r="I150" s="480"/>
    </row>
    <row r="151" ht="15.75" customHeight="1"/>
    <row r="152" spans="1:13" ht="12.75">
      <c r="A152" s="63" t="s">
        <v>952</v>
      </c>
      <c r="B152" s="63" t="s">
        <v>1102</v>
      </c>
      <c r="C152" s="63"/>
      <c r="K152" s="63"/>
      <c r="L152" s="63"/>
      <c r="M152" s="63"/>
    </row>
    <row r="153" spans="2:13" ht="13.5" thickBot="1">
      <c r="B153" s="63"/>
      <c r="K153" s="63"/>
      <c r="L153" s="63"/>
      <c r="M153" s="63"/>
    </row>
    <row r="154" spans="1:7" ht="51">
      <c r="A154" t="s">
        <v>743</v>
      </c>
      <c r="D154" s="46" t="s">
        <v>932</v>
      </c>
      <c r="E154" s="45" t="s">
        <v>929</v>
      </c>
      <c r="F154" s="45" t="s">
        <v>1086</v>
      </c>
      <c r="G154" s="44" t="s">
        <v>928</v>
      </c>
    </row>
    <row r="155" spans="1:7" ht="13.5" thickBot="1">
      <c r="A155" t="s">
        <v>927</v>
      </c>
      <c r="B155" s="57"/>
      <c r="D155" s="43"/>
      <c r="E155" s="41"/>
      <c r="F155" s="41" t="s">
        <v>860</v>
      </c>
      <c r="G155" s="40" t="s">
        <v>859</v>
      </c>
    </row>
    <row r="156" spans="1:7" ht="13.5" thickTop="1">
      <c r="A156" t="s">
        <v>858</v>
      </c>
      <c r="C156" s="30"/>
      <c r="D156" s="25">
        <v>2005</v>
      </c>
      <c r="E156" s="23">
        <f>IF(D156&lt;B158,"",IF(D156=B158,B159,IF(D156&gt;B160,"",(D156-B158)*B162+B159)))</f>
        <v>13196000000</v>
      </c>
      <c r="F156" s="39"/>
      <c r="G156" s="38"/>
    </row>
    <row r="157" spans="1:7" ht="12.75">
      <c r="A157" t="s">
        <v>857</v>
      </c>
      <c r="B157" s="37">
        <v>471</v>
      </c>
      <c r="D157" s="25">
        <v>2006</v>
      </c>
      <c r="E157" s="23">
        <f>IF(D157&lt;B158,"",IF(D157=B158,B159,IF(D157&gt;B160,"",(D157-B158)*B162+B159)))</f>
        <v>14530794666.666666</v>
      </c>
      <c r="F157" s="23"/>
      <c r="G157" s="34"/>
    </row>
    <row r="158" spans="1:7" ht="12.75">
      <c r="A158" t="s">
        <v>856</v>
      </c>
      <c r="B158" s="37">
        <v>2005</v>
      </c>
      <c r="D158" s="25">
        <v>2007</v>
      </c>
      <c r="E158" s="23">
        <f>IF(D158&lt;B158,"",IF(D158=B158,B159,IF(D158&gt;B160,"",(D158-B158)*B162+B159)))</f>
        <v>15865589333.333334</v>
      </c>
      <c r="F158" s="23"/>
      <c r="G158" s="34"/>
    </row>
    <row r="159" spans="1:7" s="33" customFormat="1" ht="12.75">
      <c r="A159" s="33" t="s">
        <v>1059</v>
      </c>
      <c r="B159" s="94">
        <v>13196000000</v>
      </c>
      <c r="C159" s="35"/>
      <c r="D159" s="25">
        <v>2008</v>
      </c>
      <c r="E159" s="23">
        <f>IF(D159&lt;B158,"",IF(D159=B158,B159,IF(D159&gt;B160,"",(D159-B158)*B162+B159)))</f>
        <v>17200384000</v>
      </c>
      <c r="F159" s="23"/>
      <c r="G159" s="34"/>
    </row>
    <row r="160" spans="1:7" ht="12.75">
      <c r="A160" t="s">
        <v>854</v>
      </c>
      <c r="B160" s="32">
        <v>2020</v>
      </c>
      <c r="C160" s="30"/>
      <c r="D160" s="25">
        <v>2009</v>
      </c>
      <c r="E160" s="23">
        <f>IF(D160&lt;B158,"",IF(D160=B158,B159,IF(D160&gt;B160,"",(D160-B158)*B162+B159)))</f>
        <v>18535178666.666668</v>
      </c>
      <c r="F160" s="22">
        <f>IF(ISERR(E160-E159),IF(D160&gt;B160,F159,""),(E160-E159))</f>
        <v>1334794666.666668</v>
      </c>
      <c r="G160" s="21">
        <f>IF(ISERR(B157*F160),"",((B157*F160)))</f>
        <v>628688288000.0006</v>
      </c>
    </row>
    <row r="161" spans="1:7" ht="12.75">
      <c r="A161" t="s">
        <v>1058</v>
      </c>
      <c r="B161" s="58">
        <v>33217920000</v>
      </c>
      <c r="C161" s="30"/>
      <c r="D161" s="25">
        <v>2010</v>
      </c>
      <c r="E161" s="23">
        <f>IF(D161&lt;B158,"",IF(D161=B158,B159,IF(D161&gt;B160,"",(D161-B158)*B162+B159)))</f>
        <v>19869973333.333336</v>
      </c>
      <c r="F161" s="22">
        <f>IF(ISERR(E161-E160),IF(D161&gt;B160,F160,""),(E161-E159))</f>
        <v>2669589333.333336</v>
      </c>
      <c r="G161" s="21">
        <f>IF(ISERR(B157*F161),"",((B157*F161)))</f>
        <v>1257376576000.0012</v>
      </c>
    </row>
    <row r="162" spans="1:7" ht="12.75">
      <c r="A162" s="29" t="s">
        <v>1057</v>
      </c>
      <c r="B162" s="27">
        <f>(B161-B159)/(B160-B158)</f>
        <v>1334794666.6666667</v>
      </c>
      <c r="D162" s="25">
        <v>2011</v>
      </c>
      <c r="E162" s="23">
        <f>IF(D162&lt;B158,"",IF(D162=B158,B159,IF(D162&gt;B160,"",(D162-B158)*B162+B159)))</f>
        <v>21204768000</v>
      </c>
      <c r="F162" s="22">
        <f>IF(ISERR(E162-E161),IF(D162&gt;B160,F161,""),(E162-E159))</f>
        <v>4004384000</v>
      </c>
      <c r="G162" s="21">
        <f>IF(ISERR(B157*F162),"",((B157*F162)))</f>
        <v>1886064864000</v>
      </c>
    </row>
    <row r="163" spans="1:7" ht="12.75">
      <c r="A163"/>
      <c r="D163" s="25">
        <v>2012</v>
      </c>
      <c r="E163" s="23">
        <f>IF(D163&lt;B158,"",IF(D163=B158,B159,IF(D163&gt;B160,"",(D163-B158)*B162+B159)))</f>
        <v>22539562666.666668</v>
      </c>
      <c r="F163" s="22">
        <f>IF(ISERR(E163-E162),IF(D163&gt;B160,F162,""),(E163-E159))</f>
        <v>5339178666.666668</v>
      </c>
      <c r="G163" s="21">
        <f>IF(ISERR(B157*F163),"",((B157*F163)))</f>
        <v>2514753152000.0005</v>
      </c>
    </row>
    <row r="164" spans="1:7" ht="12.75">
      <c r="A164"/>
      <c r="D164" s="25">
        <v>2013</v>
      </c>
      <c r="E164" s="23">
        <f>IF(D164&lt;B158,"",IF(D164=B158,B159,IF(D164&gt;B160,"",(D164-B158)*B162+B159)))</f>
        <v>23874357333.333336</v>
      </c>
      <c r="F164" s="22">
        <f>IF(ISERR(E164-E163),IF(D164&gt;B160,F163,""),(E164-E159))</f>
        <v>6673973333.333336</v>
      </c>
      <c r="G164" s="21">
        <f>IF(ISERR(B157*F164),"",((B157*F164)))</f>
        <v>3143441440000.001</v>
      </c>
    </row>
    <row r="165" spans="1:7" ht="12.75">
      <c r="A165" t="s">
        <v>915</v>
      </c>
      <c r="B165" s="27">
        <f>VLOOKUP(B160,D156:G181,4,FALSE)</f>
        <v>7544259456000</v>
      </c>
      <c r="D165" s="25">
        <v>2014</v>
      </c>
      <c r="E165" s="23">
        <f>IF(D165&lt;B158,"",IF(D165=B158,B159,IF(D165&gt;B160,"",(D165-B158)*B162+B159)))</f>
        <v>25209152000</v>
      </c>
      <c r="F165" s="22">
        <f>IF(ISERR(E165-E164),IF(D165&gt;B160,F164,""),(E165-E159))</f>
        <v>8008768000</v>
      </c>
      <c r="G165" s="21">
        <f>IF(ISERR(B157*F165),"",((B157*F165)))</f>
        <v>3772129728000</v>
      </c>
    </row>
    <row r="166" spans="1:7" ht="12.75">
      <c r="A166" t="s">
        <v>914</v>
      </c>
      <c r="B166" s="27">
        <f>SUM(G160:G181)</f>
        <v>124480281024000</v>
      </c>
      <c r="D166" s="25">
        <v>2015</v>
      </c>
      <c r="E166" s="23">
        <f>IF(D166&lt;B158,"",IF(D166=B158,B159,IF(D166&gt;B160,"",(D166-B158)*B162+B159)))</f>
        <v>26543946666.666668</v>
      </c>
      <c r="F166" s="22">
        <f>IF(ISERR(E166-E165),IF(D166&gt;B160,F165,""),(E166-E159))</f>
        <v>9343562666.666668</v>
      </c>
      <c r="G166" s="21">
        <f>IF(ISERR(B157*F166),"",((B157*F166)))</f>
        <v>4400818016000.001</v>
      </c>
    </row>
    <row r="167" spans="1:7" ht="12.75">
      <c r="A167" t="s">
        <v>1068</v>
      </c>
      <c r="B167" s="99">
        <f>B165/(10^12)</f>
        <v>7.544259456</v>
      </c>
      <c r="D167" s="25">
        <v>2016</v>
      </c>
      <c r="E167" s="23">
        <f>IF(D167&lt;B158,"",IF(D167=B158,B159,IF(D167&gt;B160,"",(D167-B158)*B162+B159)))</f>
        <v>27878741333.333336</v>
      </c>
      <c r="F167" s="22">
        <f>IF(ISERR(E167-E166),IF(D167&gt;B160,F166,""),(E167-E159))</f>
        <v>10678357333.333336</v>
      </c>
      <c r="G167" s="21">
        <f>IF(ISERR(B157*F167),"",((B157*F167)))</f>
        <v>5029506304000.001</v>
      </c>
    </row>
    <row r="168" spans="1:7" ht="12.75">
      <c r="A168" t="s">
        <v>1067</v>
      </c>
      <c r="B168" s="99">
        <f>B166/(10^12)</f>
        <v>124.480281024</v>
      </c>
      <c r="D168" s="25">
        <v>2017</v>
      </c>
      <c r="E168" s="23">
        <f>IF(D168&lt;B158,"",IF(D168=B158,B159,IF(D168&gt;B160,"",(D168-B158)*B162+B159)))</f>
        <v>29213536000</v>
      </c>
      <c r="F168" s="22">
        <f>IF(ISERR(E168-E167),IF(D168&gt;B160,F167,""),(E168-E159))</f>
        <v>12013152000</v>
      </c>
      <c r="G168" s="21">
        <f>IF(ISERR(B157*F168),"",((B157*F168)))</f>
        <v>5658194592000</v>
      </c>
    </row>
    <row r="169" spans="1:7" ht="12.75">
      <c r="A169"/>
      <c r="D169" s="25">
        <v>2018</v>
      </c>
      <c r="E169" s="23">
        <f>IF(D169&lt;B158,"",IF(D169=B158,B159,IF(D169&gt;B160,"",(D169-B158)*B162+B159)))</f>
        <v>30548330666.666668</v>
      </c>
      <c r="F169" s="22">
        <f>IF(ISERR(E169-E168),IF(D169&gt;B160,F168,""),(E169-E159))</f>
        <v>13347946666.666668</v>
      </c>
      <c r="G169" s="21">
        <f>IF(ISERR(B157*F169),"",((B157*F169)))</f>
        <v>6286882880000.001</v>
      </c>
    </row>
    <row r="170" spans="1:7" ht="12.75">
      <c r="A170"/>
      <c r="D170" s="25">
        <v>2019</v>
      </c>
      <c r="E170" s="23">
        <f>IF(D170&lt;B158,"",IF(D170=B158,B159,IF(D170&gt;B160,"",(D170-B158)*B162+B159)))</f>
        <v>31883125333.333336</v>
      </c>
      <c r="F170" s="22">
        <f>IF(ISERR(E170-E169),IF(D170&gt;B160,F169,""),(E170-E159))</f>
        <v>14682741333.333336</v>
      </c>
      <c r="G170" s="21">
        <f>IF(ISERR(B157*F170),"",((B157*F170)))</f>
        <v>6915571168000.001</v>
      </c>
    </row>
    <row r="171" spans="1:7" ht="12.75">
      <c r="A171"/>
      <c r="D171" s="25">
        <v>2020</v>
      </c>
      <c r="E171" s="23">
        <f>IF(D171&lt;B158,"",IF(D171=B158,B159,IF(D171&gt;B160,"",(D171-B158)*B162+B159)))</f>
        <v>33217920000</v>
      </c>
      <c r="F171" s="22">
        <f>IF(ISERR(E171-E170),IF(D171&gt;B160,F170,""),(E171-E159))</f>
        <v>16017536000</v>
      </c>
      <c r="G171" s="21">
        <f>IF(ISERR(B157*F171),"",((B157*F171)))</f>
        <v>7544259456000</v>
      </c>
    </row>
    <row r="172" spans="1:7" ht="12.75">
      <c r="A172"/>
      <c r="D172" s="25">
        <v>2021</v>
      </c>
      <c r="E172" s="23">
        <f>IF(D172&lt;B158,"",IF(D172=B158,B159,IF(D172&gt;B160,"",(D172-B158)*B162+B159)))</f>
      </c>
      <c r="F172" s="22">
        <f>IF(ISERR(E172-E171),IF(D172&gt;B160,F171,""),(E172-E159))</f>
        <v>16017536000</v>
      </c>
      <c r="G172" s="21">
        <f>IF(ISERR(B157*F172),"",((B157*F172)))</f>
        <v>7544259456000</v>
      </c>
    </row>
    <row r="173" spans="1:7" ht="12.75">
      <c r="A173"/>
      <c r="D173" s="25">
        <v>2022</v>
      </c>
      <c r="E173" s="23">
        <f>IF(D173&lt;B158,"",IF(D173=B158,B159,IF(D173&gt;B160,"",(D173-B158)*B162+B159)))</f>
      </c>
      <c r="F173" s="22">
        <f>IF(ISERR(E173-E172),IF(D173&gt;B160,F172,""),(E173-E159))</f>
        <v>16017536000</v>
      </c>
      <c r="G173" s="21">
        <f>IF(ISERR(B157*F173),"",((B157*F173)))</f>
        <v>7544259456000</v>
      </c>
    </row>
    <row r="174" spans="1:7" ht="12.75">
      <c r="A174"/>
      <c r="D174" s="25">
        <v>2023</v>
      </c>
      <c r="E174" s="23">
        <f>IF(D174&lt;B158,"",IF(D174=B158,B159,IF(D174&gt;B160,"",(D174-B158)*B162+B159)))</f>
      </c>
      <c r="F174" s="22">
        <f>IF(ISERR(E174-E173),IF(D174&gt;B160,F173,""),(E174-E159))</f>
        <v>16017536000</v>
      </c>
      <c r="G174" s="21">
        <f>IF(ISERR(B157*F174),"",((B157*F174)))</f>
        <v>7544259456000</v>
      </c>
    </row>
    <row r="175" spans="1:7" ht="12.75">
      <c r="A175"/>
      <c r="D175" s="25">
        <v>2024</v>
      </c>
      <c r="E175" s="23">
        <f>IF(D175&lt;B158,"",IF(D175=B158,B159,IF(D175&gt;B160,"",(D175-B158)*B162+B159)))</f>
      </c>
      <c r="F175" s="22">
        <f>IF(ISERR(E175-E174),IF(D175&gt;B160,F174,""),(E175-E159))</f>
        <v>16017536000</v>
      </c>
      <c r="G175" s="21">
        <f>IF(ISERR(B157*F175),"",((B157*F175)))</f>
        <v>7544259456000</v>
      </c>
    </row>
    <row r="176" spans="1:7" ht="12.75">
      <c r="A176"/>
      <c r="D176" s="25">
        <v>2025</v>
      </c>
      <c r="E176" s="23">
        <f>IF(D176&lt;B158,"",IF(D176=B158,B159,IF(D176&gt;B160,"",(D176-B158)*B162+B159)))</f>
      </c>
      <c r="F176" s="22">
        <f>IF(ISERR(E176-E175),IF(D176&gt;B160,F175,""),(E176-E159))</f>
        <v>16017536000</v>
      </c>
      <c r="G176" s="21">
        <f>IF(ISERR(B157*F176),"",((B157*F176)))</f>
        <v>7544259456000</v>
      </c>
    </row>
    <row r="177" spans="1:7" ht="12.75">
      <c r="A177"/>
      <c r="D177" s="25">
        <v>2026</v>
      </c>
      <c r="E177" s="23">
        <f>IF(D177&lt;B158,"",IF(D177=B158,B159,IF(D177&gt;B160,"",(D177-B158)*B162+B159)))</f>
      </c>
      <c r="F177" s="22">
        <f>IF(ISERR(E177-E176),IF(D177&gt;B160,F176,""),(E177-E159))</f>
        <v>16017536000</v>
      </c>
      <c r="G177" s="21">
        <f>IF(ISERR(B157*F177),"",((B157*F177)))</f>
        <v>7544259456000</v>
      </c>
    </row>
    <row r="178" spans="1:7" ht="12.75">
      <c r="A178"/>
      <c r="D178" s="25">
        <v>2027</v>
      </c>
      <c r="E178" s="23">
        <f>IF(D178&lt;B158,"",IF(D178=B158,B159,IF(D178&gt;B160,"",(D178-B158)*B162+B159)))</f>
      </c>
      <c r="F178" s="22">
        <f>IF(ISERR(E178-E177),IF(D178&gt;B160,F177,""),(E178-E159))</f>
        <v>16017536000</v>
      </c>
      <c r="G178" s="21">
        <f>IF(ISERR(B157*F178),"",((B157*F178)))</f>
        <v>7544259456000</v>
      </c>
    </row>
    <row r="179" spans="1:7" ht="12.75">
      <c r="A179"/>
      <c r="D179" s="25">
        <v>2028</v>
      </c>
      <c r="E179" s="23">
        <f>IF(D179&lt;B158,"",IF(D179=B158,B159,IF(D179&gt;B160,"",(D179-B158)*B162+B159)))</f>
      </c>
      <c r="F179" s="22">
        <f>IF(ISERR(E179-E178),IF(D179&gt;B160,F178,""),(E179-E159))</f>
        <v>16017536000</v>
      </c>
      <c r="G179" s="21">
        <f>IF(ISERR(B157*F179),"",((B157*F179)))</f>
        <v>7544259456000</v>
      </c>
    </row>
    <row r="180" spans="1:7" ht="12.75">
      <c r="A180"/>
      <c r="D180" s="25">
        <v>2029</v>
      </c>
      <c r="E180" s="23">
        <f>IF(D180&lt;B158,"",IF(D180=B158,B159,IF(D180&gt;B160,"",(D180-B158)*B162+B159)))</f>
      </c>
      <c r="F180" s="22">
        <f>IF(ISERR(E180-E179),IF(D180&gt;B160,F179,""),(E180-E159))</f>
        <v>16017536000</v>
      </c>
      <c r="G180" s="21">
        <f>IF(ISERR(B157*F180),"",((B157*F180)))</f>
        <v>7544259456000</v>
      </c>
    </row>
    <row r="181" spans="1:7" ht="13.5" thickBot="1">
      <c r="A181"/>
      <c r="D181" s="20">
        <v>2030</v>
      </c>
      <c r="E181" s="18">
        <f>IF(D181&lt;B158,"",IF(D181=B158,B159,IF(D181&gt;B160,"",(D181-B158)*B162+B159)))</f>
      </c>
      <c r="F181" s="17">
        <f>IF(ISERR(E181-E180),IF(D181&gt;B160,F180,""),(E181-E159))</f>
        <v>16017536000</v>
      </c>
      <c r="G181" s="16">
        <f>IF(ISERR(B157*F181),"",((B157*F181)))</f>
        <v>7544259456000</v>
      </c>
    </row>
    <row r="182" spans="2:13" ht="12.75">
      <c r="B182" s="63"/>
      <c r="K182" s="63"/>
      <c r="L182" s="63"/>
      <c r="M182" s="63"/>
    </row>
    <row r="183" spans="2:13" ht="12.75">
      <c r="B183" s="67"/>
      <c r="K183" s="63"/>
      <c r="L183" s="63"/>
      <c r="M183" s="63"/>
    </row>
    <row r="184" spans="1:9" s="73" customFormat="1" ht="12" customHeight="1">
      <c r="A184" s="481" t="s">
        <v>1101</v>
      </c>
      <c r="B184" s="482"/>
      <c r="C184" s="482"/>
      <c r="D184" s="482"/>
      <c r="E184" s="482"/>
      <c r="F184" s="482"/>
      <c r="G184" s="482"/>
      <c r="H184" s="482"/>
      <c r="I184" s="437"/>
    </row>
    <row r="185" spans="1:9" s="74" customFormat="1" ht="19.5" customHeight="1">
      <c r="A185" s="488" t="s">
        <v>1100</v>
      </c>
      <c r="B185" s="471"/>
      <c r="C185" s="471"/>
      <c r="D185" s="471"/>
      <c r="E185" s="471"/>
      <c r="F185" s="471"/>
      <c r="G185" s="471"/>
      <c r="H185" s="471"/>
      <c r="I185" s="75"/>
    </row>
    <row r="186" spans="1:9" s="73" customFormat="1" ht="51" customHeight="1">
      <c r="A186" s="472" t="s">
        <v>157</v>
      </c>
      <c r="B186" s="469"/>
      <c r="C186" s="469"/>
      <c r="D186" s="469"/>
      <c r="E186" s="469"/>
      <c r="F186" s="469"/>
      <c r="G186" s="469"/>
      <c r="H186" s="469"/>
      <c r="I186" s="478"/>
    </row>
    <row r="187" spans="1:9" ht="12" customHeight="1">
      <c r="A187" s="479" t="s">
        <v>656</v>
      </c>
      <c r="B187" s="474"/>
      <c r="C187" s="474"/>
      <c r="D187" s="59"/>
      <c r="E187" s="59"/>
      <c r="F187" s="59"/>
      <c r="G187" s="59"/>
      <c r="H187" s="59"/>
      <c r="I187" s="72"/>
    </row>
    <row r="188" ht="15.75" customHeight="1"/>
    <row r="189" spans="2:13" ht="13.5" thickBot="1">
      <c r="B189" s="63"/>
      <c r="K189" s="63"/>
      <c r="L189" s="63"/>
      <c r="M189" s="63"/>
    </row>
    <row r="190" spans="1:7" ht="51">
      <c r="A190" t="s">
        <v>743</v>
      </c>
      <c r="D190" s="46" t="s">
        <v>932</v>
      </c>
      <c r="E190" s="45" t="s">
        <v>929</v>
      </c>
      <c r="F190" s="45" t="s">
        <v>1086</v>
      </c>
      <c r="G190" s="44" t="s">
        <v>928</v>
      </c>
    </row>
    <row r="191" spans="1:7" ht="13.5" thickBot="1">
      <c r="A191" t="s">
        <v>927</v>
      </c>
      <c r="B191" s="57"/>
      <c r="D191" s="43"/>
      <c r="E191" s="41"/>
      <c r="F191" s="41" t="s">
        <v>860</v>
      </c>
      <c r="G191" s="40" t="s">
        <v>859</v>
      </c>
    </row>
    <row r="192" spans="1:7" ht="13.5" thickTop="1">
      <c r="A192" t="s">
        <v>858</v>
      </c>
      <c r="C192" s="30"/>
      <c r="D192" s="25">
        <v>2005</v>
      </c>
      <c r="E192" s="23">
        <f>IF(D192&lt;B194,"",IF(D192=B194,B195,IF(D192&gt;B196,"",(D192-B194)*B198+B195)))</f>
        <v>321000000</v>
      </c>
      <c r="F192" s="39"/>
      <c r="G192" s="38"/>
    </row>
    <row r="193" spans="1:7" ht="12.75">
      <c r="A193" t="s">
        <v>857</v>
      </c>
      <c r="B193" s="37">
        <v>307</v>
      </c>
      <c r="D193" s="25">
        <v>2006</v>
      </c>
      <c r="E193" s="23">
        <f>IF(D193&lt;B194,"",IF(D193=B194,B195,IF(D193&gt;B196,"",(D193-B194)*B198+B195)))</f>
        <v>436256000</v>
      </c>
      <c r="F193" s="23"/>
      <c r="G193" s="34"/>
    </row>
    <row r="194" spans="1:7" ht="12.75">
      <c r="A194" t="s">
        <v>856</v>
      </c>
      <c r="B194" s="37">
        <v>2005</v>
      </c>
      <c r="D194" s="25">
        <v>2007</v>
      </c>
      <c r="E194" s="23">
        <f>IF(D194&lt;B194,"",IF(D194=B194,B195,IF(D194&gt;B196,"",(D194-B194)*B198+B195)))</f>
        <v>551512000</v>
      </c>
      <c r="F194" s="23"/>
      <c r="G194" s="34"/>
    </row>
    <row r="195" spans="1:7" s="33" customFormat="1" ht="12.75">
      <c r="A195" s="33" t="s">
        <v>1059</v>
      </c>
      <c r="B195" s="94">
        <v>321000000</v>
      </c>
      <c r="C195" s="35"/>
      <c r="D195" s="25">
        <v>2008</v>
      </c>
      <c r="E195" s="23">
        <f>IF(D195&lt;B194,"",IF(D195=B194,B195,IF(D195&gt;B196,"",(D195-B194)*B198+B195)))</f>
        <v>666768000</v>
      </c>
      <c r="F195" s="23"/>
      <c r="G195" s="34"/>
    </row>
    <row r="196" spans="1:7" ht="12.75">
      <c r="A196" t="s">
        <v>854</v>
      </c>
      <c r="B196" s="32">
        <v>2020</v>
      </c>
      <c r="C196" s="30"/>
      <c r="D196" s="25">
        <v>2009</v>
      </c>
      <c r="E196" s="23">
        <f>IF(D196&lt;B194,"",IF(D196=B194,B195,IF(D196&gt;B196,"",(D196-B194)*B198+B195)))</f>
        <v>782024000</v>
      </c>
      <c r="F196" s="22">
        <f>IF(ISERR(E196-E195),IF(D196&gt;B196,F195,""),(E196-E195))</f>
        <v>115256000</v>
      </c>
      <c r="G196" s="21">
        <f>IF(ISERR(B193*F196),"",((B193*F196)))</f>
        <v>35383592000</v>
      </c>
    </row>
    <row r="197" spans="1:7" ht="12.75">
      <c r="A197" t="s">
        <v>1058</v>
      </c>
      <c r="B197" s="58">
        <v>2049840000</v>
      </c>
      <c r="C197" s="30"/>
      <c r="D197" s="25">
        <v>2010</v>
      </c>
      <c r="E197" s="23">
        <f>IF(D197&lt;B194,"",IF(D197=B194,B195,IF(D197&gt;B196,"",(D197-B194)*B198+B195)))</f>
        <v>897280000</v>
      </c>
      <c r="F197" s="22">
        <f>IF(ISERR(E197-E196),IF(D197&gt;B196,F196,""),(E197-E195))</f>
        <v>230512000</v>
      </c>
      <c r="G197" s="21">
        <f>IF(ISERR(B193*F197),"",((B193*F197)))</f>
        <v>70767184000</v>
      </c>
    </row>
    <row r="198" spans="1:7" ht="12.75">
      <c r="A198" s="29" t="s">
        <v>1057</v>
      </c>
      <c r="B198" s="27">
        <f>(B197-B195)/(B196-B194)</f>
        <v>115256000</v>
      </c>
      <c r="D198" s="25">
        <v>2011</v>
      </c>
      <c r="E198" s="23">
        <f>IF(D198&lt;B194,"",IF(D198=B194,B195,IF(D198&gt;B196,"",(D198-B194)*B198+B195)))</f>
        <v>1012536000</v>
      </c>
      <c r="F198" s="22">
        <f>IF(ISERR(E198-E197),IF(D198&gt;B196,F197,""),(E198-E195))</f>
        <v>345768000</v>
      </c>
      <c r="G198" s="21">
        <f>IF(ISERR(B193*F198),"",((B193*F198)))</f>
        <v>106150776000</v>
      </c>
    </row>
    <row r="199" spans="1:7" ht="12.75">
      <c r="A199"/>
      <c r="D199" s="25">
        <v>2012</v>
      </c>
      <c r="E199" s="23">
        <f>IF(D199&lt;B194,"",IF(D199=B194,B195,IF(D199&gt;B196,"",(D199-B194)*B198+B195)))</f>
        <v>1127792000</v>
      </c>
      <c r="F199" s="22">
        <f>IF(ISERR(E199-E198),IF(D199&gt;B196,F198,""),(E199-E195))</f>
        <v>461024000</v>
      </c>
      <c r="G199" s="21">
        <f>IF(ISERR(B193*F199),"",((B193*F199)))</f>
        <v>141534368000</v>
      </c>
    </row>
    <row r="200" spans="1:7" ht="12.75">
      <c r="A200"/>
      <c r="D200" s="25">
        <v>2013</v>
      </c>
      <c r="E200" s="23">
        <f>IF(D200&lt;B194,"",IF(D200=B194,B195,IF(D200&gt;B196,"",(D200-B194)*B198+B195)))</f>
        <v>1243048000</v>
      </c>
      <c r="F200" s="22">
        <f>IF(ISERR(E200-E199),IF(D200&gt;B196,F199,""),(E200-E195))</f>
        <v>576280000</v>
      </c>
      <c r="G200" s="21">
        <f>IF(ISERR(B193*F200),"",((B193*F200)))</f>
        <v>176917960000</v>
      </c>
    </row>
    <row r="201" spans="1:7" ht="12.75">
      <c r="A201" t="s">
        <v>915</v>
      </c>
      <c r="B201" s="27">
        <f>VLOOKUP(B196,D192:G217,4,FALSE)</f>
        <v>424603104000</v>
      </c>
      <c r="D201" s="25">
        <v>2014</v>
      </c>
      <c r="E201" s="23">
        <f>IF(D201&lt;B194,"",IF(D201=B194,B195,IF(D201&gt;B196,"",(D201-B194)*B198+B195)))</f>
        <v>1358304000</v>
      </c>
      <c r="F201" s="22">
        <f>IF(ISERR(E201-E200),IF(D201&gt;B196,F200,""),(E201-E195))</f>
        <v>691536000</v>
      </c>
      <c r="G201" s="21">
        <f>IF(ISERR(B193*F201),"",((B193*F201)))</f>
        <v>212301552000</v>
      </c>
    </row>
    <row r="202" spans="1:7" ht="12.75">
      <c r="A202" t="s">
        <v>914</v>
      </c>
      <c r="B202" s="27">
        <f>SUM(G196:G217)</f>
        <v>7005951216000</v>
      </c>
      <c r="D202" s="25">
        <v>2015</v>
      </c>
      <c r="E202" s="23">
        <f>IF(D202&lt;B194,"",IF(D202=B194,B195,IF(D202&gt;B196,"",(D202-B194)*B198+B195)))</f>
        <v>1473560000</v>
      </c>
      <c r="F202" s="22">
        <f>IF(ISERR(E202-E201),IF(D202&gt;B196,F201,""),(E202-E195))</f>
        <v>806792000</v>
      </c>
      <c r="G202" s="21">
        <f>IF(ISERR(B193*F202),"",((B193*F202)))</f>
        <v>247685144000</v>
      </c>
    </row>
    <row r="203" spans="1:7" ht="12.75">
      <c r="A203" t="s">
        <v>1068</v>
      </c>
      <c r="B203" s="26">
        <f>B201/(10^12)</f>
        <v>0.424603104</v>
      </c>
      <c r="D203" s="25">
        <v>2016</v>
      </c>
      <c r="E203" s="23">
        <f>IF(D203&lt;B194,"",IF(D203=B194,B195,IF(D203&gt;B196,"",(D203-B194)*B198+B195)))</f>
        <v>1588816000</v>
      </c>
      <c r="F203" s="22">
        <f>IF(ISERR(E203-E202),IF(D203&gt;B196,F202,""),(E203-E195))</f>
        <v>922048000</v>
      </c>
      <c r="G203" s="21">
        <f>IF(ISERR(B193*F203),"",((B193*F203)))</f>
        <v>283068736000</v>
      </c>
    </row>
    <row r="204" spans="1:7" ht="12.75">
      <c r="A204" t="s">
        <v>1067</v>
      </c>
      <c r="B204" s="26">
        <f>B202/(10^12)</f>
        <v>7.005951216</v>
      </c>
      <c r="D204" s="25">
        <v>2017</v>
      </c>
      <c r="E204" s="23">
        <f>IF(D204&lt;B194,"",IF(D204=B194,B195,IF(D204&gt;B196,"",(D204-B194)*B198+B195)))</f>
        <v>1704072000</v>
      </c>
      <c r="F204" s="22">
        <f>IF(ISERR(E204-E203),IF(D204&gt;B196,F203,""),(E204-E195))</f>
        <v>1037304000</v>
      </c>
      <c r="G204" s="21">
        <f>IF(ISERR(B193*F204),"",((B193*F204)))</f>
        <v>318452328000</v>
      </c>
    </row>
    <row r="205" spans="1:7" ht="12.75">
      <c r="A205"/>
      <c r="D205" s="25">
        <v>2018</v>
      </c>
      <c r="E205" s="23">
        <f>IF(D205&lt;B194,"",IF(D205=B194,B195,IF(D205&gt;B196,"",(D205-B194)*B198+B195)))</f>
        <v>1819328000</v>
      </c>
      <c r="F205" s="22">
        <f>IF(ISERR(E205-E204),IF(D205&gt;B196,F204,""),(E205-E195))</f>
        <v>1152560000</v>
      </c>
      <c r="G205" s="21">
        <f>IF(ISERR(B193*F205),"",((B193*F205)))</f>
        <v>353835920000</v>
      </c>
    </row>
    <row r="206" spans="1:7" ht="12.75">
      <c r="A206"/>
      <c r="D206" s="25">
        <v>2019</v>
      </c>
      <c r="E206" s="23">
        <f>IF(D206&lt;B194,"",IF(D206=B194,B195,IF(D206&gt;B196,"",(D206-B194)*B198+B195)))</f>
        <v>1934584000</v>
      </c>
      <c r="F206" s="22">
        <f>IF(ISERR(E206-E205),IF(D206&gt;B196,F205,""),(E206-E195))</f>
        <v>1267816000</v>
      </c>
      <c r="G206" s="21">
        <f>IF(ISERR(B193*F206),"",((B193*F206)))</f>
        <v>389219512000</v>
      </c>
    </row>
    <row r="207" spans="1:7" ht="12.75">
      <c r="A207"/>
      <c r="D207" s="25">
        <v>2020</v>
      </c>
      <c r="E207" s="23">
        <f>IF(D207&lt;B194,"",IF(D207=B194,B195,IF(D207&gt;B196,"",(D207-B194)*B198+B195)))</f>
        <v>2049840000</v>
      </c>
      <c r="F207" s="22">
        <f>IF(ISERR(E207-E206),IF(D207&gt;B196,F206,""),(E207-E195))</f>
        <v>1383072000</v>
      </c>
      <c r="G207" s="21">
        <f>IF(ISERR(B193*F207),"",((B193*F207)))</f>
        <v>424603104000</v>
      </c>
    </row>
    <row r="208" spans="1:7" ht="12.75">
      <c r="A208"/>
      <c r="D208" s="25">
        <v>2021</v>
      </c>
      <c r="E208" s="23">
        <f>IF(D208&lt;B194,"",IF(D208=B194,B195,IF(D208&gt;B196,"",(D208-B194)*B198+B195)))</f>
      </c>
      <c r="F208" s="22">
        <f>IF(ISERR(E208-E207),IF(D208&gt;B196,F207,""),(E208-E195))</f>
        <v>1383072000</v>
      </c>
      <c r="G208" s="21">
        <f>IF(ISERR(B193*F208),"",((B193*F208)))</f>
        <v>424603104000</v>
      </c>
    </row>
    <row r="209" spans="1:7" ht="12.75">
      <c r="A209"/>
      <c r="D209" s="25">
        <v>2022</v>
      </c>
      <c r="E209" s="23">
        <f>IF(D209&lt;B194,"",IF(D209=B194,B195,IF(D209&gt;B196,"",(D209-B194)*B198+B195)))</f>
      </c>
      <c r="F209" s="22">
        <f>IF(ISERR(E209-E208),IF(D209&gt;B196,F208,""),(E209-E195))</f>
        <v>1383072000</v>
      </c>
      <c r="G209" s="21">
        <f>IF(ISERR(B193*F209),"",((B193*F209)))</f>
        <v>424603104000</v>
      </c>
    </row>
    <row r="210" spans="1:7" ht="12.75">
      <c r="A210"/>
      <c r="D210" s="25">
        <v>2023</v>
      </c>
      <c r="E210" s="23">
        <f>IF(D210&lt;B194,"",IF(D210=B194,B195,IF(D210&gt;B196,"",(D210-B194)*B198+B195)))</f>
      </c>
      <c r="F210" s="22">
        <f>IF(ISERR(E210-E209),IF(D210&gt;B196,F209,""),(E210-E195))</f>
        <v>1383072000</v>
      </c>
      <c r="G210" s="21">
        <f>IF(ISERR(B193*F210),"",((B193*F210)))</f>
        <v>424603104000</v>
      </c>
    </row>
    <row r="211" spans="1:7" ht="12.75">
      <c r="A211"/>
      <c r="D211" s="25">
        <v>2024</v>
      </c>
      <c r="E211" s="23">
        <f>IF(D211&lt;B194,"",IF(D211=B194,B195,IF(D211&gt;B196,"",(D211-B194)*B198+B195)))</f>
      </c>
      <c r="F211" s="22">
        <f>IF(ISERR(E211-E210),IF(D211&gt;B196,F210,""),(E211-E195))</f>
        <v>1383072000</v>
      </c>
      <c r="G211" s="21">
        <f>IF(ISERR(B193*F211),"",((B193*F211)))</f>
        <v>424603104000</v>
      </c>
    </row>
    <row r="212" spans="1:7" ht="12.75">
      <c r="A212"/>
      <c r="D212" s="25">
        <v>2025</v>
      </c>
      <c r="E212" s="23">
        <f>IF(D212&lt;B194,"",IF(D212=B194,B195,IF(D212&gt;B196,"",(D212-B194)*B198+B195)))</f>
      </c>
      <c r="F212" s="22">
        <f>IF(ISERR(E212-E211),IF(D212&gt;B196,F211,""),(E212-E195))</f>
        <v>1383072000</v>
      </c>
      <c r="G212" s="21">
        <f>IF(ISERR(B193*F212),"",((B193*F212)))</f>
        <v>424603104000</v>
      </c>
    </row>
    <row r="213" spans="1:7" ht="12.75">
      <c r="A213"/>
      <c r="D213" s="25">
        <v>2026</v>
      </c>
      <c r="E213" s="23">
        <f>IF(D213&lt;B194,"",IF(D213=B194,B195,IF(D213&gt;B196,"",(D213-B194)*B198+B195)))</f>
      </c>
      <c r="F213" s="22">
        <f>IF(ISERR(E213-E212),IF(D213&gt;B196,F212,""),(E213-E195))</f>
        <v>1383072000</v>
      </c>
      <c r="G213" s="21">
        <f>IF(ISERR(B193*F213),"",((B193*F213)))</f>
        <v>424603104000</v>
      </c>
    </row>
    <row r="214" spans="1:7" ht="12.75">
      <c r="A214"/>
      <c r="D214" s="25">
        <v>2027</v>
      </c>
      <c r="E214" s="23">
        <f>IF(D214&lt;B194,"",IF(D214=B194,B195,IF(D214&gt;B196,"",(D214-B194)*B198+B195)))</f>
      </c>
      <c r="F214" s="22">
        <f>IF(ISERR(E214-E213),IF(D214&gt;B196,F213,""),(E214-E195))</f>
        <v>1383072000</v>
      </c>
      <c r="G214" s="21">
        <f>IF(ISERR(B193*F214),"",((B193*F214)))</f>
        <v>424603104000</v>
      </c>
    </row>
    <row r="215" spans="1:7" ht="12.75">
      <c r="A215"/>
      <c r="D215" s="25">
        <v>2028</v>
      </c>
      <c r="E215" s="23">
        <f>IF(D215&lt;B194,"",IF(D215=B194,B195,IF(D215&gt;B196,"",(D215-B194)*B198+B195)))</f>
      </c>
      <c r="F215" s="22">
        <f>IF(ISERR(E215-E214),IF(D215&gt;B196,F214,""),(E215-E195))</f>
        <v>1383072000</v>
      </c>
      <c r="G215" s="21">
        <f>IF(ISERR(B193*F215),"",((B193*F215)))</f>
        <v>424603104000</v>
      </c>
    </row>
    <row r="216" spans="1:7" ht="12.75">
      <c r="A216"/>
      <c r="D216" s="25">
        <v>2029</v>
      </c>
      <c r="E216" s="23">
        <f>IF(D216&lt;B194,"",IF(D216=B194,B195,IF(D216&gt;B196,"",(D216-B194)*B198+B195)))</f>
      </c>
      <c r="F216" s="22">
        <f>IF(ISERR(E216-E215),IF(D216&gt;B196,F215,""),(E216-E195))</f>
        <v>1383072000</v>
      </c>
      <c r="G216" s="21">
        <f>IF(ISERR(B193*F216),"",((B193*F216)))</f>
        <v>424603104000</v>
      </c>
    </row>
    <row r="217" spans="1:7" ht="13.5" thickBot="1">
      <c r="A217"/>
      <c r="D217" s="20">
        <v>2030</v>
      </c>
      <c r="E217" s="18">
        <f>IF(D217&lt;B194,"",IF(D217=B194,B195,IF(D217&gt;B196,"",(D217-B194)*B198+B195)))</f>
      </c>
      <c r="F217" s="17">
        <f>IF(ISERR(E217-E216),IF(D217&gt;B196,F216,""),(E217-E195))</f>
        <v>1383072000</v>
      </c>
      <c r="G217" s="16">
        <f>IF(ISERR(B193*F217),"",((B193*F217)))</f>
        <v>424603104000</v>
      </c>
    </row>
    <row r="218" spans="2:13" ht="12.75">
      <c r="B218" s="63"/>
      <c r="K218" s="63"/>
      <c r="L218" s="63"/>
      <c r="M218" s="63"/>
    </row>
    <row r="219" spans="2:13" ht="12.75">
      <c r="B219" s="63"/>
      <c r="K219" s="63"/>
      <c r="L219" s="63"/>
      <c r="M219" s="63"/>
    </row>
    <row r="220" spans="2:13" ht="12.75">
      <c r="B220" s="67"/>
      <c r="K220" s="63"/>
      <c r="L220" s="63"/>
      <c r="M220" s="63"/>
    </row>
    <row r="221" spans="1:18" s="68" customFormat="1" ht="12" customHeight="1">
      <c r="A221" s="481" t="s">
        <v>411</v>
      </c>
      <c r="B221" s="482"/>
      <c r="C221" s="482"/>
      <c r="D221" s="482"/>
      <c r="E221" s="482"/>
      <c r="F221" s="482"/>
      <c r="G221" s="482"/>
      <c r="H221" s="482"/>
      <c r="I221" s="437"/>
      <c r="J221"/>
      <c r="K221"/>
      <c r="L221"/>
      <c r="M221"/>
      <c r="N221"/>
      <c r="O221"/>
      <c r="P221"/>
      <c r="Q221"/>
      <c r="R221"/>
    </row>
    <row r="222" spans="1:18" s="68" customFormat="1" ht="25.5" customHeight="1">
      <c r="A222" s="485" t="s">
        <v>410</v>
      </c>
      <c r="B222" s="456"/>
      <c r="C222" s="456"/>
      <c r="D222" s="456"/>
      <c r="E222" s="456"/>
      <c r="F222" s="456"/>
      <c r="G222" s="456"/>
      <c r="H222" s="456"/>
      <c r="I222" s="75"/>
      <c r="J222"/>
      <c r="K222"/>
      <c r="L222"/>
      <c r="M222"/>
      <c r="N222"/>
      <c r="O222"/>
      <c r="P222"/>
      <c r="Q222"/>
      <c r="R222"/>
    </row>
    <row r="223" spans="1:18" s="68" customFormat="1" ht="36" customHeight="1">
      <c r="A223" s="485" t="s">
        <v>438</v>
      </c>
      <c r="B223" s="456"/>
      <c r="C223" s="456"/>
      <c r="D223" s="456"/>
      <c r="E223" s="456"/>
      <c r="F223" s="456"/>
      <c r="G223" s="456"/>
      <c r="H223" s="456"/>
      <c r="I223" s="436"/>
      <c r="J223"/>
      <c r="K223"/>
      <c r="L223"/>
      <c r="M223"/>
      <c r="N223"/>
      <c r="O223"/>
      <c r="P223"/>
      <c r="Q223"/>
      <c r="R223"/>
    </row>
    <row r="224" spans="1:18" s="68" customFormat="1" ht="12.75">
      <c r="A224" s="457" t="s">
        <v>365</v>
      </c>
      <c r="B224" s="474"/>
      <c r="C224" s="474"/>
      <c r="D224" s="474"/>
      <c r="E224" s="474"/>
      <c r="F224" s="474"/>
      <c r="G224" s="474"/>
      <c r="H224" s="474"/>
      <c r="I224" s="480"/>
      <c r="J224"/>
      <c r="K224"/>
      <c r="L224"/>
      <c r="M224"/>
      <c r="N224"/>
      <c r="O224"/>
      <c r="P224"/>
      <c r="Q224"/>
      <c r="R224"/>
    </row>
    <row r="225" spans="1:19" s="68" customFormat="1" ht="12.75">
      <c r="A225" s="15"/>
      <c r="B225"/>
      <c r="C225"/>
      <c r="D225"/>
      <c r="E225"/>
      <c r="F225"/>
      <c r="G225"/>
      <c r="H225"/>
      <c r="I225"/>
      <c r="J225"/>
      <c r="K225"/>
      <c r="L225"/>
      <c r="M225"/>
      <c r="N225"/>
      <c r="O225"/>
      <c r="P225"/>
      <c r="Q225"/>
      <c r="R225"/>
      <c r="S225"/>
    </row>
    <row r="226" spans="1:19" s="68" customFormat="1" ht="12.75">
      <c r="A226" s="15"/>
      <c r="B226" s="63" t="s">
        <v>952</v>
      </c>
      <c r="C226" s="63"/>
      <c r="D226" s="63"/>
      <c r="E226" s="454" t="s">
        <v>172</v>
      </c>
      <c r="F226" s="455"/>
      <c r="G226" s="455"/>
      <c r="H226" s="455"/>
      <c r="I226"/>
      <c r="J226"/>
      <c r="K226"/>
      <c r="L226"/>
      <c r="M226"/>
      <c r="N226"/>
      <c r="O226"/>
      <c r="P226"/>
      <c r="Q226"/>
      <c r="R226"/>
      <c r="S226"/>
    </row>
    <row r="227" spans="1:19" s="68" customFormat="1" ht="13.5" thickBot="1">
      <c r="A227" s="15"/>
      <c r="B227" s="63"/>
      <c r="C227"/>
      <c r="D227"/>
      <c r="E227" s="97"/>
      <c r="F227" s="63"/>
      <c r="G227" s="63"/>
      <c r="H227" s="63"/>
      <c r="I227"/>
      <c r="J227"/>
      <c r="K227"/>
      <c r="L227"/>
      <c r="M227"/>
      <c r="N227"/>
      <c r="O227"/>
      <c r="P227"/>
      <c r="Q227"/>
      <c r="R227"/>
      <c r="S227"/>
    </row>
    <row r="228" spans="1:7" ht="51">
      <c r="A228" t="s">
        <v>743</v>
      </c>
      <c r="D228" s="46" t="s">
        <v>932</v>
      </c>
      <c r="E228" s="45" t="s">
        <v>929</v>
      </c>
      <c r="F228" s="45" t="s">
        <v>1086</v>
      </c>
      <c r="G228" s="44" t="s">
        <v>928</v>
      </c>
    </row>
    <row r="229" spans="1:7" ht="13.5" thickBot="1">
      <c r="A229" t="s">
        <v>927</v>
      </c>
      <c r="B229" s="57"/>
      <c r="D229" s="43"/>
      <c r="E229" s="41"/>
      <c r="F229" s="41" t="s">
        <v>860</v>
      </c>
      <c r="G229" s="40" t="s">
        <v>859</v>
      </c>
    </row>
    <row r="230" spans="1:7" ht="13.5" thickTop="1">
      <c r="A230" t="s">
        <v>122</v>
      </c>
      <c r="C230" s="30"/>
      <c r="D230" s="25">
        <v>2005</v>
      </c>
      <c r="E230" s="23">
        <f>IF(D230&lt;B232,"",IF(D230=B232,B233,IF(D230&gt;B234,"",(D230-B232)*B236+B233)))</f>
        <v>153000000</v>
      </c>
      <c r="F230" s="39"/>
      <c r="G230" s="38"/>
    </row>
    <row r="231" spans="1:7" ht="12.75">
      <c r="A231" t="s">
        <v>121</v>
      </c>
      <c r="B231" s="37">
        <v>433</v>
      </c>
      <c r="D231" s="25">
        <v>2006</v>
      </c>
      <c r="E231" s="23">
        <f>IF(D231&lt;B232,"",IF(D231=B232,B233,IF(D231&gt;B234,"",(D231-B232)*B236+B233)))</f>
        <v>16777866666.666666</v>
      </c>
      <c r="F231" s="23"/>
      <c r="G231" s="34"/>
    </row>
    <row r="232" spans="1:7" ht="12.75">
      <c r="A232" t="s">
        <v>1052</v>
      </c>
      <c r="B232" s="37">
        <v>2005</v>
      </c>
      <c r="D232" s="25">
        <v>2007</v>
      </c>
      <c r="E232" s="23">
        <f>IF(D232&lt;B232,"",IF(D232=B232,B233,IF(D232&gt;B234,"",(D232-B232)*B236+B233)))</f>
        <v>33402733333.333332</v>
      </c>
      <c r="F232" s="23"/>
      <c r="G232" s="34"/>
    </row>
    <row r="233" spans="1:7" s="33" customFormat="1" ht="12.75">
      <c r="A233" s="33" t="s">
        <v>1051</v>
      </c>
      <c r="B233" s="94">
        <v>153000000</v>
      </c>
      <c r="C233" s="35"/>
      <c r="D233" s="25">
        <v>2008</v>
      </c>
      <c r="E233" s="23">
        <f>IF(D233&lt;B232,"",IF(D233=B232,B233,IF(D233&gt;B234,"",(D233-B232)*B236+B233)))</f>
        <v>50027600000</v>
      </c>
      <c r="F233" s="23"/>
      <c r="G233" s="34"/>
    </row>
    <row r="234" spans="1:7" ht="12.75">
      <c r="A234" t="s">
        <v>1050</v>
      </c>
      <c r="B234" s="32">
        <v>2020</v>
      </c>
      <c r="C234" s="30"/>
      <c r="D234" s="25">
        <v>2009</v>
      </c>
      <c r="E234" s="23">
        <f>IF(D234&lt;B232,"",IF(D234=B232,B233,IF(D234&gt;B234,"",(D234-B232)*B236+B233)))</f>
        <v>66652466666.666664</v>
      </c>
      <c r="F234" s="22">
        <f>IF(ISERR(E234-E233),IF(D234&gt;B234,F233,""),(E234-E233))</f>
        <v>16624866666.666664</v>
      </c>
      <c r="G234" s="21">
        <f>IF(ISERR(B231*F234),"",((B231*F234)))</f>
        <v>7198567266666.666</v>
      </c>
    </row>
    <row r="235" spans="1:7" ht="12.75">
      <c r="A235" t="s">
        <v>1049</v>
      </c>
      <c r="B235" s="58">
        <v>249526000000</v>
      </c>
      <c r="C235" s="30"/>
      <c r="D235" s="25">
        <v>2010</v>
      </c>
      <c r="E235" s="23">
        <f>IF(D235&lt;B232,"",IF(D235=B232,B233,IF(D235&gt;B234,"",(D235-B232)*B236+B233)))</f>
        <v>83277333333.33333</v>
      </c>
      <c r="F235" s="22">
        <f>IF(ISERR(E235-E234),IF(D235&gt;B234,F234,""),(E235-E233))</f>
        <v>33249733333.33333</v>
      </c>
      <c r="G235" s="21">
        <f>IF(ISERR(B231*F235),"",((B231*F235)))</f>
        <v>14397134533333.332</v>
      </c>
    </row>
    <row r="236" spans="1:7" ht="12.75">
      <c r="A236" s="29" t="s">
        <v>120</v>
      </c>
      <c r="B236" s="27">
        <f>(B235-B233)/(B234-B232)</f>
        <v>16624866666.666666</v>
      </c>
      <c r="D236" s="25">
        <v>2011</v>
      </c>
      <c r="E236" s="23">
        <f>IF(D236&lt;B232,"",IF(D236=B232,B233,IF(D236&gt;B234,"",(D236-B232)*B236+B233)))</f>
        <v>99902200000</v>
      </c>
      <c r="F236" s="22">
        <f>IF(ISERR(E236-E235),IF(D236&gt;B234,F235,""),(E236-E233))</f>
        <v>49874600000</v>
      </c>
      <c r="G236" s="21">
        <f>IF(ISERR(B231*F236),"",((B231*F236)))</f>
        <v>21595701800000</v>
      </c>
    </row>
    <row r="237" spans="1:7" ht="12.75">
      <c r="A237"/>
      <c r="D237" s="25">
        <v>2012</v>
      </c>
      <c r="E237" s="23">
        <f>IF(D237&lt;B232,"",IF(D237=B232,B233,IF(D237&gt;B234,"",(D237-B232)*B236+B233)))</f>
        <v>116527066666.66666</v>
      </c>
      <c r="F237" s="22">
        <f>IF(ISERR(E237-E236),IF(D237&gt;B234,F236,""),(E237-E233))</f>
        <v>66499466666.66666</v>
      </c>
      <c r="G237" s="21">
        <f>IF(ISERR(B231*F237),"",((B231*F237)))</f>
        <v>28794269066666.664</v>
      </c>
    </row>
    <row r="238" spans="1:7" ht="12.75">
      <c r="A238"/>
      <c r="D238" s="25">
        <v>2013</v>
      </c>
      <c r="E238" s="23">
        <f>IF(D238&lt;B232,"",IF(D238=B232,B233,IF(D238&gt;B234,"",(D238-B232)*B236+B233)))</f>
        <v>133151933333.33333</v>
      </c>
      <c r="F238" s="22">
        <f>IF(ISERR(E238-E237),IF(D238&gt;B234,F237,""),(E238-E233))</f>
        <v>83124333333.33333</v>
      </c>
      <c r="G238" s="21">
        <f>IF(ISERR(B231*F238),"",((B231*F238)))</f>
        <v>35992836333333.33</v>
      </c>
    </row>
    <row r="239" spans="1:7" ht="12.75">
      <c r="A239" t="s">
        <v>1127</v>
      </c>
      <c r="B239" s="27">
        <f>VLOOKUP(B234,D230:G255,4,FALSE)</f>
        <v>86382807200000</v>
      </c>
      <c r="D239" s="25">
        <v>2014</v>
      </c>
      <c r="E239" s="23">
        <f>IF(D239&lt;B232,"",IF(D239=B232,B233,IF(D239&gt;B234,"",(D239-B232)*B236+B233)))</f>
        <v>149776800000</v>
      </c>
      <c r="F239" s="22">
        <f>IF(ISERR(E239-E238),IF(D239&gt;B234,F238,""),(E239-E233))</f>
        <v>99749200000</v>
      </c>
      <c r="G239" s="21">
        <f>IF(ISERR(B231*F239),"",((B231*F239)))</f>
        <v>43191403600000</v>
      </c>
    </row>
    <row r="240" spans="1:7" ht="12.75">
      <c r="A240" t="s">
        <v>1126</v>
      </c>
      <c r="B240" s="27">
        <f>SUM(G234:G255)</f>
        <v>1425316318800000</v>
      </c>
      <c r="D240" s="25">
        <v>2015</v>
      </c>
      <c r="E240" s="23">
        <f>IF(D240&lt;B232,"",IF(D240=B232,B233,IF(D240&gt;B234,"",(D240-B232)*B236+B233)))</f>
        <v>166401666666.66666</v>
      </c>
      <c r="F240" s="22">
        <f>IF(ISERR(E240-E239),IF(D240&gt;B234,F239,""),(E240-E233))</f>
        <v>116374066666.66666</v>
      </c>
      <c r="G240" s="21">
        <f>IF(ISERR(B231*F240),"",((B231*F240)))</f>
        <v>50389970866666.664</v>
      </c>
    </row>
    <row r="241" spans="1:7" ht="12.75">
      <c r="A241" t="s">
        <v>1125</v>
      </c>
      <c r="B241" s="26">
        <f>B239/(10^12)</f>
        <v>86.3828072</v>
      </c>
      <c r="D241" s="25">
        <v>2016</v>
      </c>
      <c r="E241" s="23">
        <f>IF(D241&lt;B232,"",IF(D241=B232,B233,IF(D241&gt;B234,"",(D241-B232)*B236+B233)))</f>
        <v>183026533333.3333</v>
      </c>
      <c r="F241" s="22">
        <f>IF(ISERR(E241-E240),IF(D241&gt;B234,F240,""),(E241-E233))</f>
        <v>132998933333.33331</v>
      </c>
      <c r="G241" s="21">
        <f>IF(ISERR(B231*F241),"",((B231*F241)))</f>
        <v>57588538133333.33</v>
      </c>
    </row>
    <row r="242" spans="1:7" ht="12.75">
      <c r="A242" t="s">
        <v>1039</v>
      </c>
      <c r="B242" s="26">
        <f>B240/(10^12)</f>
        <v>1425.3163188</v>
      </c>
      <c r="D242" s="25">
        <v>2017</v>
      </c>
      <c r="E242" s="23">
        <f>IF(D242&lt;B232,"",IF(D242=B232,B233,IF(D242&gt;B234,"",(D242-B232)*B236+B233)))</f>
        <v>199651400000</v>
      </c>
      <c r="F242" s="22">
        <f>IF(ISERR(E242-E241),IF(D242&gt;B234,F241,""),(E242-E233))</f>
        <v>149623800000</v>
      </c>
      <c r="G242" s="21">
        <f>IF(ISERR(B231*F242),"",((B231*F242)))</f>
        <v>64787105400000</v>
      </c>
    </row>
    <row r="243" spans="1:7" ht="12.75">
      <c r="A243"/>
      <c r="D243" s="25">
        <v>2018</v>
      </c>
      <c r="E243" s="23">
        <f>IF(D243&lt;B232,"",IF(D243=B232,B233,IF(D243&gt;B234,"",(D243-B232)*B236+B233)))</f>
        <v>216276266666.66666</v>
      </c>
      <c r="F243" s="22">
        <f>IF(ISERR(E243-E242),IF(D243&gt;B234,F242,""),(E243-E233))</f>
        <v>166248666666.66666</v>
      </c>
      <c r="G243" s="21">
        <f>IF(ISERR(B231*F243),"",((B231*F243)))</f>
        <v>71985672666666.66</v>
      </c>
    </row>
    <row r="244" spans="1:7" ht="12.75">
      <c r="A244"/>
      <c r="D244" s="25">
        <v>2019</v>
      </c>
      <c r="E244" s="23">
        <f>IF(D244&lt;B232,"",IF(D244=B232,B233,IF(D244&gt;B234,"",(D244-B232)*B236+B233)))</f>
        <v>232901133333.3333</v>
      </c>
      <c r="F244" s="22">
        <f>IF(ISERR(E244-E243),IF(D244&gt;B234,F243,""),(E244-E233))</f>
        <v>182873533333.3333</v>
      </c>
      <c r="G244" s="21">
        <f>IF(ISERR(B231*F244),"",((B231*F244)))</f>
        <v>79184239933333.33</v>
      </c>
    </row>
    <row r="245" spans="1:7" ht="12.75">
      <c r="A245" s="452" t="s">
        <v>790</v>
      </c>
      <c r="B245" s="452"/>
      <c r="D245" s="25">
        <v>2020</v>
      </c>
      <c r="E245" s="23">
        <f>IF(D245&lt;B232,"",IF(D245=B232,B233,IF(D245&gt;B234,"",(D245-B232)*B236+B233)))</f>
        <v>249526000000</v>
      </c>
      <c r="F245" s="22">
        <f>IF(ISERR(E245-E244),IF(D245&gt;B234,F244,""),(E245-E233))</f>
        <v>199498400000</v>
      </c>
      <c r="G245" s="21">
        <f>IF(ISERR(B231*F245),"",((B231*F245)))</f>
        <v>86382807200000</v>
      </c>
    </row>
    <row r="246" spans="1:7" ht="12.75">
      <c r="A246" s="452"/>
      <c r="B246" s="452"/>
      <c r="D246" s="25">
        <v>2021</v>
      </c>
      <c r="E246" s="23">
        <f>IF(D246&lt;B232,"",IF(D246=B232,B233,IF(D246&gt;B234,"",(D246-B232)*B236+B233)))</f>
      </c>
      <c r="F246" s="22">
        <f>IF(ISERR(E246-E245),IF(D246&gt;B234,F245,""),(E246-E233))</f>
        <v>199498400000</v>
      </c>
      <c r="G246" s="21">
        <f>IF(ISERR(B231*F246),"",((B231*F246)))</f>
        <v>86382807200000</v>
      </c>
    </row>
    <row r="247" spans="1:7" ht="12.75">
      <c r="A247" s="453"/>
      <c r="B247" s="453"/>
      <c r="D247" s="25">
        <v>2022</v>
      </c>
      <c r="E247" s="23">
        <f>IF(D247&lt;B232,"",IF(D247=B232,B233,IF(D247&gt;B234,"",(D247-B232)*B236+B233)))</f>
      </c>
      <c r="F247" s="22">
        <f>IF(ISERR(E247-E246),IF(D247&gt;B234,F246,""),(E247-E233))</f>
        <v>199498400000</v>
      </c>
      <c r="G247" s="21">
        <f>IF(ISERR(B231*F247),"",((B231*F247)))</f>
        <v>86382807200000</v>
      </c>
    </row>
    <row r="248" spans="1:7" ht="12.75">
      <c r="A248"/>
      <c r="D248" s="25">
        <v>2023</v>
      </c>
      <c r="E248" s="23">
        <f>IF(D248&lt;B232,"",IF(D248=B232,B233,IF(D248&gt;B234,"",(D248-B232)*B236+B233)))</f>
      </c>
      <c r="F248" s="22">
        <f>IF(ISERR(E248-E247),IF(D248&gt;B234,F247,""),(E248-E233))</f>
        <v>199498400000</v>
      </c>
      <c r="G248" s="21">
        <f>IF(ISERR(B231*F248),"",((B231*F248)))</f>
        <v>86382807200000</v>
      </c>
    </row>
    <row r="249" spans="1:7" ht="12.75">
      <c r="A249"/>
      <c r="D249" s="25">
        <v>2024</v>
      </c>
      <c r="E249" s="23">
        <f>IF(D249&lt;B232,"",IF(D249=B232,B233,IF(D249&gt;B234,"",(D249-B232)*B236+B233)))</f>
      </c>
      <c r="F249" s="22">
        <f>IF(ISERR(E249-E248),IF(D249&gt;B234,F248,""),(E249-E233))</f>
        <v>199498400000</v>
      </c>
      <c r="G249" s="21">
        <f>IF(ISERR(B231*F249),"",((B231*F249)))</f>
        <v>86382807200000</v>
      </c>
    </row>
    <row r="250" spans="1:7" ht="12.75">
      <c r="A250"/>
      <c r="D250" s="25">
        <v>2025</v>
      </c>
      <c r="E250" s="23">
        <f>IF(D250&lt;B232,"",IF(D250=B232,B233,IF(D250&gt;B234,"",(D250-B232)*B236+B233)))</f>
      </c>
      <c r="F250" s="22">
        <f>IF(ISERR(E250-E249),IF(D250&gt;B234,F249,""),(E250-E233))</f>
        <v>199498400000</v>
      </c>
      <c r="G250" s="21">
        <f>IF(ISERR(B231*F250),"",((B231*F250)))</f>
        <v>86382807200000</v>
      </c>
    </row>
    <row r="251" spans="1:7" ht="12.75">
      <c r="A251"/>
      <c r="D251" s="25">
        <v>2026</v>
      </c>
      <c r="E251" s="23">
        <f>IF(D251&lt;B232,"",IF(D251=B232,B233,IF(D251&gt;B234,"",(D251-B232)*B236+B233)))</f>
      </c>
      <c r="F251" s="22">
        <f>IF(ISERR(E251-E250),IF(D251&gt;B234,F250,""),(E251-E233))</f>
        <v>199498400000</v>
      </c>
      <c r="G251" s="21">
        <f>IF(ISERR(B231*F251),"",((B231*F251)))</f>
        <v>86382807200000</v>
      </c>
    </row>
    <row r="252" spans="1:7" ht="12.75">
      <c r="A252"/>
      <c r="D252" s="25">
        <v>2027</v>
      </c>
      <c r="E252" s="23">
        <f>IF(D252&lt;B232,"",IF(D252=B232,B233,IF(D252&gt;B234,"",(D252-B232)*B236+B233)))</f>
      </c>
      <c r="F252" s="22">
        <f>IF(ISERR(E252-E251),IF(D252&gt;B234,F251,""),(E252-E233))</f>
        <v>199498400000</v>
      </c>
      <c r="G252" s="21">
        <f>IF(ISERR(B231*F252),"",((B231*F252)))</f>
        <v>86382807200000</v>
      </c>
    </row>
    <row r="253" spans="1:7" ht="12.75">
      <c r="A253"/>
      <c r="D253" s="25">
        <v>2028</v>
      </c>
      <c r="E253" s="23">
        <f>IF(D253&lt;B232,"",IF(D253=B232,B233,IF(D253&gt;B234,"",(D253-B232)*B236+B233)))</f>
      </c>
      <c r="F253" s="22">
        <f>IF(ISERR(E253-E252),IF(D253&gt;B234,F252,""),(E253-E233))</f>
        <v>199498400000</v>
      </c>
      <c r="G253" s="21">
        <f>IF(ISERR(B231*F253),"",((B231*F253)))</f>
        <v>86382807200000</v>
      </c>
    </row>
    <row r="254" spans="1:7" ht="12.75">
      <c r="A254"/>
      <c r="D254" s="25">
        <v>2029</v>
      </c>
      <c r="E254" s="23">
        <f>IF(D254&lt;B232,"",IF(D254=B232,B233,IF(D254&gt;B234,"",(D254-B232)*B236+B233)))</f>
      </c>
      <c r="F254" s="22">
        <f>IF(ISERR(E254-E253),IF(D254&gt;B234,F253,""),(E254-E233))</f>
        <v>199498400000</v>
      </c>
      <c r="G254" s="21">
        <f>IF(ISERR(B231*F254),"",((B231*F254)))</f>
        <v>86382807200000</v>
      </c>
    </row>
    <row r="255" spans="1:7" ht="13.5" thickBot="1">
      <c r="A255"/>
      <c r="D255" s="20">
        <v>2030</v>
      </c>
      <c r="E255" s="18">
        <f>IF(D255&lt;B232,"",IF(D255=B232,B233,IF(D255&gt;B234,"",(D255-B232)*B236+B233)))</f>
      </c>
      <c r="F255" s="17">
        <f>IF(ISERR(E255-E254),IF(D255&gt;B234,F254,""),(E255-E233))</f>
        <v>199498400000</v>
      </c>
      <c r="G255" s="16">
        <f>IF(ISERR(B231*F255),"",((B231*F255)))</f>
        <v>86382807200000</v>
      </c>
    </row>
    <row r="256" spans="1:19" s="68" customFormat="1" ht="12.75">
      <c r="A256" s="15"/>
      <c r="B256" s="63"/>
      <c r="C256"/>
      <c r="D256"/>
      <c r="E256" s="97"/>
      <c r="F256" s="63"/>
      <c r="G256" s="63"/>
      <c r="H256" s="63"/>
      <c r="I256"/>
      <c r="J256"/>
      <c r="K256"/>
      <c r="L256"/>
      <c r="M256"/>
      <c r="N256"/>
      <c r="O256"/>
      <c r="P256"/>
      <c r="Q256"/>
      <c r="R256"/>
      <c r="S256"/>
    </row>
    <row r="257" spans="1:13" s="68" customFormat="1" ht="12.75">
      <c r="A257" s="15"/>
      <c r="K257" s="69"/>
      <c r="L257" s="69"/>
      <c r="M257" s="69"/>
    </row>
    <row r="258" spans="1:9" s="73" customFormat="1" ht="12" customHeight="1">
      <c r="A258" s="481" t="s">
        <v>1124</v>
      </c>
      <c r="B258" s="483"/>
      <c r="C258" s="483"/>
      <c r="D258" s="483"/>
      <c r="E258" s="483"/>
      <c r="F258" s="483"/>
      <c r="G258" s="483"/>
      <c r="H258" s="483"/>
      <c r="I258" s="484"/>
    </row>
    <row r="259" spans="1:9" s="74" customFormat="1" ht="19.5" customHeight="1">
      <c r="A259" s="488" t="s">
        <v>1123</v>
      </c>
      <c r="B259" s="469"/>
      <c r="C259" s="469"/>
      <c r="D259" s="469"/>
      <c r="E259" s="469"/>
      <c r="F259" s="469"/>
      <c r="G259" s="469"/>
      <c r="H259" s="469"/>
      <c r="I259" s="75"/>
    </row>
    <row r="260" spans="1:9" s="73" customFormat="1" ht="54" customHeight="1">
      <c r="A260" s="472" t="s">
        <v>1122</v>
      </c>
      <c r="B260" s="486"/>
      <c r="C260" s="486"/>
      <c r="D260" s="486"/>
      <c r="E260" s="486"/>
      <c r="F260" s="486"/>
      <c r="G260" s="486"/>
      <c r="H260" s="486"/>
      <c r="I260" s="487"/>
    </row>
    <row r="261" spans="1:9" ht="12" customHeight="1">
      <c r="A261" s="472" t="s">
        <v>414</v>
      </c>
      <c r="B261" s="469"/>
      <c r="C261" s="469"/>
      <c r="D261" s="469"/>
      <c r="E261" s="469"/>
      <c r="F261" s="469"/>
      <c r="G261" s="469"/>
      <c r="H261" s="469"/>
      <c r="I261" s="478"/>
    </row>
    <row r="262" spans="1:9" ht="15.75" customHeight="1">
      <c r="A262" s="459" t="s">
        <v>413</v>
      </c>
      <c r="B262" s="462"/>
      <c r="C262" s="462"/>
      <c r="D262" s="462"/>
      <c r="E262" s="462"/>
      <c r="F262" s="462"/>
      <c r="G262" s="462"/>
      <c r="H262" s="462"/>
      <c r="I262" s="449"/>
    </row>
    <row r="263" spans="1:12" ht="12.75">
      <c r="A263" s="63" t="s">
        <v>952</v>
      </c>
      <c r="D263" s="64" t="s">
        <v>1120</v>
      </c>
      <c r="J263" s="63"/>
      <c r="K263" s="63"/>
      <c r="L263" s="63"/>
    </row>
    <row r="264" spans="2:13" ht="13.5" thickBot="1">
      <c r="B264" s="63"/>
      <c r="E264" s="64"/>
      <c r="K264" s="63"/>
      <c r="L264" s="63"/>
      <c r="M264" s="63"/>
    </row>
    <row r="265" spans="1:7" ht="51">
      <c r="A265" t="s">
        <v>150</v>
      </c>
      <c r="D265" s="46" t="s">
        <v>149</v>
      </c>
      <c r="E265" s="45" t="s">
        <v>148</v>
      </c>
      <c r="F265" s="45" t="s">
        <v>124</v>
      </c>
      <c r="G265" s="44" t="s">
        <v>123</v>
      </c>
    </row>
    <row r="266" spans="1:7" ht="13.5" thickBot="1">
      <c r="A266" t="s">
        <v>927</v>
      </c>
      <c r="B266" s="57"/>
      <c r="D266" s="43"/>
      <c r="E266" s="41"/>
      <c r="F266" s="41" t="s">
        <v>147</v>
      </c>
      <c r="G266" s="40" t="s">
        <v>146</v>
      </c>
    </row>
    <row r="267" spans="1:7" ht="13.5" thickTop="1">
      <c r="A267" t="s">
        <v>145</v>
      </c>
      <c r="C267" s="30"/>
      <c r="D267" s="25">
        <v>2005</v>
      </c>
      <c r="E267" s="23">
        <f>IF(D267&lt;B269,"",IF(D267=B269,B270,IF(D267&gt;B271,"",(D267-B269)*B273+B270)))</f>
      </c>
      <c r="F267" s="39"/>
      <c r="G267" s="38"/>
    </row>
    <row r="268" spans="1:7" ht="12.75">
      <c r="A268" t="s">
        <v>144</v>
      </c>
      <c r="B268" s="37">
        <v>473</v>
      </c>
      <c r="D268" s="25">
        <v>2006</v>
      </c>
      <c r="E268" s="23">
        <f>IF(D268&lt;B269,"",IF(D268=B269,B270,IF(D268&gt;B271,"",(D268-B269)*B273+B270)))</f>
      </c>
      <c r="F268" s="23"/>
      <c r="G268" s="34"/>
    </row>
    <row r="269" spans="1:7" ht="12.75">
      <c r="A269" t="s">
        <v>1052</v>
      </c>
      <c r="B269" s="37">
        <v>2008</v>
      </c>
      <c r="D269" s="25">
        <v>2007</v>
      </c>
      <c r="E269" s="23">
        <f>IF(D269&lt;B269,"",IF(D269=B269,B270,IF(D269&gt;B271,"",(D269-B269)*B273+B270)))</f>
      </c>
      <c r="F269" s="23"/>
      <c r="G269" s="34"/>
    </row>
    <row r="270" spans="1:7" s="33" customFormat="1" ht="12.75">
      <c r="A270" s="33" t="s">
        <v>1051</v>
      </c>
      <c r="B270" s="96">
        <v>3784320000</v>
      </c>
      <c r="C270" s="35"/>
      <c r="D270" s="25">
        <v>2008</v>
      </c>
      <c r="E270" s="23">
        <f>IF(D270&lt;B269,"",IF(D270=B269,B270,IF(D270&gt;B271,"",(D270-B269)*B273+B270)))</f>
        <v>3784320000</v>
      </c>
      <c r="F270" s="23"/>
      <c r="G270" s="34"/>
    </row>
    <row r="271" spans="1:7" ht="12.75">
      <c r="A271" t="s">
        <v>1050</v>
      </c>
      <c r="B271" s="32">
        <v>2020</v>
      </c>
      <c r="C271" s="30"/>
      <c r="D271" s="25">
        <v>2009</v>
      </c>
      <c r="E271" s="23">
        <f>IF(D271&lt;B269,"",IF(D271=B269,B270,IF(D271&gt;B271,"",(D271-B269)*B273+B270)))</f>
        <v>12141360000</v>
      </c>
      <c r="F271" s="22">
        <f>IF(ISERR(E271-E270),IF(D271&gt;B271,F270,""),(E271-E270))</f>
        <v>8357040000</v>
      </c>
      <c r="G271" s="21">
        <f>IF(ISERR(B268*F271),"",((B268*F271)))</f>
        <v>3952879920000</v>
      </c>
    </row>
    <row r="272" spans="1:7" ht="12.75">
      <c r="A272" t="s">
        <v>1049</v>
      </c>
      <c r="B272" s="58">
        <v>104068800000</v>
      </c>
      <c r="C272" s="30"/>
      <c r="D272" s="25">
        <v>2010</v>
      </c>
      <c r="E272" s="23">
        <f>IF(D272&lt;B269,"",IF(D272=B269,B270,IF(D272&gt;B271,"",(D272-B269)*B273+B270)))</f>
        <v>20498400000</v>
      </c>
      <c r="F272" s="22">
        <f>IF(ISERR(E272-E271),IF(D272&gt;B271,F271,""),(E272-E270))</f>
        <v>16714080000</v>
      </c>
      <c r="G272" s="21">
        <f>IF(ISERR(B268*F272),"",((B268*F272)))</f>
        <v>7905759840000</v>
      </c>
    </row>
    <row r="273" spans="1:7" ht="12.75">
      <c r="A273" s="29" t="s">
        <v>1094</v>
      </c>
      <c r="B273" s="27">
        <f>(B272-B270)/(B271-B269)</f>
        <v>8357040000</v>
      </c>
      <c r="D273" s="25">
        <v>2011</v>
      </c>
      <c r="E273" s="23">
        <f>IF(D273&lt;B269,"",IF(D273=B269,B270,IF(D273&gt;B271,"",(D273-B269)*B273+B270)))</f>
        <v>28855440000</v>
      </c>
      <c r="F273" s="22">
        <f>IF(ISERR(E273-E272),IF(D273&gt;B271,F272,""),(E273-E270))</f>
        <v>25071120000</v>
      </c>
      <c r="G273" s="21">
        <f>IF(ISERR(B268*F273),"",((B268*F273)))</f>
        <v>11858639760000</v>
      </c>
    </row>
    <row r="274" spans="1:7" ht="12.75">
      <c r="A274"/>
      <c r="D274" s="25">
        <v>2012</v>
      </c>
      <c r="E274" s="23">
        <f>IF(D274&lt;B269,"",IF(D274=B269,B270,IF(D274&gt;B271,"",(D274-B269)*B273+B270)))</f>
        <v>37212480000</v>
      </c>
      <c r="F274" s="22">
        <f>IF(ISERR(E274-E273),IF(D274&gt;B271,F273,""),(E274-E270))</f>
        <v>33428160000</v>
      </c>
      <c r="G274" s="21">
        <f>IF(ISERR(B268*F274),"",((B268*F274)))</f>
        <v>15811519680000</v>
      </c>
    </row>
    <row r="275" spans="1:7" ht="12.75">
      <c r="A275"/>
      <c r="D275" s="25">
        <v>2013</v>
      </c>
      <c r="E275" s="23">
        <f>IF(D275&lt;B269,"",IF(D275=B269,B270,IF(D275&gt;B271,"",(D275-B269)*B273+B270)))</f>
        <v>45569520000</v>
      </c>
      <c r="F275" s="22">
        <f>IF(ISERR(E275-E274),IF(D275&gt;B271,F274,""),(E275-E270))</f>
        <v>41785200000</v>
      </c>
      <c r="G275" s="21">
        <f>IF(ISERR(B268*F275),"",((B268*F275)))</f>
        <v>19764399600000</v>
      </c>
    </row>
    <row r="276" spans="1:7" ht="12.75">
      <c r="A276" t="s">
        <v>1041</v>
      </c>
      <c r="B276" s="27">
        <f>VLOOKUP(B271,D267:G292,4,FALSE)</f>
        <v>47434559040000</v>
      </c>
      <c r="D276" s="25">
        <v>2014</v>
      </c>
      <c r="E276" s="23">
        <f>IF(D276&lt;B269,"",IF(D276=B269,B270,IF(D276&gt;B271,"",(D276-B269)*B273+B270)))</f>
        <v>53926560000</v>
      </c>
      <c r="F276" s="22">
        <f>IF(ISERR(E276-E275),IF(D276&gt;B271,F275,""),(E276-E270))</f>
        <v>50142240000</v>
      </c>
      <c r="G276" s="21">
        <f>IF(ISERR(B268*F276),"",((B268*F276)))</f>
        <v>23717279520000</v>
      </c>
    </row>
    <row r="277" spans="1:7" ht="12.75">
      <c r="A277" t="s">
        <v>1117</v>
      </c>
      <c r="B277" s="27">
        <f>SUM(G271:G292)</f>
        <v>782670224160000</v>
      </c>
      <c r="D277" s="25">
        <v>2015</v>
      </c>
      <c r="E277" s="23">
        <f>IF(D277&lt;B269,"",IF(D277=B269,B270,IF(D277&gt;B271,"",(D277-B269)*B273+B270)))</f>
        <v>62283600000</v>
      </c>
      <c r="F277" s="22">
        <f>IF(ISERR(E277-E276),IF(D277&gt;B271,F276,""),(E277-E270))</f>
        <v>58499280000</v>
      </c>
      <c r="G277" s="21">
        <f>IF(ISERR(B268*F277),"",((B268*F277)))</f>
        <v>27670159440000</v>
      </c>
    </row>
    <row r="278" spans="1:7" ht="12.75">
      <c r="A278" t="s">
        <v>1068</v>
      </c>
      <c r="B278" s="26">
        <f>B276/(10^12)</f>
        <v>47.43455904</v>
      </c>
      <c r="D278" s="25">
        <v>2016</v>
      </c>
      <c r="E278" s="23">
        <f>IF(D278&lt;B269,"",IF(D278=B269,B270,IF(D278&gt;B271,"",(D278-B269)*B273+B270)))</f>
        <v>70640640000</v>
      </c>
      <c r="F278" s="22">
        <f>IF(ISERR(E278-E277),IF(D278&gt;B271,F277,""),(E278-E270))</f>
        <v>66856320000</v>
      </c>
      <c r="G278" s="21">
        <f>IF(ISERR(B268*F278),"",((B268*F278)))</f>
        <v>31623039360000</v>
      </c>
    </row>
    <row r="279" spans="1:7" ht="12.75">
      <c r="A279" t="s">
        <v>1039</v>
      </c>
      <c r="B279" s="26">
        <f>B277/(10^12)</f>
        <v>782.67022416</v>
      </c>
      <c r="D279" s="25">
        <v>2017</v>
      </c>
      <c r="E279" s="23">
        <f>IF(D279&lt;B269,"",IF(D279=B269,B270,IF(D279&gt;B271,"",(D279-B269)*B273+B270)))</f>
        <v>78997680000</v>
      </c>
      <c r="F279" s="22">
        <f>IF(ISERR(E279-E278),IF(D279&gt;B271,F278,""),(E279-E270))</f>
        <v>75213360000</v>
      </c>
      <c r="G279" s="21">
        <f>IF(ISERR(B268*F279),"",((B268*F279)))</f>
        <v>35575919280000</v>
      </c>
    </row>
    <row r="280" spans="1:7" ht="12.75">
      <c r="A280"/>
      <c r="D280" s="25">
        <v>2018</v>
      </c>
      <c r="E280" s="23">
        <f>IF(D280&lt;B269,"",IF(D280=B269,B270,IF(D280&gt;B271,"",(D280-B269)*B273+B270)))</f>
        <v>87354720000</v>
      </c>
      <c r="F280" s="22">
        <f>IF(ISERR(E280-E279),IF(D280&gt;B271,F279,""),(E280-E270))</f>
        <v>83570400000</v>
      </c>
      <c r="G280" s="21">
        <f>IF(ISERR(B268*F280),"",((B268*F280)))</f>
        <v>39528799200000</v>
      </c>
    </row>
    <row r="281" spans="1:7" ht="12.75">
      <c r="A281"/>
      <c r="D281" s="25">
        <v>2019</v>
      </c>
      <c r="E281" s="23">
        <f>IF(D281&lt;B269,"",IF(D281=B269,B270,IF(D281&gt;B271,"",(D281-B269)*B273+B270)))</f>
        <v>95711760000</v>
      </c>
      <c r="F281" s="22">
        <f>IF(ISERR(E281-E280),IF(D281&gt;B271,F280,""),(E281-E270))</f>
        <v>91927440000</v>
      </c>
      <c r="G281" s="21">
        <f>IF(ISERR(B268*F281),"",((B268*F281)))</f>
        <v>43481679120000</v>
      </c>
    </row>
    <row r="282" spans="1:7" ht="12.75">
      <c r="A282"/>
      <c r="D282" s="25">
        <v>2020</v>
      </c>
      <c r="E282" s="23">
        <f>IF(D282&lt;B269,"",IF(D282=B269,B270,IF(D282&gt;B271,"",(D282-B269)*B273+B270)))</f>
        <v>104068800000</v>
      </c>
      <c r="F282" s="22">
        <f>IF(ISERR(E282-E281),IF(D282&gt;B271,F281,""),(E282-E270))</f>
        <v>100284480000</v>
      </c>
      <c r="G282" s="21">
        <f>IF(ISERR(B268*F282),"",((B268*F282)))</f>
        <v>47434559040000</v>
      </c>
    </row>
    <row r="283" spans="1:7" ht="12.75">
      <c r="A283"/>
      <c r="D283" s="25">
        <v>2021</v>
      </c>
      <c r="E283" s="23">
        <f>IF(D283&lt;B269,"",IF(D283=B269,B270,IF(D283&gt;B271,"",(D283-B269)*B273+B270)))</f>
      </c>
      <c r="F283" s="22">
        <f>IF(ISERR(E283-E282),IF(D283&gt;B271,F282,""),(E283-E270))</f>
        <v>100284480000</v>
      </c>
      <c r="G283" s="21">
        <f>IF(ISERR(B268*F283),"",((B268*F283)))</f>
        <v>47434559040000</v>
      </c>
    </row>
    <row r="284" spans="1:7" ht="12.75">
      <c r="A284"/>
      <c r="D284" s="25">
        <v>2022</v>
      </c>
      <c r="E284" s="23">
        <f>IF(D284&lt;B269,"",IF(D284=B269,B270,IF(D284&gt;B271,"",(D284-B269)*B273+B270)))</f>
      </c>
      <c r="F284" s="22">
        <f>IF(ISERR(E284-E283),IF(D284&gt;B271,F283,""),(E284-E270))</f>
        <v>100284480000</v>
      </c>
      <c r="G284" s="21">
        <f>IF(ISERR(B268*F284),"",((B268*F284)))</f>
        <v>47434559040000</v>
      </c>
    </row>
    <row r="285" spans="1:7" ht="12.75">
      <c r="A285"/>
      <c r="D285" s="25">
        <v>2023</v>
      </c>
      <c r="E285" s="23">
        <f>IF(D285&lt;B269,"",IF(D285=B269,B270,IF(D285&gt;B271,"",(D285-B269)*B273+B270)))</f>
      </c>
      <c r="F285" s="22">
        <f>IF(ISERR(E285-E284),IF(D285&gt;B271,F284,""),(E285-E270))</f>
        <v>100284480000</v>
      </c>
      <c r="G285" s="21">
        <f>IF(ISERR(B268*F285),"",((B268*F285)))</f>
        <v>47434559040000</v>
      </c>
    </row>
    <row r="286" spans="1:7" ht="12.75">
      <c r="A286"/>
      <c r="D286" s="25">
        <v>2024</v>
      </c>
      <c r="E286" s="23">
        <f>IF(D286&lt;B269,"",IF(D286=B269,B270,IF(D286&gt;B271,"",(D286-B269)*B273+B270)))</f>
      </c>
      <c r="F286" s="22">
        <f>IF(ISERR(E286-E285),IF(D286&gt;B271,F285,""),(E286-E270))</f>
        <v>100284480000</v>
      </c>
      <c r="G286" s="21">
        <f>IF(ISERR(B268*F286),"",((B268*F286)))</f>
        <v>47434559040000</v>
      </c>
    </row>
    <row r="287" spans="1:7" ht="12.75">
      <c r="A287"/>
      <c r="D287" s="25">
        <v>2025</v>
      </c>
      <c r="E287" s="23">
        <f>IF(D287&lt;B269,"",IF(D287=B269,B270,IF(D287&gt;B271,"",(D287-B269)*B273+B270)))</f>
      </c>
      <c r="F287" s="22">
        <f>IF(ISERR(E287-E286),IF(D287&gt;B271,F286,""),(E287-E270))</f>
        <v>100284480000</v>
      </c>
      <c r="G287" s="21">
        <f>IF(ISERR(B268*F287),"",((B268*F287)))</f>
        <v>47434559040000</v>
      </c>
    </row>
    <row r="288" spans="1:7" ht="12.75">
      <c r="A288"/>
      <c r="D288" s="25">
        <v>2026</v>
      </c>
      <c r="E288" s="23">
        <f>IF(D288&lt;B269,"",IF(D288=B269,B270,IF(D288&gt;B271,"",(D288-B269)*B273+B270)))</f>
      </c>
      <c r="F288" s="22">
        <f>IF(ISERR(E288-E287),IF(D288&gt;B271,F287,""),(E288-E270))</f>
        <v>100284480000</v>
      </c>
      <c r="G288" s="21">
        <f>IF(ISERR(B268*F288),"",((B268*F288)))</f>
        <v>47434559040000</v>
      </c>
    </row>
    <row r="289" spans="1:7" ht="12.75">
      <c r="A289"/>
      <c r="D289" s="25">
        <v>2027</v>
      </c>
      <c r="E289" s="23">
        <f>IF(D289&lt;B269,"",IF(D289=B269,B270,IF(D289&gt;B271,"",(D289-B269)*B273+B270)))</f>
      </c>
      <c r="F289" s="22">
        <f>IF(ISERR(E289-E288),IF(D289&gt;B271,F288,""),(E289-E270))</f>
        <v>100284480000</v>
      </c>
      <c r="G289" s="21">
        <f>IF(ISERR(B268*F289),"",((B268*F289)))</f>
        <v>47434559040000</v>
      </c>
    </row>
    <row r="290" spans="1:7" ht="12.75">
      <c r="A290"/>
      <c r="D290" s="25">
        <v>2028</v>
      </c>
      <c r="E290" s="23">
        <f>IF(D290&lt;B269,"",IF(D290=B269,B270,IF(D290&gt;B271,"",(D290-B269)*B273+B270)))</f>
      </c>
      <c r="F290" s="22">
        <f>IF(ISERR(E290-E289),IF(D290&gt;B271,F289,""),(E290-E270))</f>
        <v>100284480000</v>
      </c>
      <c r="G290" s="21">
        <f>IF(ISERR(B268*F290),"",((B268*F290)))</f>
        <v>47434559040000</v>
      </c>
    </row>
    <row r="291" spans="1:7" ht="12.75">
      <c r="A291"/>
      <c r="D291" s="25">
        <v>2029</v>
      </c>
      <c r="E291" s="23">
        <f>IF(D291&lt;B269,"",IF(D291=B269,B270,IF(D291&gt;B271,"",(D291-B269)*B273+B270)))</f>
      </c>
      <c r="F291" s="22">
        <f>IF(ISERR(E291-E290),IF(D291&gt;B271,F290,""),(E291-E270))</f>
        <v>100284480000</v>
      </c>
      <c r="G291" s="21">
        <f>IF(ISERR(B268*F291),"",((B268*F291)))</f>
        <v>47434559040000</v>
      </c>
    </row>
    <row r="292" spans="1:7" ht="13.5" thickBot="1">
      <c r="A292"/>
      <c r="D292" s="20">
        <v>2030</v>
      </c>
      <c r="E292" s="18">
        <f>IF(D292&lt;B269,"",IF(D292=B269,B270,IF(D292&gt;B271,"",(D292-B269)*B273+B270)))</f>
      </c>
      <c r="F292" s="17">
        <f>IF(ISERR(E292-E291),IF(D292&gt;B271,F291,""),(E292-E270))</f>
        <v>100284480000</v>
      </c>
      <c r="G292" s="16">
        <f>IF(ISERR(B268*F292),"",((B268*F292)))</f>
        <v>47434559040000</v>
      </c>
    </row>
    <row r="293" spans="2:13" ht="12.75">
      <c r="B293" s="63"/>
      <c r="E293" s="64"/>
      <c r="K293" s="63"/>
      <c r="L293" s="63"/>
      <c r="M293" s="63"/>
    </row>
    <row r="294" spans="2:13" ht="12.75">
      <c r="B294" s="67"/>
      <c r="K294" s="63"/>
      <c r="L294" s="63"/>
      <c r="M294" s="63"/>
    </row>
    <row r="295" spans="1:9" s="73" customFormat="1" ht="12" customHeight="1">
      <c r="A295" s="481" t="s">
        <v>201</v>
      </c>
      <c r="B295" s="483"/>
      <c r="C295" s="483"/>
      <c r="D295" s="483"/>
      <c r="E295" s="483"/>
      <c r="F295" s="483"/>
      <c r="G295" s="483"/>
      <c r="H295" s="483"/>
      <c r="I295" s="484"/>
    </row>
    <row r="296" spans="1:9" s="74" customFormat="1" ht="34.5" customHeight="1">
      <c r="A296" s="485" t="s">
        <v>1119</v>
      </c>
      <c r="B296" s="469"/>
      <c r="C296" s="469"/>
      <c r="D296" s="469"/>
      <c r="E296" s="469"/>
      <c r="F296" s="469"/>
      <c r="G296" s="469"/>
      <c r="H296" s="469"/>
      <c r="I296" s="75"/>
    </row>
    <row r="297" spans="1:9" s="73" customFormat="1" ht="30.75" customHeight="1">
      <c r="A297" s="472" t="s">
        <v>711</v>
      </c>
      <c r="B297" s="486"/>
      <c r="C297" s="486"/>
      <c r="D297" s="486"/>
      <c r="E297" s="486"/>
      <c r="F297" s="486"/>
      <c r="G297" s="486"/>
      <c r="H297" s="486"/>
      <c r="I297" s="487"/>
    </row>
    <row r="298" spans="1:9" ht="12" customHeight="1">
      <c r="A298" s="479" t="s">
        <v>134</v>
      </c>
      <c r="B298" s="474"/>
      <c r="C298" s="474"/>
      <c r="D298" s="474"/>
      <c r="E298" s="474"/>
      <c r="F298" s="474"/>
      <c r="G298" s="474"/>
      <c r="H298" s="474"/>
      <c r="I298" s="480"/>
    </row>
    <row r="299" ht="15.75" customHeight="1"/>
    <row r="300" spans="1:12" ht="12.75">
      <c r="A300" s="63" t="s">
        <v>952</v>
      </c>
      <c r="B300" s="64" t="s">
        <v>135</v>
      </c>
      <c r="J300" s="63"/>
      <c r="K300" s="63"/>
      <c r="L300" s="63"/>
    </row>
    <row r="301" spans="2:13" ht="12.75">
      <c r="B301" s="63"/>
      <c r="E301" s="64"/>
      <c r="K301" s="63"/>
      <c r="L301" s="63"/>
      <c r="M301" s="63"/>
    </row>
    <row r="302" spans="2:13" ht="13.5" thickBot="1">
      <c r="B302" s="67"/>
      <c r="K302" s="63"/>
      <c r="L302" s="63"/>
      <c r="M302" s="63"/>
    </row>
    <row r="303" spans="1:7" ht="51">
      <c r="A303" s="74" t="s">
        <v>150</v>
      </c>
      <c r="D303" s="46" t="s">
        <v>149</v>
      </c>
      <c r="E303" s="45" t="s">
        <v>148</v>
      </c>
      <c r="F303" s="45" t="s">
        <v>124</v>
      </c>
      <c r="G303" s="44" t="s">
        <v>123</v>
      </c>
    </row>
    <row r="304" spans="1:7" ht="13.5" thickBot="1">
      <c r="A304" s="74" t="s">
        <v>1053</v>
      </c>
      <c r="B304" s="57"/>
      <c r="D304" s="43"/>
      <c r="E304" s="41"/>
      <c r="F304" s="41" t="s">
        <v>147</v>
      </c>
      <c r="G304" s="40" t="s">
        <v>146</v>
      </c>
    </row>
    <row r="305" spans="1:7" ht="13.5" thickTop="1">
      <c r="A305" s="74" t="s">
        <v>145</v>
      </c>
      <c r="C305" s="30"/>
      <c r="D305" s="25">
        <v>2005</v>
      </c>
      <c r="E305" s="23">
        <f>IF(D305&lt;B307,"",IF(D305=B307,B308,IF(D305&gt;B309,"",(D305-B307)*B311+B308)))</f>
        <v>110872000000</v>
      </c>
      <c r="F305" s="39"/>
      <c r="G305" s="38"/>
    </row>
    <row r="306" spans="1:7" ht="12.75">
      <c r="A306" s="74" t="s">
        <v>144</v>
      </c>
      <c r="B306" s="37">
        <v>429</v>
      </c>
      <c r="D306" s="25">
        <v>2006</v>
      </c>
      <c r="E306" s="23">
        <f>IF(D306&lt;B307,"",IF(D306=B307,B308,IF(D306&gt;B309,"",(D306-B307)*B311+B308)))</f>
        <v>112649777777.77777</v>
      </c>
      <c r="F306" s="23"/>
      <c r="G306" s="34"/>
    </row>
    <row r="307" spans="1:7" ht="12.75">
      <c r="A307" s="74" t="s">
        <v>1052</v>
      </c>
      <c r="B307" s="37">
        <v>2005</v>
      </c>
      <c r="D307" s="25">
        <v>2007</v>
      </c>
      <c r="E307" s="23">
        <f>IF(D307&lt;B307,"",IF(D307=B307,B308,IF(D307&gt;B309,"",(D307-B307)*B311+B308)))</f>
        <v>114427555555.55556</v>
      </c>
      <c r="F307" s="23"/>
      <c r="G307" s="34"/>
    </row>
    <row r="308" spans="1:7" s="33" customFormat="1" ht="12.75">
      <c r="A308" s="95" t="s">
        <v>1051</v>
      </c>
      <c r="B308" s="94">
        <v>110872000000</v>
      </c>
      <c r="C308" s="35"/>
      <c r="D308" s="25">
        <v>2008</v>
      </c>
      <c r="E308" s="23">
        <f>IF(D308&lt;B307,"",IF(D308=B307,B308,IF(D308&gt;B309,"",(D308-B307)*B311+B308)))</f>
        <v>116205333333.33333</v>
      </c>
      <c r="F308" s="23"/>
      <c r="G308" s="34"/>
    </row>
    <row r="309" spans="1:7" ht="12.75">
      <c r="A309" s="74" t="s">
        <v>1050</v>
      </c>
      <c r="B309" s="32">
        <v>2014</v>
      </c>
      <c r="C309" s="30"/>
      <c r="D309" s="25">
        <v>2009</v>
      </c>
      <c r="E309" s="23">
        <f>IF(D309&lt;B307,"",IF(D309=B307,B308,IF(D309&gt;B309,"",(D309-B307)*B311+B308)))</f>
        <v>117983111111.11111</v>
      </c>
      <c r="F309" s="22">
        <f>IF(ISERR(E309-E308),IF(D309&gt;B309,F308,""),(E309-E308))</f>
        <v>1777777777.7777863</v>
      </c>
      <c r="G309" s="21">
        <f>IF(ISERR(B306*F309),"",((B306*F309)))</f>
        <v>762666666666.6703</v>
      </c>
    </row>
    <row r="310" spans="1:7" ht="12.75">
      <c r="A310" s="74" t="s">
        <v>1049</v>
      </c>
      <c r="B310" s="58">
        <v>126872000000</v>
      </c>
      <c r="C310" s="30"/>
      <c r="D310" s="25">
        <v>2010</v>
      </c>
      <c r="E310" s="23">
        <f>IF(D310&lt;B307,"",IF(D310=B307,B308,IF(D310&gt;B309,"",(D310-B307)*B311+B308)))</f>
        <v>119760888888.88889</v>
      </c>
      <c r="F310" s="22">
        <f>IF(ISERR(E310-E309),IF(D310&gt;B309,F309,""),(E310-E308))</f>
        <v>3555555555.5555573</v>
      </c>
      <c r="G310" s="21">
        <f>IF(ISERR(B306*F310),"",((B306*F310)))</f>
        <v>1525333333333.334</v>
      </c>
    </row>
    <row r="311" spans="1:7" ht="12.75">
      <c r="A311" s="29" t="s">
        <v>1094</v>
      </c>
      <c r="B311" s="27">
        <f>(B310-B308)/(B309-B307)</f>
        <v>1777777777.7777777</v>
      </c>
      <c r="D311" s="25">
        <v>2011</v>
      </c>
      <c r="E311" s="23">
        <f>IF(D311&lt;B307,"",IF(D311=B307,B308,IF(D311&gt;B309,"",(D311-B307)*B311+B308)))</f>
        <v>121538666666.66667</v>
      </c>
      <c r="F311" s="22">
        <f>IF(ISERR(E311-E310),IF(D311&gt;B309,F310,""),(E311-E308))</f>
        <v>5333333333.3333435</v>
      </c>
      <c r="G311" s="21">
        <f>IF(ISERR(B306*F311),"",((B306*F311)))</f>
        <v>2288000000000.0044</v>
      </c>
    </row>
    <row r="312" spans="1:7" ht="12.75">
      <c r="A312" s="74"/>
      <c r="D312" s="25">
        <v>2012</v>
      </c>
      <c r="E312" s="23">
        <f>IF(D312&lt;B307,"",IF(D312=B307,B308,IF(D312&gt;B309,"",(D312-B307)*B311+B308)))</f>
        <v>123316444444.44444</v>
      </c>
      <c r="F312" s="22">
        <f>IF(ISERR(E312-E311),IF(D312&gt;B309,F311,""),(E312-E308))</f>
        <v>7111111111.1111145</v>
      </c>
      <c r="G312" s="21">
        <f>IF(ISERR(B306*F312),"",((B306*F312)))</f>
        <v>3050666666666.668</v>
      </c>
    </row>
    <row r="313" spans="1:7" ht="12.75">
      <c r="A313" s="74"/>
      <c r="D313" s="25">
        <v>2013</v>
      </c>
      <c r="E313" s="23">
        <f>IF(D313&lt;B307,"",IF(D313=B307,B308,IF(D313&gt;B309,"",(D313-B307)*B311+B308)))</f>
        <v>125094222222.22223</v>
      </c>
      <c r="F313" s="22">
        <f>IF(ISERR(E313-E312),IF(D313&gt;B309,F312,""),(E313-E308))</f>
        <v>8888888888.8889</v>
      </c>
      <c r="G313" s="21">
        <f>IF(ISERR(B306*F313),"",((B306*F313)))</f>
        <v>3813333333333.3384</v>
      </c>
    </row>
    <row r="314" spans="1:7" ht="12.75">
      <c r="A314" s="74" t="s">
        <v>1041</v>
      </c>
      <c r="B314" s="27">
        <f>VLOOKUP(B309,D305:G330,4,FALSE)</f>
        <v>4576000000000.002</v>
      </c>
      <c r="D314" s="25">
        <v>2014</v>
      </c>
      <c r="E314" s="23">
        <f>IF(D314&lt;B307,"",IF(D314=B307,B308,IF(D314&gt;B309,"",(D314-B307)*B311+B308)))</f>
        <v>126872000000</v>
      </c>
      <c r="F314" s="22">
        <f>IF(ISERR(E314-E313),IF(D314&gt;B309,F313,""),(E314-E308))</f>
        <v>10666666666.666672</v>
      </c>
      <c r="G314" s="21">
        <f>IF(ISERR(B306*F314),"",((B306*F314)))</f>
        <v>4576000000000.002</v>
      </c>
    </row>
    <row r="315" spans="1:7" ht="12.75">
      <c r="A315" s="74" t="s">
        <v>1117</v>
      </c>
      <c r="B315" s="27">
        <f>SUM(G309:G330)</f>
        <v>89232000000000.03</v>
      </c>
      <c r="D315" s="25">
        <v>2015</v>
      </c>
      <c r="E315" s="23">
        <f>IF(D315&lt;B307,"",IF(D315=B307,B308,IF(D315&gt;B309,"",(D315-B307)*B311+B308)))</f>
      </c>
      <c r="F315" s="22">
        <f>IF(ISERR(E315-E314),IF(D315&gt;B309,F314,""),(E315-E308))</f>
        <v>10666666666.666672</v>
      </c>
      <c r="G315" s="21">
        <f>IF(ISERR(B306*F315),"",((B306*F315)))</f>
        <v>4576000000000.002</v>
      </c>
    </row>
    <row r="316" spans="1:7" ht="12.75">
      <c r="A316" s="74" t="s">
        <v>1068</v>
      </c>
      <c r="B316" s="26">
        <f>B314/(10^12)</f>
        <v>4.576000000000002</v>
      </c>
      <c r="D316" s="25">
        <v>2016</v>
      </c>
      <c r="E316" s="23">
        <f>IF(D316&lt;B307,"",IF(D316=B307,B308,IF(D316&gt;B309,"",(D316-B307)*B311+B308)))</f>
      </c>
      <c r="F316" s="22">
        <f>IF(ISERR(E316-E315),IF(D316&gt;B309,F315,""),(E316-E308))</f>
        <v>10666666666.666672</v>
      </c>
      <c r="G316" s="21">
        <f>IF(ISERR(B306*F316),"",((B306*F316)))</f>
        <v>4576000000000.002</v>
      </c>
    </row>
    <row r="317" spans="1:7" ht="12.75">
      <c r="A317" s="74" t="s">
        <v>1039</v>
      </c>
      <c r="B317" s="26">
        <f>B315/(10^12)</f>
        <v>89.23200000000003</v>
      </c>
      <c r="D317" s="25">
        <v>2017</v>
      </c>
      <c r="E317" s="23">
        <f>IF(D317&lt;B307,"",IF(D317=B307,B308,IF(D317&gt;B309,"",(D317-B307)*B311+B308)))</f>
      </c>
      <c r="F317" s="22">
        <f>IF(ISERR(E317-E316),IF(D317&gt;B309,F316,""),(E317-E308))</f>
        <v>10666666666.666672</v>
      </c>
      <c r="G317" s="21">
        <f>IF(ISERR(B306*F317),"",((B306*F317)))</f>
        <v>4576000000000.002</v>
      </c>
    </row>
    <row r="318" spans="1:7" ht="12.75">
      <c r="A318"/>
      <c r="D318" s="25">
        <v>2018</v>
      </c>
      <c r="E318" s="23">
        <f>IF(D318&lt;B307,"",IF(D318=B307,B308,IF(D318&gt;B309,"",(D318-B307)*B311+B308)))</f>
      </c>
      <c r="F318" s="22">
        <f>IF(ISERR(E318-E317),IF(D318&gt;B309,F317,""),(E318-E308))</f>
        <v>10666666666.666672</v>
      </c>
      <c r="G318" s="21">
        <f>IF(ISERR(B306*F318),"",((B306*F318)))</f>
        <v>4576000000000.002</v>
      </c>
    </row>
    <row r="319" spans="1:7" ht="12.75">
      <c r="A319"/>
      <c r="D319" s="25">
        <v>2019</v>
      </c>
      <c r="E319" s="23">
        <f>IF(D319&lt;B307,"",IF(D319=B307,B308,IF(D319&gt;B309,"",(D319-B307)*B311+B308)))</f>
      </c>
      <c r="F319" s="22">
        <f>IF(ISERR(E319-E318),IF(D319&gt;B309,F318,""),(E319-E308))</f>
        <v>10666666666.666672</v>
      </c>
      <c r="G319" s="21">
        <f>IF(ISERR(B306*F319),"",((B306*F319)))</f>
        <v>4576000000000.002</v>
      </c>
    </row>
    <row r="320" spans="1:7" ht="12.75">
      <c r="A320"/>
      <c r="D320" s="25">
        <v>2020</v>
      </c>
      <c r="E320" s="23">
        <f>IF(D320&lt;B307,"",IF(D320=B307,B308,IF(D320&gt;B309,"",(D320-B307)*B311+B308)))</f>
      </c>
      <c r="F320" s="22">
        <f>IF(ISERR(E320-E319),IF(D320&gt;B309,F319,""),(E320-E308))</f>
        <v>10666666666.666672</v>
      </c>
      <c r="G320" s="21">
        <f>IF(ISERR(B306*F320),"",((B306*F320)))</f>
        <v>4576000000000.002</v>
      </c>
    </row>
    <row r="321" spans="1:7" ht="12.75">
      <c r="A321"/>
      <c r="D321" s="25">
        <v>2021</v>
      </c>
      <c r="E321" s="23">
        <f>IF(D321&lt;B307,"",IF(D321=B307,B308,IF(D321&gt;B309,"",(D321-B307)*B311+B308)))</f>
      </c>
      <c r="F321" s="22">
        <f>IF(ISERR(E321-E320),IF(D321&gt;B309,F320,""),(E321-E308))</f>
        <v>10666666666.666672</v>
      </c>
      <c r="G321" s="21">
        <f>IF(ISERR(B306*F321),"",((B306*F321)))</f>
        <v>4576000000000.002</v>
      </c>
    </row>
    <row r="322" spans="1:7" ht="12.75">
      <c r="A322"/>
      <c r="D322" s="25">
        <v>2022</v>
      </c>
      <c r="E322" s="23">
        <f>IF(D322&lt;B307,"",IF(D322=B307,B308,IF(D322&gt;B309,"",(D322-B307)*B311+B308)))</f>
      </c>
      <c r="F322" s="22">
        <f>IF(ISERR(E322-E321),IF(D322&gt;B309,F321,""),(E322-E308))</f>
        <v>10666666666.666672</v>
      </c>
      <c r="G322" s="21">
        <f>IF(ISERR(B306*F322),"",((B306*F322)))</f>
        <v>4576000000000.002</v>
      </c>
    </row>
    <row r="323" spans="1:7" ht="12.75">
      <c r="A323"/>
      <c r="D323" s="25">
        <v>2023</v>
      </c>
      <c r="E323" s="23">
        <f>IF(D323&lt;B307,"",IF(D323=B307,B308,IF(D323&gt;B309,"",(D323-B307)*B311+B308)))</f>
      </c>
      <c r="F323" s="22">
        <f>IF(ISERR(E323-E322),IF(D323&gt;B309,F322,""),(E323-E308))</f>
        <v>10666666666.666672</v>
      </c>
      <c r="G323" s="21">
        <f>IF(ISERR(B306*F323),"",((B306*F323)))</f>
        <v>4576000000000.002</v>
      </c>
    </row>
    <row r="324" spans="1:7" ht="12.75">
      <c r="A324"/>
      <c r="D324" s="25">
        <v>2024</v>
      </c>
      <c r="E324" s="23">
        <f>IF(D324&lt;B307,"",IF(D324=B307,B308,IF(D324&gt;B309,"",(D324-B307)*B311+B308)))</f>
      </c>
      <c r="F324" s="22">
        <f>IF(ISERR(E324-E323),IF(D324&gt;B309,F323,""),(E324-E308))</f>
        <v>10666666666.666672</v>
      </c>
      <c r="G324" s="21">
        <f>IF(ISERR(B306*F324),"",((B306*F324)))</f>
        <v>4576000000000.002</v>
      </c>
    </row>
    <row r="325" spans="1:7" ht="12.75">
      <c r="A325"/>
      <c r="D325" s="25">
        <v>2025</v>
      </c>
      <c r="E325" s="23">
        <f>IF(D325&lt;B307,"",IF(D325=B307,B308,IF(D325&gt;B309,"",(D325-B307)*B311+B308)))</f>
      </c>
      <c r="F325" s="22">
        <f>IF(ISERR(E325-E324),IF(D325&gt;B309,F324,""),(E325-E308))</f>
        <v>10666666666.666672</v>
      </c>
      <c r="G325" s="21">
        <f>IF(ISERR(B306*F325),"",((B306*F325)))</f>
        <v>4576000000000.002</v>
      </c>
    </row>
    <row r="326" spans="1:7" ht="12.75">
      <c r="A326"/>
      <c r="D326" s="25">
        <v>2026</v>
      </c>
      <c r="E326" s="23">
        <f>IF(D326&lt;B307,"",IF(D326=B307,B308,IF(D326&gt;B309,"",(D326-B307)*B311+B308)))</f>
      </c>
      <c r="F326" s="22">
        <f>IF(ISERR(E326-E325),IF(D326&gt;B309,F325,""),(E326-E308))</f>
        <v>10666666666.666672</v>
      </c>
      <c r="G326" s="21">
        <f>IF(ISERR(B306*F326),"",((B306*F326)))</f>
        <v>4576000000000.002</v>
      </c>
    </row>
    <row r="327" spans="1:7" ht="12.75">
      <c r="A327"/>
      <c r="D327" s="25">
        <v>2027</v>
      </c>
      <c r="E327" s="23">
        <f>IF(D327&lt;B307,"",IF(D327=B307,B308,IF(D327&gt;B309,"",(D327-B307)*B311+B308)))</f>
      </c>
      <c r="F327" s="22">
        <f>IF(ISERR(E327-E326),IF(D327&gt;B309,F326,""),(E327-E308))</f>
        <v>10666666666.666672</v>
      </c>
      <c r="G327" s="21">
        <f>IF(ISERR(B306*F327),"",((B306*F327)))</f>
        <v>4576000000000.002</v>
      </c>
    </row>
    <row r="328" spans="1:7" ht="12.75">
      <c r="A328"/>
      <c r="D328" s="25">
        <v>2028</v>
      </c>
      <c r="E328" s="23">
        <f>IF(D328&lt;B307,"",IF(D328=B307,B308,IF(D328&gt;B309,"",(D328-B307)*B311+B308)))</f>
      </c>
      <c r="F328" s="22">
        <f>IF(ISERR(E328-E327),IF(D328&gt;B309,F327,""),(E328-E308))</f>
        <v>10666666666.666672</v>
      </c>
      <c r="G328" s="21">
        <f>IF(ISERR(B306*F328),"",((B306*F328)))</f>
        <v>4576000000000.002</v>
      </c>
    </row>
    <row r="329" spans="1:7" ht="12.75">
      <c r="A329"/>
      <c r="D329" s="25">
        <v>2029</v>
      </c>
      <c r="E329" s="23">
        <f>IF(D329&lt;B307,"",IF(D329=B307,B308,IF(D329&gt;B309,"",(D329-B307)*B311+B308)))</f>
      </c>
      <c r="F329" s="22">
        <f>IF(ISERR(E329-E328),IF(D329&gt;B309,F328,""),(E329-E308))</f>
        <v>10666666666.666672</v>
      </c>
      <c r="G329" s="21">
        <f>IF(ISERR(B306*F329),"",((B306*F329)))</f>
        <v>4576000000000.002</v>
      </c>
    </row>
    <row r="330" spans="1:7" ht="13.5" thickBot="1">
      <c r="A330"/>
      <c r="D330" s="20">
        <v>2030</v>
      </c>
      <c r="E330" s="18">
        <f>IF(D330&lt;B307,"",IF(D330=B307,B308,IF(D330&gt;B309,"",(D330-B307)*B311+B308)))</f>
      </c>
      <c r="F330" s="17">
        <f>IF(ISERR(E330-E329),IF(D330&gt;B309,F329,""),(E330-E308))</f>
        <v>10666666666.666672</v>
      </c>
      <c r="G330" s="16">
        <f>IF(ISERR(B306*F330),"",((B306*F330)))</f>
        <v>4576000000000.002</v>
      </c>
    </row>
    <row r="331" spans="2:13" ht="12.75">
      <c r="B331" s="63"/>
      <c r="E331" s="93"/>
      <c r="K331" s="63"/>
      <c r="L331" s="63"/>
      <c r="M331" s="63"/>
    </row>
    <row r="332" spans="2:13" ht="12.75">
      <c r="B332" s="63"/>
      <c r="E332" s="93"/>
      <c r="K332" s="63"/>
      <c r="L332" s="63"/>
      <c r="M332" s="63"/>
    </row>
    <row r="333" spans="2:13" ht="12.75">
      <c r="B333" s="63"/>
      <c r="E333" s="93"/>
      <c r="K333" s="63"/>
      <c r="L333" s="63"/>
      <c r="M333" s="63"/>
    </row>
    <row r="334" spans="2:13" ht="12.75">
      <c r="B334" s="63"/>
      <c r="E334" s="93"/>
      <c r="K334" s="63"/>
      <c r="L334" s="63"/>
      <c r="M334" s="63"/>
    </row>
    <row r="335" spans="1:9" s="73" customFormat="1" ht="12" customHeight="1">
      <c r="A335" s="481" t="s">
        <v>31</v>
      </c>
      <c r="B335" s="483"/>
      <c r="C335" s="483"/>
      <c r="D335" s="483"/>
      <c r="E335" s="483"/>
      <c r="F335" s="483"/>
      <c r="G335" s="483"/>
      <c r="H335" s="483"/>
      <c r="I335" s="484"/>
    </row>
    <row r="336" spans="1:9" s="74" customFormat="1" ht="19.5" customHeight="1">
      <c r="A336" s="488" t="s">
        <v>731</v>
      </c>
      <c r="B336" s="469"/>
      <c r="C336" s="469"/>
      <c r="D336" s="469"/>
      <c r="E336" s="469"/>
      <c r="F336" s="469"/>
      <c r="G336" s="469"/>
      <c r="H336" s="469"/>
      <c r="I336" s="478"/>
    </row>
    <row r="337" spans="1:9" s="73" customFormat="1" ht="42.75" customHeight="1">
      <c r="A337" s="472" t="s">
        <v>116</v>
      </c>
      <c r="B337" s="486"/>
      <c r="C337" s="486"/>
      <c r="D337" s="486"/>
      <c r="E337" s="486"/>
      <c r="F337" s="486"/>
      <c r="G337" s="486"/>
      <c r="H337" s="486"/>
      <c r="I337" s="487"/>
    </row>
    <row r="338" spans="1:9" ht="12" customHeight="1">
      <c r="A338" s="479" t="s">
        <v>657</v>
      </c>
      <c r="B338" s="474"/>
      <c r="C338" s="474"/>
      <c r="D338" s="474"/>
      <c r="E338" s="474"/>
      <c r="F338" s="474"/>
      <c r="G338" s="474"/>
      <c r="H338" s="474"/>
      <c r="I338" s="480"/>
    </row>
    <row r="339" ht="15.75" customHeight="1"/>
    <row r="340" spans="1:12" ht="12.75">
      <c r="A340" s="63" t="s">
        <v>952</v>
      </c>
      <c r="B340" s="64" t="s">
        <v>125</v>
      </c>
      <c r="J340" s="63"/>
      <c r="K340" s="63"/>
      <c r="L340" s="63"/>
    </row>
    <row r="341" spans="2:13" ht="12.75">
      <c r="B341" s="63"/>
      <c r="E341" s="93"/>
      <c r="K341" s="63"/>
      <c r="L341" s="63"/>
      <c r="M341" s="63"/>
    </row>
    <row r="342" spans="2:13" ht="13.5" thickBot="1">
      <c r="B342" s="63"/>
      <c r="E342" s="93"/>
      <c r="K342" s="63"/>
      <c r="L342" s="63"/>
      <c r="M342" s="63"/>
    </row>
    <row r="343" spans="1:24" ht="51">
      <c r="A343" t="s">
        <v>150</v>
      </c>
      <c r="D343" s="46" t="s">
        <v>149</v>
      </c>
      <c r="E343" s="45" t="s">
        <v>148</v>
      </c>
      <c r="F343" s="45" t="s">
        <v>124</v>
      </c>
      <c r="G343" s="44" t="s">
        <v>123</v>
      </c>
      <c r="I343" s="130" t="s">
        <v>575</v>
      </c>
      <c r="J343" s="131" t="s">
        <v>117</v>
      </c>
      <c r="K343" s="131" t="s">
        <v>118</v>
      </c>
      <c r="L343" s="131" t="s">
        <v>119</v>
      </c>
      <c r="M343" s="131" t="s">
        <v>182</v>
      </c>
      <c r="N343" s="131" t="s">
        <v>183</v>
      </c>
      <c r="O343" s="131" t="s">
        <v>184</v>
      </c>
      <c r="P343" s="131" t="s">
        <v>501</v>
      </c>
      <c r="Q343" s="132" t="s">
        <v>502</v>
      </c>
      <c r="R343" s="68"/>
      <c r="S343" s="68"/>
      <c r="T343" s="68"/>
      <c r="U343" s="68"/>
      <c r="V343" s="68"/>
      <c r="W343" s="68"/>
      <c r="X343" s="68"/>
    </row>
    <row r="344" spans="1:24" ht="13.5" thickBot="1">
      <c r="A344" t="s">
        <v>1053</v>
      </c>
      <c r="B344" s="57"/>
      <c r="D344" s="43"/>
      <c r="E344" s="41"/>
      <c r="F344" s="41" t="s">
        <v>147</v>
      </c>
      <c r="G344" s="40" t="s">
        <v>146</v>
      </c>
      <c r="I344" s="133">
        <v>2005</v>
      </c>
      <c r="J344" s="134">
        <v>39</v>
      </c>
      <c r="K344" s="134"/>
      <c r="L344" s="134"/>
      <c r="M344" s="134"/>
      <c r="N344" s="134"/>
      <c r="O344" s="135"/>
      <c r="P344" s="135"/>
      <c r="Q344" s="136"/>
      <c r="R344" s="68"/>
      <c r="S344" s="137" t="s">
        <v>185</v>
      </c>
      <c r="T344" s="138" t="s">
        <v>186</v>
      </c>
      <c r="U344" s="138" t="s">
        <v>186</v>
      </c>
      <c r="V344" s="138" t="s">
        <v>186</v>
      </c>
      <c r="W344" s="138" t="s">
        <v>186</v>
      </c>
      <c r="X344" s="138" t="s">
        <v>186</v>
      </c>
    </row>
    <row r="345" spans="1:24" ht="13.5" thickTop="1">
      <c r="A345" t="s">
        <v>145</v>
      </c>
      <c r="C345" s="30"/>
      <c r="D345" s="25">
        <v>2005</v>
      </c>
      <c r="E345" s="23">
        <f>IF(D345&lt;B347,"",IF(D345=B347,B348,IF(D345&gt;B349,"",(D345-B347)*B351+B348)))</f>
      </c>
      <c r="F345" s="39"/>
      <c r="G345" s="38"/>
      <c r="I345" s="133">
        <v>2006</v>
      </c>
      <c r="J345" s="134">
        <v>39</v>
      </c>
      <c r="K345" s="134"/>
      <c r="L345" s="134"/>
      <c r="M345" s="134"/>
      <c r="N345" s="134"/>
      <c r="O345" s="135"/>
      <c r="P345" s="135"/>
      <c r="Q345" s="136"/>
      <c r="R345" s="68"/>
      <c r="S345" s="139" t="s">
        <v>187</v>
      </c>
      <c r="T345" s="140">
        <v>500</v>
      </c>
      <c r="U345" s="140">
        <v>25375</v>
      </c>
      <c r="V345" s="140">
        <v>50250</v>
      </c>
      <c r="W345" s="140">
        <v>75125</v>
      </c>
      <c r="X345" s="140">
        <v>100000</v>
      </c>
    </row>
    <row r="346" spans="1:24" ht="25.5">
      <c r="A346" t="s">
        <v>144</v>
      </c>
      <c r="B346" s="37">
        <v>39</v>
      </c>
      <c r="D346" s="25">
        <v>2006</v>
      </c>
      <c r="E346" s="23">
        <f>IF(D346&lt;B347,"",IF(D346=B347,B348,IF(D346&gt;B349,"",(D346-B347)*B351+B348)))</f>
      </c>
      <c r="F346" s="23"/>
      <c r="G346" s="34"/>
      <c r="I346" s="133">
        <v>2007</v>
      </c>
      <c r="J346" s="134">
        <v>39</v>
      </c>
      <c r="K346" s="134"/>
      <c r="L346" s="134"/>
      <c r="M346" s="134"/>
      <c r="N346" s="134"/>
      <c r="O346" s="135"/>
      <c r="P346" s="135"/>
      <c r="Q346" s="136"/>
      <c r="R346" s="68"/>
      <c r="S346" s="139" t="s">
        <v>188</v>
      </c>
      <c r="T346" s="141">
        <v>0.2</v>
      </c>
      <c r="U346" s="141">
        <v>0.2</v>
      </c>
      <c r="V346" s="141">
        <v>0.2</v>
      </c>
      <c r="W346" s="141">
        <v>0.2</v>
      </c>
      <c r="X346" s="141">
        <v>0.2</v>
      </c>
    </row>
    <row r="347" spans="1:24" ht="12.75">
      <c r="A347" t="s">
        <v>1052</v>
      </c>
      <c r="B347" s="37">
        <v>2008</v>
      </c>
      <c r="D347" s="25">
        <v>2007</v>
      </c>
      <c r="E347" s="23">
        <f>IF(D347&lt;B347,"",IF(D347=B347,B348,IF(D347&gt;B349,"",(D347-B347)*B351+B348)))</f>
      </c>
      <c r="F347" s="23"/>
      <c r="G347" s="34"/>
      <c r="I347" s="133">
        <v>2008</v>
      </c>
      <c r="J347" s="134">
        <v>39</v>
      </c>
      <c r="K347" s="142">
        <v>500</v>
      </c>
      <c r="L347" s="142">
        <v>5000</v>
      </c>
      <c r="M347" s="134">
        <v>876000</v>
      </c>
      <c r="N347" s="143">
        <v>18571200</v>
      </c>
      <c r="O347" s="135">
        <f aca="true" t="shared" si="0" ref="O347:O369">N347+M347</f>
        <v>19447200</v>
      </c>
      <c r="P347" s="135">
        <f>O347*J347</f>
        <v>758440800</v>
      </c>
      <c r="Q347" s="136">
        <f aca="true" t="shared" si="1" ref="Q347:Q369">P347/1000000000000</f>
        <v>0.0007584408</v>
      </c>
      <c r="R347" s="68"/>
      <c r="S347" s="139" t="s">
        <v>189</v>
      </c>
      <c r="T347" s="140">
        <v>8760</v>
      </c>
      <c r="U347" s="140">
        <v>8760</v>
      </c>
      <c r="V347" s="140">
        <v>8760</v>
      </c>
      <c r="W347" s="140">
        <v>8760</v>
      </c>
      <c r="X347" s="140">
        <v>8760</v>
      </c>
    </row>
    <row r="348" spans="1:24" s="33" customFormat="1" ht="25.5">
      <c r="A348" s="33" t="s">
        <v>1051</v>
      </c>
      <c r="B348" s="84">
        <v>0</v>
      </c>
      <c r="C348" s="35"/>
      <c r="D348" s="25">
        <v>2008</v>
      </c>
      <c r="E348" s="23">
        <f>IF(D348&lt;B347,"",IF(D348=B347,B348,IF(D348&gt;B349,"",(D348-B347)*B351+B348)))</f>
        <v>0</v>
      </c>
      <c r="F348" s="23"/>
      <c r="G348" s="34"/>
      <c r="I348" s="133">
        <v>2009</v>
      </c>
      <c r="J348" s="134">
        <v>39</v>
      </c>
      <c r="K348" s="142">
        <f>(($C$104-$C$100)/4)+K347</f>
        <v>500</v>
      </c>
      <c r="L348" s="142">
        <f>(($D$104-$D$100)/4)+L347</f>
        <v>5001</v>
      </c>
      <c r="M348" s="134">
        <v>44457000</v>
      </c>
      <c r="N348" s="134">
        <v>246068400</v>
      </c>
      <c r="O348" s="135">
        <f t="shared" si="0"/>
        <v>290525400</v>
      </c>
      <c r="P348" s="135">
        <f aca="true" t="shared" si="2" ref="P348:P369">(O348*J348)-$H$100</f>
        <v>11330490600</v>
      </c>
      <c r="Q348" s="144">
        <f t="shared" si="1"/>
        <v>0.0113304906</v>
      </c>
      <c r="R348" s="68"/>
      <c r="S348" s="139" t="s">
        <v>190</v>
      </c>
      <c r="T348" s="145">
        <f>T345*T346*T347</f>
        <v>876000</v>
      </c>
      <c r="U348" s="145">
        <f>U345*U346*U347</f>
        <v>44457000</v>
      </c>
      <c r="V348" s="145">
        <f>V345*V346*V347</f>
        <v>88038000</v>
      </c>
      <c r="W348" s="145">
        <f>W345*W346*W347</f>
        <v>131619000</v>
      </c>
      <c r="X348" s="145">
        <f>X345*X346*X347</f>
        <v>175200000</v>
      </c>
    </row>
    <row r="349" spans="1:24" ht="12.75">
      <c r="A349" t="s">
        <v>1050</v>
      </c>
      <c r="B349" s="32">
        <v>2010</v>
      </c>
      <c r="C349" s="30"/>
      <c r="D349" s="25">
        <v>2009</v>
      </c>
      <c r="E349" s="23">
        <f>IF(D349&lt;B347,"",IF(D349=B347,B348,IF(D349&gt;B349,"",(D349-B347)*B351+B348)))</f>
        <v>788400000</v>
      </c>
      <c r="F349" s="22">
        <f>IF(ISERR(E349-E348),IF(D349&gt;B349,F348,""),(E349-E348))</f>
        <v>788400000</v>
      </c>
      <c r="G349" s="21">
        <f>IF(ISERR(B346*F349),"",((B346*F349)))</f>
        <v>30747600000</v>
      </c>
      <c r="I349" s="133">
        <v>2010</v>
      </c>
      <c r="J349" s="134">
        <v>39</v>
      </c>
      <c r="K349" s="142">
        <f>(($C$104-$C$100)/4)+K348</f>
        <v>500</v>
      </c>
      <c r="L349" s="142">
        <f>(($D$104-$D$100)/4)+L348</f>
        <v>5002</v>
      </c>
      <c r="M349" s="134">
        <v>88038000</v>
      </c>
      <c r="N349" s="134">
        <v>473565600</v>
      </c>
      <c r="O349" s="135">
        <f t="shared" si="0"/>
        <v>561603600</v>
      </c>
      <c r="P349" s="135">
        <f t="shared" si="2"/>
        <v>21902540400</v>
      </c>
      <c r="Q349" s="144">
        <f t="shared" si="1"/>
        <v>0.0219025404</v>
      </c>
      <c r="R349" s="68"/>
      <c r="S349" s="68"/>
      <c r="T349" s="68"/>
      <c r="U349" s="68"/>
      <c r="V349" s="68"/>
      <c r="W349" s="68"/>
      <c r="X349" s="68"/>
    </row>
    <row r="350" spans="1:24" ht="12.75">
      <c r="A350" t="s">
        <v>1049</v>
      </c>
      <c r="B350" s="58">
        <v>1576800000</v>
      </c>
      <c r="C350" s="30"/>
      <c r="D350" s="25">
        <v>2010</v>
      </c>
      <c r="E350" s="23">
        <f>IF(D350&lt;B347,"",IF(D350=B347,B348,IF(D350&gt;B349,"",(D350-B347)*B351+B348)))</f>
        <v>1576800000</v>
      </c>
      <c r="F350" s="22">
        <f>IF(ISERR(E350-E349),IF(D350&gt;B349,F349,""),(E350-E348))</f>
        <v>1576800000</v>
      </c>
      <c r="G350" s="21">
        <f>IF(ISERR(B346*F350),"",((B346*F350)))</f>
        <v>61495200000</v>
      </c>
      <c r="I350" s="133">
        <v>2011</v>
      </c>
      <c r="J350" s="134">
        <v>39</v>
      </c>
      <c r="K350" s="142">
        <f>(($C$104-$C$100)/4)+K349</f>
        <v>500</v>
      </c>
      <c r="L350" s="142">
        <f>(($D$104-$D$100)/4)+L349</f>
        <v>5003</v>
      </c>
      <c r="M350" s="143">
        <v>131619000</v>
      </c>
      <c r="N350" s="134">
        <v>701062800</v>
      </c>
      <c r="O350" s="135">
        <f t="shared" si="0"/>
        <v>832681800</v>
      </c>
      <c r="P350" s="135">
        <f t="shared" si="2"/>
        <v>32474590200</v>
      </c>
      <c r="Q350" s="144">
        <f t="shared" si="1"/>
        <v>0.0324745902</v>
      </c>
      <c r="R350" s="68"/>
      <c r="S350" s="137" t="s">
        <v>185</v>
      </c>
      <c r="T350" s="138" t="s">
        <v>191</v>
      </c>
      <c r="U350" s="138" t="s">
        <v>191</v>
      </c>
      <c r="V350" s="138" t="s">
        <v>191</v>
      </c>
      <c r="W350" s="138" t="s">
        <v>191</v>
      </c>
      <c r="X350" s="138" t="s">
        <v>191</v>
      </c>
    </row>
    <row r="351" spans="1:24" ht="12.75">
      <c r="A351" s="29" t="s">
        <v>1094</v>
      </c>
      <c r="B351" s="27">
        <f>(B350-B348)/(B349-B347)</f>
        <v>788400000</v>
      </c>
      <c r="D351" s="25">
        <v>2011</v>
      </c>
      <c r="E351" s="23">
        <f>IF(D351&lt;B347,"",IF(D351=B347,B348,IF(D351&gt;B349,"",(D351-B347)*B351+B348)))</f>
      </c>
      <c r="F351" s="22">
        <f>IF(ISERR(E351-E350),IF(D351&gt;B349,F350,""),(E351-E348))</f>
        <v>1576800000</v>
      </c>
      <c r="G351" s="21">
        <f>IF(ISERR(B346*F351),"",((B346*F351)))</f>
        <v>61495200000</v>
      </c>
      <c r="I351" s="146">
        <v>2012</v>
      </c>
      <c r="J351" s="147">
        <v>39</v>
      </c>
      <c r="K351" s="148">
        <v>100000</v>
      </c>
      <c r="L351" s="148">
        <v>250000</v>
      </c>
      <c r="M351" s="149">
        <v>175200000</v>
      </c>
      <c r="N351" s="147">
        <v>928560000</v>
      </c>
      <c r="O351" s="150">
        <f t="shared" si="0"/>
        <v>1103760000</v>
      </c>
      <c r="P351" s="150">
        <f t="shared" si="2"/>
        <v>43046640000</v>
      </c>
      <c r="Q351" s="144">
        <f t="shared" si="1"/>
        <v>0.04304664</v>
      </c>
      <c r="R351" s="68"/>
      <c r="S351" s="139" t="s">
        <v>187</v>
      </c>
      <c r="T351" s="140">
        <v>5000</v>
      </c>
      <c r="U351" s="140">
        <v>66250</v>
      </c>
      <c r="V351" s="140">
        <v>127500</v>
      </c>
      <c r="W351" s="140">
        <v>188750</v>
      </c>
      <c r="X351" s="151">
        <v>250000</v>
      </c>
    </row>
    <row r="352" spans="1:24" ht="25.5">
      <c r="A352"/>
      <c r="D352" s="25">
        <v>2012</v>
      </c>
      <c r="E352" s="23">
        <f>IF(D352&lt;B347,"",IF(D352=B347,B348,IF(D352&gt;B349,"",(D352-B347)*B351+B348)))</f>
      </c>
      <c r="F352" s="22">
        <f>IF(ISERR(E352-E351),IF(D352&gt;B349,F351,""),(E352-E348))</f>
        <v>1576800000</v>
      </c>
      <c r="G352" s="21">
        <f>IF(ISERR(B346*F352),"",((B346*F352)))</f>
        <v>61495200000</v>
      </c>
      <c r="I352" s="152">
        <v>2013</v>
      </c>
      <c r="J352" s="134">
        <v>39</v>
      </c>
      <c r="K352" s="153">
        <v>100000</v>
      </c>
      <c r="L352" s="154">
        <v>250000</v>
      </c>
      <c r="M352" s="135">
        <v>175200000</v>
      </c>
      <c r="N352" s="134">
        <v>928560000</v>
      </c>
      <c r="O352" s="135">
        <f t="shared" si="0"/>
        <v>1103760000</v>
      </c>
      <c r="P352" s="135">
        <f t="shared" si="2"/>
        <v>43046640000</v>
      </c>
      <c r="Q352" s="144">
        <f t="shared" si="1"/>
        <v>0.04304664</v>
      </c>
      <c r="R352" s="68"/>
      <c r="S352" s="139" t="s">
        <v>188</v>
      </c>
      <c r="T352" s="141">
        <v>0.424</v>
      </c>
      <c r="U352" s="141">
        <v>0.424</v>
      </c>
      <c r="V352" s="141">
        <v>0.424</v>
      </c>
      <c r="W352" s="141">
        <v>0.424</v>
      </c>
      <c r="X352" s="141">
        <v>0.424</v>
      </c>
    </row>
    <row r="353" spans="1:24" ht="12.75">
      <c r="A353"/>
      <c r="D353" s="25">
        <v>2013</v>
      </c>
      <c r="E353" s="23">
        <f>IF(D353&lt;B347,"",IF(D353=B347,B348,IF(D353&gt;B349,"",(D353-B347)*B351+B348)))</f>
      </c>
      <c r="F353" s="22">
        <f>IF(ISERR(E353-E352),IF(D353&gt;B349,F352,""),(E353-E348))</f>
        <v>1576800000</v>
      </c>
      <c r="G353" s="21">
        <f>IF(ISERR(B346*F353),"",((B346*F353)))</f>
        <v>61495200000</v>
      </c>
      <c r="I353" s="133">
        <v>2014</v>
      </c>
      <c r="J353" s="134">
        <v>39</v>
      </c>
      <c r="K353" s="142">
        <v>100000</v>
      </c>
      <c r="L353" s="142">
        <v>250000</v>
      </c>
      <c r="M353" s="135">
        <v>175200000</v>
      </c>
      <c r="N353" s="134">
        <v>928560000</v>
      </c>
      <c r="O353" s="135">
        <f t="shared" si="0"/>
        <v>1103760000</v>
      </c>
      <c r="P353" s="135">
        <f t="shared" si="2"/>
        <v>43046640000</v>
      </c>
      <c r="Q353" s="144">
        <f t="shared" si="1"/>
        <v>0.04304664</v>
      </c>
      <c r="R353" s="68"/>
      <c r="S353" s="139" t="s">
        <v>189</v>
      </c>
      <c r="T353" s="140">
        <v>8760</v>
      </c>
      <c r="U353" s="140">
        <v>8760</v>
      </c>
      <c r="V353" s="140">
        <v>8760</v>
      </c>
      <c r="W353" s="140">
        <v>8760</v>
      </c>
      <c r="X353" s="140">
        <v>8760</v>
      </c>
    </row>
    <row r="354" spans="1:24" ht="25.5">
      <c r="A354" t="s">
        <v>129</v>
      </c>
      <c r="B354" s="27"/>
      <c r="D354" s="25">
        <v>2014</v>
      </c>
      <c r="E354" s="23">
        <f>IF(D354&lt;B347,"",IF(D354=B347,B348,IF(D354&gt;B349,"",(D354-B347)*B351+B348)))</f>
      </c>
      <c r="F354" s="22">
        <f>IF(ISERR(E354-E353),IF(D354&gt;B349,F353,""),(E354-E348))</f>
        <v>1576800000</v>
      </c>
      <c r="G354" s="21">
        <f>IF(ISERR(B346*F354),"",((B346*F354)))</f>
        <v>61495200000</v>
      </c>
      <c r="I354" s="133">
        <v>2015</v>
      </c>
      <c r="J354" s="134">
        <v>39</v>
      </c>
      <c r="K354" s="142">
        <v>100000</v>
      </c>
      <c r="L354" s="142">
        <v>250000</v>
      </c>
      <c r="M354" s="135">
        <v>175200000</v>
      </c>
      <c r="N354" s="134">
        <v>928560000</v>
      </c>
      <c r="O354" s="135">
        <f t="shared" si="0"/>
        <v>1103760000</v>
      </c>
      <c r="P354" s="135">
        <f t="shared" si="2"/>
        <v>43046640000</v>
      </c>
      <c r="Q354" s="144">
        <f t="shared" si="1"/>
        <v>0.04304664</v>
      </c>
      <c r="R354" s="68"/>
      <c r="S354" s="139" t="s">
        <v>190</v>
      </c>
      <c r="T354" s="145">
        <f>T351*T352*T353</f>
        <v>18571200</v>
      </c>
      <c r="U354" s="145">
        <f>U351*U352*U353</f>
        <v>246068400</v>
      </c>
      <c r="V354" s="145">
        <f>V351*V352*V353</f>
        <v>473565600</v>
      </c>
      <c r="W354" s="145">
        <f>W351*W352*W353</f>
        <v>701062800</v>
      </c>
      <c r="X354" s="145">
        <f>X351*X352*X353</f>
        <v>928560000</v>
      </c>
    </row>
    <row r="355" spans="1:24" ht="12.75">
      <c r="A355" t="s">
        <v>1040</v>
      </c>
      <c r="B355" s="27"/>
      <c r="D355" s="25">
        <v>2015</v>
      </c>
      <c r="E355" s="23">
        <f>IF(D355&lt;B347,"",IF(D355=B347,B348,IF(D355&gt;B349,"",(D355-B347)*B351+B348)))</f>
      </c>
      <c r="F355" s="22">
        <f>IF(ISERR(E355-E354),IF(D355&gt;B349,F354,""),(E355-E348))</f>
        <v>1576800000</v>
      </c>
      <c r="G355" s="21">
        <f>IF(ISERR(B346*F355),"",((B346*F355)))</f>
        <v>61495200000</v>
      </c>
      <c r="I355" s="133">
        <v>2016</v>
      </c>
      <c r="J355" s="134">
        <v>39</v>
      </c>
      <c r="K355" s="142">
        <v>100000</v>
      </c>
      <c r="L355" s="142">
        <v>250000</v>
      </c>
      <c r="M355" s="135">
        <v>175200000</v>
      </c>
      <c r="N355" s="134">
        <v>928560000</v>
      </c>
      <c r="O355" s="135">
        <f t="shared" si="0"/>
        <v>1103760000</v>
      </c>
      <c r="P355" s="135">
        <f t="shared" si="2"/>
        <v>43046640000</v>
      </c>
      <c r="Q355" s="144">
        <f t="shared" si="1"/>
        <v>0.04304664</v>
      </c>
      <c r="R355" s="68"/>
      <c r="S355" s="68"/>
      <c r="T355" s="68"/>
      <c r="U355" s="68"/>
      <c r="V355" s="68"/>
      <c r="W355" s="68"/>
      <c r="X355" s="68"/>
    </row>
    <row r="356" spans="1:24" ht="12.75">
      <c r="A356" t="s">
        <v>130</v>
      </c>
      <c r="B356" s="26">
        <f>G350/(10^12)+P371</f>
        <v>0.10454184</v>
      </c>
      <c r="D356" s="25">
        <v>2016</v>
      </c>
      <c r="E356" s="23">
        <f>IF(D356&lt;B347,"",IF(D356=B347,B348,IF(D356&gt;B349,"",(D356-B347)*B351+B348)))</f>
      </c>
      <c r="F356" s="22">
        <f>IF(ISERR(E356-E355),IF(D356&gt;B349,F355,""),(E356-E348))</f>
        <v>1576800000</v>
      </c>
      <c r="G356" s="21">
        <f>IF(ISERR(B346*F356),"",((B346*F356)))</f>
        <v>61495200000</v>
      </c>
      <c r="I356" s="133">
        <v>2017</v>
      </c>
      <c r="J356" s="134">
        <v>39</v>
      </c>
      <c r="K356" s="142">
        <v>100000</v>
      </c>
      <c r="L356" s="142">
        <v>250000</v>
      </c>
      <c r="M356" s="135">
        <v>175200000</v>
      </c>
      <c r="N356" s="134">
        <v>928560000</v>
      </c>
      <c r="O356" s="135">
        <f t="shared" si="0"/>
        <v>1103760000</v>
      </c>
      <c r="P356" s="135">
        <f t="shared" si="2"/>
        <v>43046640000</v>
      </c>
      <c r="Q356" s="144">
        <f t="shared" si="1"/>
        <v>0.04304664</v>
      </c>
      <c r="R356" s="68"/>
      <c r="S356" s="68"/>
      <c r="T356" s="68"/>
      <c r="U356" s="68"/>
      <c r="V356" s="68"/>
      <c r="W356" s="68"/>
      <c r="X356" s="68"/>
    </row>
    <row r="357" spans="1:24" ht="12.75">
      <c r="A357" t="s">
        <v>1039</v>
      </c>
      <c r="B357" s="26">
        <f>SUM(G349:G370)/(10^12)+P372</f>
        <v>2.2057405812000006</v>
      </c>
      <c r="D357" s="25">
        <v>2017</v>
      </c>
      <c r="E357" s="23">
        <f>IF(D357&lt;B347,"",IF(D357=B347,B348,IF(D357&gt;B349,"",(D357-B347)*B351+B348)))</f>
      </c>
      <c r="F357" s="22">
        <f>IF(ISERR(E357-E356),IF(D357&gt;B349,F356,""),(E357-E348))</f>
        <v>1576800000</v>
      </c>
      <c r="G357" s="21">
        <f>IF(ISERR(B346*F357),"",((B346*F357)))</f>
        <v>61495200000</v>
      </c>
      <c r="I357" s="133">
        <v>2018</v>
      </c>
      <c r="J357" s="134">
        <v>39</v>
      </c>
      <c r="K357" s="142">
        <v>100000</v>
      </c>
      <c r="L357" s="142">
        <v>250000</v>
      </c>
      <c r="M357" s="135">
        <v>175200000</v>
      </c>
      <c r="N357" s="134">
        <v>928560000</v>
      </c>
      <c r="O357" s="135">
        <f t="shared" si="0"/>
        <v>1103760000</v>
      </c>
      <c r="P357" s="135">
        <f t="shared" si="2"/>
        <v>43046640000</v>
      </c>
      <c r="Q357" s="144">
        <f t="shared" si="1"/>
        <v>0.04304664</v>
      </c>
      <c r="R357" s="68"/>
      <c r="S357" s="68"/>
      <c r="T357" s="68"/>
      <c r="U357" s="68"/>
      <c r="V357" s="68"/>
      <c r="W357" s="68"/>
      <c r="X357" s="68"/>
    </row>
    <row r="358" spans="1:24" ht="12.75">
      <c r="A358"/>
      <c r="D358" s="25">
        <v>2018</v>
      </c>
      <c r="E358" s="23">
        <f>IF(D358&lt;B347,"",IF(D358=B347,B348,IF(D358&gt;B349,"",(D358-B347)*B351+B348)))</f>
      </c>
      <c r="F358" s="22">
        <f>IF(ISERR(E358-E357),IF(D358&gt;B349,F357,""),(E358-E348))</f>
        <v>1576800000</v>
      </c>
      <c r="G358" s="21">
        <f>IF(ISERR(B346*F358),"",((B346*F358)))</f>
        <v>61495200000</v>
      </c>
      <c r="I358" s="133">
        <v>2019</v>
      </c>
      <c r="J358" s="134">
        <v>39</v>
      </c>
      <c r="K358" s="142">
        <v>100000</v>
      </c>
      <c r="L358" s="142">
        <v>250000</v>
      </c>
      <c r="M358" s="135">
        <v>175200000</v>
      </c>
      <c r="N358" s="134">
        <v>928560000</v>
      </c>
      <c r="O358" s="135">
        <f t="shared" si="0"/>
        <v>1103760000</v>
      </c>
      <c r="P358" s="135">
        <f t="shared" si="2"/>
        <v>43046640000</v>
      </c>
      <c r="Q358" s="144">
        <f t="shared" si="1"/>
        <v>0.04304664</v>
      </c>
      <c r="R358" s="68"/>
      <c r="S358" s="68"/>
      <c r="T358" s="68"/>
      <c r="U358" s="68"/>
      <c r="V358" s="68"/>
      <c r="W358" s="68"/>
      <c r="X358" s="68"/>
    </row>
    <row r="359" spans="1:24" ht="25.5">
      <c r="A359" s="33" t="s">
        <v>126</v>
      </c>
      <c r="D359" s="25">
        <v>2019</v>
      </c>
      <c r="E359" s="23">
        <f>IF(D359&lt;B347,"",IF(D359=B347,B348,IF(D359&gt;B349,"",(D359-B347)*B351+B348)))</f>
      </c>
      <c r="F359" s="22">
        <f>IF(ISERR(E359-E358),IF(D359&gt;B349,F358,""),(E359-E348))</f>
        <v>1576800000</v>
      </c>
      <c r="G359" s="21">
        <f>IF(ISERR(B346*F359),"",((B346*F359)))</f>
        <v>61495200000</v>
      </c>
      <c r="I359" s="152">
        <v>2020</v>
      </c>
      <c r="J359" s="134">
        <v>39</v>
      </c>
      <c r="K359" s="155">
        <v>100000</v>
      </c>
      <c r="L359" s="155">
        <v>250000</v>
      </c>
      <c r="M359" s="156">
        <v>175200000</v>
      </c>
      <c r="N359" s="157">
        <v>928560000</v>
      </c>
      <c r="O359" s="135">
        <f t="shared" si="0"/>
        <v>1103760000</v>
      </c>
      <c r="P359" s="135">
        <f t="shared" si="2"/>
        <v>43046640000</v>
      </c>
      <c r="Q359" s="144">
        <f t="shared" si="1"/>
        <v>0.04304664</v>
      </c>
      <c r="R359" s="68"/>
      <c r="S359" s="68"/>
      <c r="T359" s="68"/>
      <c r="U359" s="68"/>
      <c r="V359" s="68"/>
      <c r="W359" s="68"/>
      <c r="X359" s="68"/>
    </row>
    <row r="360" spans="1:24" ht="12.75">
      <c r="A360"/>
      <c r="D360" s="25">
        <v>2020</v>
      </c>
      <c r="E360" s="23">
        <f>IF(D360&lt;B347,"",IF(D360=B347,B348,IF(D360&gt;B349,"",(D360-B347)*B351+B348)))</f>
      </c>
      <c r="F360" s="22">
        <f>IF(ISERR(E360-E359),IF(D360&gt;B349,F359,""),(E360-E348))</f>
        <v>1576800000</v>
      </c>
      <c r="G360" s="21">
        <f>IF(ISERR(B346*F360),"",((B346*F360)))</f>
        <v>61495200000</v>
      </c>
      <c r="I360" s="133">
        <v>2021</v>
      </c>
      <c r="J360" s="134">
        <v>39</v>
      </c>
      <c r="K360" s="158">
        <v>100000</v>
      </c>
      <c r="L360" s="158">
        <v>250000</v>
      </c>
      <c r="M360" s="156">
        <v>175200000</v>
      </c>
      <c r="N360" s="134">
        <v>928560000</v>
      </c>
      <c r="O360" s="135">
        <f t="shared" si="0"/>
        <v>1103760000</v>
      </c>
      <c r="P360" s="135">
        <f t="shared" si="2"/>
        <v>43046640000</v>
      </c>
      <c r="Q360" s="144">
        <f t="shared" si="1"/>
        <v>0.04304664</v>
      </c>
      <c r="R360" s="68"/>
      <c r="S360" s="68"/>
      <c r="T360" s="68"/>
      <c r="U360" s="68"/>
      <c r="V360" s="68"/>
      <c r="W360" s="68"/>
      <c r="X360" s="68"/>
    </row>
    <row r="361" spans="1:24" ht="12.75">
      <c r="A361" s="452" t="s">
        <v>790</v>
      </c>
      <c r="B361" s="452"/>
      <c r="D361" s="25">
        <v>2021</v>
      </c>
      <c r="E361" s="23">
        <f>IF(D361&lt;B347,"",IF(D361=B347,B348,IF(D361&gt;B349,"",(D361-B347)*B351+B348)))</f>
      </c>
      <c r="F361" s="22">
        <f>IF(ISERR(E361-E360),IF(D361&gt;B349,F360,""),(E361-E348))</f>
        <v>1576800000</v>
      </c>
      <c r="G361" s="21">
        <f>IF(ISERR(B346*F361),"",((B346*F361)))</f>
        <v>61495200000</v>
      </c>
      <c r="I361" s="133">
        <v>2022</v>
      </c>
      <c r="J361" s="134">
        <v>39</v>
      </c>
      <c r="K361" s="158">
        <v>100000</v>
      </c>
      <c r="L361" s="158">
        <v>250000</v>
      </c>
      <c r="M361" s="156">
        <v>175200000</v>
      </c>
      <c r="N361" s="134">
        <v>928560000</v>
      </c>
      <c r="O361" s="135">
        <f t="shared" si="0"/>
        <v>1103760000</v>
      </c>
      <c r="P361" s="135">
        <f t="shared" si="2"/>
        <v>43046640000</v>
      </c>
      <c r="Q361" s="144">
        <f t="shared" si="1"/>
        <v>0.04304664</v>
      </c>
      <c r="R361" s="68"/>
      <c r="S361" s="68"/>
      <c r="T361" s="68"/>
      <c r="U361" s="68"/>
      <c r="V361" s="68"/>
      <c r="W361" s="68"/>
      <c r="X361" s="68"/>
    </row>
    <row r="362" spans="1:24" ht="12.75">
      <c r="A362" s="452"/>
      <c r="B362" s="452"/>
      <c r="D362" s="25">
        <v>2022</v>
      </c>
      <c r="E362" s="23">
        <f>IF(D362&lt;B347,"",IF(D362=B347,B348,IF(D362&gt;B349,"",(D362-B347)*B351+B348)))</f>
      </c>
      <c r="F362" s="22">
        <f>IF(ISERR(E362-E361),IF(D362&gt;B349,F361,""),(E362-E348))</f>
        <v>1576800000</v>
      </c>
      <c r="G362" s="21">
        <f>IF(ISERR(B346*F362),"",((B346*F362)))</f>
        <v>61495200000</v>
      </c>
      <c r="I362" s="133">
        <v>2023</v>
      </c>
      <c r="J362" s="134">
        <v>39</v>
      </c>
      <c r="K362" s="158">
        <v>100000</v>
      </c>
      <c r="L362" s="158">
        <v>250000</v>
      </c>
      <c r="M362" s="156">
        <v>175200000</v>
      </c>
      <c r="N362" s="134">
        <v>928560000</v>
      </c>
      <c r="O362" s="135">
        <f t="shared" si="0"/>
        <v>1103760000</v>
      </c>
      <c r="P362" s="135">
        <f t="shared" si="2"/>
        <v>43046640000</v>
      </c>
      <c r="Q362" s="144">
        <f t="shared" si="1"/>
        <v>0.04304664</v>
      </c>
      <c r="R362" s="68"/>
      <c r="S362" s="68"/>
      <c r="T362" s="68"/>
      <c r="U362" s="68"/>
      <c r="V362" s="68"/>
      <c r="W362" s="68"/>
      <c r="X362" s="68"/>
    </row>
    <row r="363" spans="1:24" ht="12.75">
      <c r="A363" s="453"/>
      <c r="B363" s="453"/>
      <c r="D363" s="25">
        <v>2023</v>
      </c>
      <c r="E363" s="23">
        <f>IF(D363&lt;B347,"",IF(D363=B347,B348,IF(D363&gt;B349,"",(D363-B347)*B351+B348)))</f>
      </c>
      <c r="F363" s="22">
        <f>IF(ISERR(E363-E362),IF(D363&gt;B349,F362,""),(E363-E348))</f>
        <v>1576800000</v>
      </c>
      <c r="G363" s="21">
        <f>IF(ISERR(B346*F363),"",((B346*F363)))</f>
        <v>61495200000</v>
      </c>
      <c r="I363" s="133">
        <v>2024</v>
      </c>
      <c r="J363" s="134">
        <v>39</v>
      </c>
      <c r="K363" s="158">
        <v>100000</v>
      </c>
      <c r="L363" s="158">
        <v>250000</v>
      </c>
      <c r="M363" s="156">
        <v>175200000</v>
      </c>
      <c r="N363" s="134">
        <v>928560000</v>
      </c>
      <c r="O363" s="135">
        <f t="shared" si="0"/>
        <v>1103760000</v>
      </c>
      <c r="P363" s="135">
        <f t="shared" si="2"/>
        <v>43046640000</v>
      </c>
      <c r="Q363" s="144">
        <f t="shared" si="1"/>
        <v>0.04304664</v>
      </c>
      <c r="R363" s="68"/>
      <c r="S363" s="68"/>
      <c r="T363" s="68"/>
      <c r="U363" s="68"/>
      <c r="V363" s="68"/>
      <c r="W363" s="68"/>
      <c r="X363" s="68"/>
    </row>
    <row r="364" spans="1:24" ht="12.75">
      <c r="A364"/>
      <c r="D364" s="25">
        <v>2024</v>
      </c>
      <c r="E364" s="23">
        <f>IF(D364&lt;B347,"",IF(D364=B347,B348,IF(D364&gt;B349,"",(D364-B347)*B351+B348)))</f>
      </c>
      <c r="F364" s="22">
        <f>IF(ISERR(E364-E363),IF(D364&gt;B349,F363,""),(E364-E348))</f>
        <v>1576800000</v>
      </c>
      <c r="G364" s="21">
        <f>IF(ISERR(B346*F364),"",((B346*F364)))</f>
        <v>61495200000</v>
      </c>
      <c r="I364" s="133">
        <v>2025</v>
      </c>
      <c r="J364" s="134">
        <v>39</v>
      </c>
      <c r="K364" s="158">
        <v>100000</v>
      </c>
      <c r="L364" s="158">
        <v>250000</v>
      </c>
      <c r="M364" s="156">
        <v>175200000</v>
      </c>
      <c r="N364" s="134">
        <v>928560000</v>
      </c>
      <c r="O364" s="135">
        <f t="shared" si="0"/>
        <v>1103760000</v>
      </c>
      <c r="P364" s="135">
        <f t="shared" si="2"/>
        <v>43046640000</v>
      </c>
      <c r="Q364" s="144">
        <f t="shared" si="1"/>
        <v>0.04304664</v>
      </c>
      <c r="R364" s="68"/>
      <c r="S364" s="68"/>
      <c r="T364" s="68"/>
      <c r="U364" s="68"/>
      <c r="V364" s="68"/>
      <c r="W364" s="68"/>
      <c r="X364" s="68"/>
    </row>
    <row r="365" spans="1:24" ht="12.75">
      <c r="A365"/>
      <c r="D365" s="25">
        <v>2025</v>
      </c>
      <c r="E365" s="23">
        <f>IF(D365&lt;B347,"",IF(D365=B347,B348,IF(D365&gt;B349,"",(D365-B347)*B351+B348)))</f>
      </c>
      <c r="F365" s="22">
        <f>IF(ISERR(E365-E364),IF(D365&gt;B349,F364,""),(E365-E348))</f>
        <v>1576800000</v>
      </c>
      <c r="G365" s="21">
        <f>IF(ISERR(B346*F365),"",((B346*F365)))</f>
        <v>61495200000</v>
      </c>
      <c r="I365" s="133">
        <v>2026</v>
      </c>
      <c r="J365" s="134">
        <v>39</v>
      </c>
      <c r="K365" s="158">
        <v>100000</v>
      </c>
      <c r="L365" s="158">
        <v>250000</v>
      </c>
      <c r="M365" s="156">
        <v>175200000</v>
      </c>
      <c r="N365" s="134">
        <v>928560000</v>
      </c>
      <c r="O365" s="135">
        <f t="shared" si="0"/>
        <v>1103760000</v>
      </c>
      <c r="P365" s="135">
        <f t="shared" si="2"/>
        <v>43046640000</v>
      </c>
      <c r="Q365" s="144">
        <f t="shared" si="1"/>
        <v>0.04304664</v>
      </c>
      <c r="R365" s="68"/>
      <c r="S365" s="68"/>
      <c r="T365" s="68"/>
      <c r="U365" s="68"/>
      <c r="V365" s="68"/>
      <c r="W365" s="68"/>
      <c r="X365" s="68"/>
    </row>
    <row r="366" spans="1:24" ht="12.75">
      <c r="A366"/>
      <c r="D366" s="25">
        <v>2026</v>
      </c>
      <c r="E366" s="23">
        <f>IF(D366&lt;B347,"",IF(D366=B347,B348,IF(D366&gt;B349,"",(D366-B347)*B351+B348)))</f>
      </c>
      <c r="F366" s="22">
        <f>IF(ISERR(E366-E365),IF(D366&gt;B349,F365,""),(E366-E348))</f>
        <v>1576800000</v>
      </c>
      <c r="G366" s="21">
        <f>IF(ISERR(B346*F366),"",((B346*F366)))</f>
        <v>61495200000</v>
      </c>
      <c r="I366" s="133">
        <v>2027</v>
      </c>
      <c r="J366" s="134">
        <v>39</v>
      </c>
      <c r="K366" s="158">
        <v>100000</v>
      </c>
      <c r="L366" s="158">
        <v>250000</v>
      </c>
      <c r="M366" s="156">
        <v>175200000</v>
      </c>
      <c r="N366" s="134">
        <v>928560000</v>
      </c>
      <c r="O366" s="135">
        <f t="shared" si="0"/>
        <v>1103760000</v>
      </c>
      <c r="P366" s="135">
        <f t="shared" si="2"/>
        <v>43046640000</v>
      </c>
      <c r="Q366" s="144">
        <f t="shared" si="1"/>
        <v>0.04304664</v>
      </c>
      <c r="R366" s="68"/>
      <c r="S366" s="68"/>
      <c r="T366" s="68"/>
      <c r="U366" s="68"/>
      <c r="V366" s="68"/>
      <c r="W366" s="68"/>
      <c r="X366" s="68"/>
    </row>
    <row r="367" spans="1:24" ht="12.75">
      <c r="A367"/>
      <c r="D367" s="25">
        <v>2027</v>
      </c>
      <c r="E367" s="23">
        <f>IF(D367&lt;B347,"",IF(D367=B347,B348,IF(D367&gt;B349,"",(D367-B347)*B351+B348)))</f>
      </c>
      <c r="F367" s="22">
        <f>IF(ISERR(E367-E366),IF(D367&gt;B349,F366,""),(E367-E348))</f>
        <v>1576800000</v>
      </c>
      <c r="G367" s="21">
        <f>IF(ISERR(B346*F367),"",((B346*F367)))</f>
        <v>61495200000</v>
      </c>
      <c r="I367" s="133">
        <v>2028</v>
      </c>
      <c r="J367" s="134">
        <v>39</v>
      </c>
      <c r="K367" s="158">
        <v>100000</v>
      </c>
      <c r="L367" s="158">
        <v>250000</v>
      </c>
      <c r="M367" s="156">
        <v>175200000</v>
      </c>
      <c r="N367" s="134">
        <v>928560000</v>
      </c>
      <c r="O367" s="135">
        <f t="shared" si="0"/>
        <v>1103760000</v>
      </c>
      <c r="P367" s="135">
        <f t="shared" si="2"/>
        <v>43046640000</v>
      </c>
      <c r="Q367" s="144">
        <f t="shared" si="1"/>
        <v>0.04304664</v>
      </c>
      <c r="R367" s="68"/>
      <c r="S367" s="68"/>
      <c r="T367" s="68"/>
      <c r="U367" s="68"/>
      <c r="V367" s="68"/>
      <c r="W367" s="68"/>
      <c r="X367" s="68"/>
    </row>
    <row r="368" spans="1:24" ht="12.75">
      <c r="A368"/>
      <c r="D368" s="25">
        <v>2028</v>
      </c>
      <c r="E368" s="23">
        <f>IF(D368&lt;B347,"",IF(D368=B347,B348,IF(D368&gt;B349,"",(D368-B347)*B351+B348)))</f>
      </c>
      <c r="F368" s="22">
        <f>IF(ISERR(E368-E367),IF(D368&gt;B349,F367,""),(E368-E348))</f>
        <v>1576800000</v>
      </c>
      <c r="G368" s="21">
        <f>IF(ISERR(B346*F368),"",((B346*F368)))</f>
        <v>61495200000</v>
      </c>
      <c r="I368" s="133">
        <v>2029</v>
      </c>
      <c r="J368" s="134">
        <v>39</v>
      </c>
      <c r="K368" s="158">
        <v>100000</v>
      </c>
      <c r="L368" s="158">
        <v>250000</v>
      </c>
      <c r="M368" s="156">
        <v>175200000</v>
      </c>
      <c r="N368" s="134">
        <v>928560000</v>
      </c>
      <c r="O368" s="135">
        <f t="shared" si="0"/>
        <v>1103760000</v>
      </c>
      <c r="P368" s="135">
        <f t="shared" si="2"/>
        <v>43046640000</v>
      </c>
      <c r="Q368" s="144">
        <f t="shared" si="1"/>
        <v>0.04304664</v>
      </c>
      <c r="R368" s="68"/>
      <c r="S368" s="68"/>
      <c r="T368" s="68"/>
      <c r="U368" s="68"/>
      <c r="V368" s="68"/>
      <c r="W368" s="68"/>
      <c r="X368" s="68"/>
    </row>
    <row r="369" spans="1:24" ht="12.75">
      <c r="A369"/>
      <c r="D369" s="25">
        <v>2029</v>
      </c>
      <c r="E369" s="23">
        <f>IF(D369&lt;B347,"",IF(D369=B347,B348,IF(D369&gt;B349,"",(D369-B347)*B351+B348)))</f>
      </c>
      <c r="F369" s="22">
        <f>IF(ISERR(E369-E368),IF(D369&gt;B349,F368,""),(E369-E348))</f>
        <v>1576800000</v>
      </c>
      <c r="G369" s="21">
        <f>IF(ISERR(B346*F369),"",((B346*F369)))</f>
        <v>61495200000</v>
      </c>
      <c r="I369" s="159">
        <v>2030</v>
      </c>
      <c r="J369" s="160">
        <v>39</v>
      </c>
      <c r="K369" s="161">
        <v>100000</v>
      </c>
      <c r="L369" s="161">
        <v>250000</v>
      </c>
      <c r="M369" s="162">
        <v>175200000</v>
      </c>
      <c r="N369" s="160">
        <v>928560000</v>
      </c>
      <c r="O369" s="163">
        <f t="shared" si="0"/>
        <v>1103760000</v>
      </c>
      <c r="P369" s="163">
        <f t="shared" si="2"/>
        <v>43046640000</v>
      </c>
      <c r="Q369" s="164">
        <f t="shared" si="1"/>
        <v>0.04304664</v>
      </c>
      <c r="R369" s="68"/>
      <c r="S369" s="68"/>
      <c r="T369" s="68"/>
      <c r="U369" s="68"/>
      <c r="V369" s="68"/>
      <c r="W369" s="68"/>
      <c r="X369" s="68"/>
    </row>
    <row r="370" spans="1:24" ht="13.5" thickBot="1">
      <c r="A370"/>
      <c r="D370" s="20">
        <v>2030</v>
      </c>
      <c r="E370" s="18">
        <f>IF(D370&lt;B347,"",IF(D370=B347,B348,IF(D370&gt;B349,"",(D370-B347)*B351+B348)))</f>
      </c>
      <c r="F370" s="17">
        <f>IF(ISERR(E370-E369),IF(D370&gt;B349,F369,""),(E370-E348))</f>
        <v>1576800000</v>
      </c>
      <c r="G370" s="16">
        <f>IF(ISERR(B346*F370),"",((B346*F370)))</f>
        <v>61495200000</v>
      </c>
      <c r="I370" s="68"/>
      <c r="J370" s="68"/>
      <c r="K370" s="68"/>
      <c r="L370" s="68"/>
      <c r="M370" s="68"/>
      <c r="N370" s="68"/>
      <c r="O370" s="68"/>
      <c r="P370" s="68"/>
      <c r="Q370" s="68"/>
      <c r="R370" s="68"/>
      <c r="S370" s="68"/>
      <c r="T370" s="68"/>
      <c r="U370" s="68"/>
      <c r="V370" s="68"/>
      <c r="W370" s="68"/>
      <c r="X370" s="68"/>
    </row>
    <row r="371" spans="2:24" ht="12.75">
      <c r="B371" s="63"/>
      <c r="E371" s="93"/>
      <c r="I371" s="458" t="s">
        <v>578</v>
      </c>
      <c r="J371" s="434"/>
      <c r="K371" s="434"/>
      <c r="L371" s="434"/>
      <c r="M371" s="435"/>
      <c r="N371" s="115"/>
      <c r="O371" s="115"/>
      <c r="P371" s="165">
        <f>Q351</f>
        <v>0.04304664</v>
      </c>
      <c r="Q371" s="68"/>
      <c r="R371" s="68"/>
      <c r="S371" s="68"/>
      <c r="T371" s="68"/>
      <c r="U371" s="68"/>
      <c r="V371" s="68"/>
      <c r="W371" s="68"/>
      <c r="X371" s="68"/>
    </row>
    <row r="372" spans="2:24" ht="12" customHeight="1">
      <c r="B372" s="63"/>
      <c r="E372" s="64"/>
      <c r="I372" s="458" t="s">
        <v>582</v>
      </c>
      <c r="J372" s="434"/>
      <c r="K372" s="434"/>
      <c r="L372" s="434"/>
      <c r="M372" s="435"/>
      <c r="N372" s="115"/>
      <c r="O372" s="115"/>
      <c r="P372" s="166">
        <f>SUM(Q348:Q369)</f>
        <v>0.8835937812000003</v>
      </c>
      <c r="Q372" s="68"/>
      <c r="R372" s="68"/>
      <c r="S372" s="68"/>
      <c r="T372" s="68"/>
      <c r="U372" s="68"/>
      <c r="V372" s="68"/>
      <c r="W372" s="68"/>
      <c r="X372" s="68"/>
    </row>
    <row r="373" spans="2:24" ht="12" customHeight="1">
      <c r="B373" s="67"/>
      <c r="I373" s="167" t="s">
        <v>952</v>
      </c>
      <c r="J373" s="68"/>
      <c r="K373" s="68"/>
      <c r="L373" s="68" t="s">
        <v>1102</v>
      </c>
      <c r="M373" s="68"/>
      <c r="N373" s="68"/>
      <c r="O373" s="68"/>
      <c r="P373" s="68"/>
      <c r="Q373" s="68"/>
      <c r="R373" s="69"/>
      <c r="S373" s="69"/>
      <c r="T373" s="69"/>
      <c r="U373" s="68"/>
      <c r="V373" s="68"/>
      <c r="W373" s="68"/>
      <c r="X373" s="68"/>
    </row>
    <row r="374" spans="2:24" ht="12" customHeight="1">
      <c r="B374" s="67"/>
      <c r="I374" s="167"/>
      <c r="J374" s="68"/>
      <c r="K374" s="68"/>
      <c r="L374" s="68"/>
      <c r="M374" s="68"/>
      <c r="N374" s="68"/>
      <c r="O374" s="68"/>
      <c r="P374" s="68"/>
      <c r="Q374" s="68"/>
      <c r="R374" s="69"/>
      <c r="S374" s="69"/>
      <c r="T374" s="69"/>
      <c r="U374" s="68"/>
      <c r="V374" s="68"/>
      <c r="W374" s="68"/>
      <c r="X374" s="68"/>
    </row>
    <row r="375" spans="1:9" s="73" customFormat="1" ht="12" customHeight="1">
      <c r="A375" s="481" t="s">
        <v>561</v>
      </c>
      <c r="B375" s="483"/>
      <c r="C375" s="483"/>
      <c r="D375" s="483"/>
      <c r="E375" s="483"/>
      <c r="F375" s="483"/>
      <c r="G375" s="483"/>
      <c r="H375" s="483"/>
      <c r="I375" s="484"/>
    </row>
    <row r="376" spans="1:13" s="74" customFormat="1" ht="19.5" customHeight="1">
      <c r="A376" s="488" t="s">
        <v>1038</v>
      </c>
      <c r="B376" s="456"/>
      <c r="C376" s="456"/>
      <c r="D376" s="456"/>
      <c r="E376" s="456"/>
      <c r="F376" s="456"/>
      <c r="G376" s="456"/>
      <c r="H376" s="456"/>
      <c r="I376" s="75"/>
      <c r="M376" s="433"/>
    </row>
    <row r="377" spans="1:9" s="73" customFormat="1" ht="21" customHeight="1">
      <c r="A377" s="472" t="s">
        <v>963</v>
      </c>
      <c r="B377" s="486"/>
      <c r="C377" s="486"/>
      <c r="D377" s="486"/>
      <c r="E377" s="486"/>
      <c r="F377" s="486"/>
      <c r="G377" s="486"/>
      <c r="H377" s="486"/>
      <c r="I377" s="487"/>
    </row>
    <row r="378" spans="1:9" ht="12" customHeight="1">
      <c r="A378" s="65" t="s">
        <v>1095</v>
      </c>
      <c r="B378" s="59"/>
      <c r="C378" s="59"/>
      <c r="D378" s="59"/>
      <c r="E378" s="59"/>
      <c r="F378" s="59"/>
      <c r="G378" s="59"/>
      <c r="H378" s="59"/>
      <c r="I378" s="72"/>
    </row>
    <row r="379" ht="15.75" customHeight="1"/>
    <row r="380" spans="2:13" ht="13.5" thickBot="1">
      <c r="B380" s="63"/>
      <c r="E380" s="64"/>
      <c r="K380" s="63"/>
      <c r="L380" s="63"/>
      <c r="M380" s="63"/>
    </row>
    <row r="381" spans="1:7" ht="51">
      <c r="A381" t="s">
        <v>150</v>
      </c>
      <c r="D381" s="46" t="s">
        <v>149</v>
      </c>
      <c r="E381" s="45" t="s">
        <v>148</v>
      </c>
      <c r="F381" s="45" t="s">
        <v>1086</v>
      </c>
      <c r="G381" s="44" t="s">
        <v>928</v>
      </c>
    </row>
    <row r="382" spans="1:7" ht="13.5" thickBot="1">
      <c r="A382" t="s">
        <v>927</v>
      </c>
      <c r="B382" s="57"/>
      <c r="D382" s="43"/>
      <c r="E382" s="41"/>
      <c r="F382" s="41" t="s">
        <v>147</v>
      </c>
      <c r="G382" s="40" t="s">
        <v>146</v>
      </c>
    </row>
    <row r="383" spans="1:7" ht="13.5" thickTop="1">
      <c r="A383" t="s">
        <v>145</v>
      </c>
      <c r="C383" s="30"/>
      <c r="D383" s="25">
        <v>2005</v>
      </c>
      <c r="E383" s="23">
        <f>IF(D383&lt;B385,"",IF(D383=B385,B386,IF(D383&gt;B387,"",(D383-B385)*B389+B386)))</f>
      </c>
      <c r="F383" s="39"/>
      <c r="G383" s="38"/>
    </row>
    <row r="384" spans="1:7" ht="12.75">
      <c r="A384" t="s">
        <v>144</v>
      </c>
      <c r="B384" s="37">
        <v>518</v>
      </c>
      <c r="D384" s="25">
        <v>2006</v>
      </c>
      <c r="E384" s="23">
        <f>IF(D384&lt;B385,"",IF(D384=B385,B386,IF(D384&gt;B387,"",(D384-B385)*B389+B386)))</f>
      </c>
      <c r="F384" s="23"/>
      <c r="G384" s="34"/>
    </row>
    <row r="385" spans="1:7" ht="12.75">
      <c r="A385" t="s">
        <v>856</v>
      </c>
      <c r="B385" s="37">
        <v>2008</v>
      </c>
      <c r="D385" s="25">
        <v>2007</v>
      </c>
      <c r="E385" s="23">
        <f>IF(D385&lt;B385,"",IF(D385=B385,B386,IF(D385&gt;B387,"",(D385-B385)*B389+B386)))</f>
      </c>
      <c r="F385" s="23"/>
      <c r="G385" s="34"/>
    </row>
    <row r="386" spans="1:7" s="33" customFormat="1" ht="12.75">
      <c r="A386" s="33" t="s">
        <v>1059</v>
      </c>
      <c r="B386" s="84">
        <v>0</v>
      </c>
      <c r="C386" s="35"/>
      <c r="D386" s="25">
        <v>2008</v>
      </c>
      <c r="E386" s="23">
        <f>IF(D386&lt;B385,"",IF(D386=B385,B386,IF(D386&gt;B387,"",(D386-B385)*B389+B386)))</f>
        <v>0</v>
      </c>
      <c r="F386" s="23"/>
      <c r="G386" s="34"/>
    </row>
    <row r="387" spans="1:7" ht="12.75">
      <c r="A387" t="s">
        <v>854</v>
      </c>
      <c r="B387" s="32">
        <v>2015</v>
      </c>
      <c r="C387" s="30"/>
      <c r="D387" s="25">
        <v>2009</v>
      </c>
      <c r="E387" s="23">
        <f>IF(D387&lt;B385,"",IF(D387=B385,B386,IF(D387&gt;B387,"",(D387-B385)*B389+B386)))</f>
        <v>42857142.85714286</v>
      </c>
      <c r="F387" s="22">
        <f>IF(ISERR(E387-E386),IF(D387&gt;B387,F386,""),(E387-E386))</f>
        <v>42857142.85714286</v>
      </c>
      <c r="G387" s="21">
        <f>IF(ISERR(B384*F387),"",((B384*F387)))</f>
        <v>22200000000</v>
      </c>
    </row>
    <row r="388" spans="1:7" ht="12.75">
      <c r="A388" t="s">
        <v>1058</v>
      </c>
      <c r="B388" s="58">
        <f>300000*10^3</f>
        <v>300000000</v>
      </c>
      <c r="C388" s="30"/>
      <c r="D388" s="25">
        <v>2010</v>
      </c>
      <c r="E388" s="23">
        <f>IF(D388&lt;B385,"",IF(D388=B385,B386,IF(D388&gt;B387,"",(D388-B385)*B389+B386)))</f>
        <v>85714285.71428572</v>
      </c>
      <c r="F388" s="22">
        <f>IF(ISERR(E388-E387),IF(D388&gt;B387,F387,""),(E388-E386))</f>
        <v>85714285.71428572</v>
      </c>
      <c r="G388" s="21">
        <f>IF(ISERR(B384*F388),"",((B384*F388)))</f>
        <v>44400000000</v>
      </c>
    </row>
    <row r="389" spans="1:7" ht="12.75">
      <c r="A389" s="29" t="s">
        <v>1057</v>
      </c>
      <c r="B389" s="27">
        <f>(B388-B386)/(B387-B385)</f>
        <v>42857142.85714286</v>
      </c>
      <c r="D389" s="25">
        <v>2011</v>
      </c>
      <c r="E389" s="23">
        <f>IF(D389&lt;B385,"",IF(D389=B385,B386,IF(D389&gt;B387,"",(D389-B385)*B389+B386)))</f>
        <v>128571428.57142857</v>
      </c>
      <c r="F389" s="22">
        <f>IF(ISERR(E389-E388),IF(D389&gt;B387,F388,""),(E389-E386))</f>
        <v>128571428.57142857</v>
      </c>
      <c r="G389" s="21">
        <f>IF(ISERR(B384*F389),"",((B384*F389)))</f>
        <v>66600000000</v>
      </c>
    </row>
    <row r="390" spans="1:7" ht="12.75">
      <c r="A390"/>
      <c r="D390" s="25">
        <v>2012</v>
      </c>
      <c r="E390" s="23">
        <f>IF(D390&lt;B385,"",IF(D390=B385,B386,IF(D390&gt;B387,"",(D390-B385)*B389+B386)))</f>
        <v>171428571.42857143</v>
      </c>
      <c r="F390" s="22">
        <f>IF(ISERR(E390-E389),IF(D390&gt;B387,F389,""),(E390-E386))</f>
        <v>171428571.42857143</v>
      </c>
      <c r="G390" s="21">
        <f>IF(ISERR(B384*F390),"",((B384*F390)))</f>
        <v>88800000000</v>
      </c>
    </row>
    <row r="391" spans="1:7" ht="12.75">
      <c r="A391"/>
      <c r="D391" s="25">
        <v>2013</v>
      </c>
      <c r="E391" s="23">
        <f>IF(D391&lt;B385,"",IF(D391=B385,B386,IF(D391&gt;B387,"",(D391-B385)*B389+B386)))</f>
        <v>214285714.2857143</v>
      </c>
      <c r="F391" s="22">
        <f>IF(ISERR(E391-E390),IF(D391&gt;B387,F390,""),(E391-E386))</f>
        <v>214285714.2857143</v>
      </c>
      <c r="G391" s="21">
        <f>IF(ISERR(B384*F391),"",((B384*F391)))</f>
        <v>111000000000</v>
      </c>
    </row>
    <row r="392" spans="1:7" ht="12.75">
      <c r="A392" t="s">
        <v>915</v>
      </c>
      <c r="B392" s="27">
        <f>VLOOKUP(B387,D383:G408,4,FALSE)</f>
        <v>155400000000</v>
      </c>
      <c r="D392" s="25">
        <v>2014</v>
      </c>
      <c r="E392" s="23">
        <f>IF(D392&lt;B385,"",IF(D392=B385,B386,IF(D392&gt;B387,"",(D392-B385)*B389+B386)))</f>
        <v>257142857.14285713</v>
      </c>
      <c r="F392" s="22">
        <f>IF(ISERR(E392-E391),IF(D392&gt;B387,F391,""),(E392-E386))</f>
        <v>257142857.14285713</v>
      </c>
      <c r="G392" s="21">
        <f>IF(ISERR(B384*F392),"",((B384*F392)))</f>
        <v>133200000000</v>
      </c>
    </row>
    <row r="393" spans="1:7" ht="12.75">
      <c r="A393" t="s">
        <v>914</v>
      </c>
      <c r="B393" s="27">
        <f>SUM(G387:G408)</f>
        <v>2952600000000</v>
      </c>
      <c r="D393" s="25">
        <v>2015</v>
      </c>
      <c r="E393" s="23">
        <f>IF(D393&lt;B385,"",IF(D393=B385,B386,IF(D393&gt;B387,"",(D393-B385)*B389+B386)))</f>
        <v>300000000</v>
      </c>
      <c r="F393" s="22">
        <f>IF(ISERR(E393-E392),IF(D393&gt;B387,F392,""),(E393-E386))</f>
        <v>300000000</v>
      </c>
      <c r="G393" s="21">
        <f>IF(ISERR(B384*F393),"",((B384*F393)))</f>
        <v>155400000000</v>
      </c>
    </row>
    <row r="394" spans="1:7" ht="12.75">
      <c r="A394" t="s">
        <v>1068</v>
      </c>
      <c r="B394" s="26">
        <f>B392/(10^12)</f>
        <v>0.1554</v>
      </c>
      <c r="D394" s="25">
        <v>2016</v>
      </c>
      <c r="E394" s="23">
        <f>IF(D394&lt;B385,"",IF(D394=B385,B386,IF(D394&gt;B387,"",(D394-B385)*B389+B386)))</f>
      </c>
      <c r="F394" s="22">
        <f>IF(ISERR(E394-E393),IF(D394&gt;B387,F393,""),(E394-E386))</f>
        <v>300000000</v>
      </c>
      <c r="G394" s="21">
        <f>IF(ISERR(B384*F394),"",((B384*F394)))</f>
        <v>155400000000</v>
      </c>
    </row>
    <row r="395" spans="1:7" ht="12.75">
      <c r="A395" t="s">
        <v>1067</v>
      </c>
      <c r="B395" s="26">
        <f>B393/(10^12)</f>
        <v>2.9526</v>
      </c>
      <c r="D395" s="25">
        <v>2017</v>
      </c>
      <c r="E395" s="23">
        <f>IF(D395&lt;B385,"",IF(D395=B385,B386,IF(D395&gt;B387,"",(D395-B385)*B389+B386)))</f>
      </c>
      <c r="F395" s="22">
        <f>IF(ISERR(E395-E394),IF(D395&gt;B387,F394,""),(E395-E386))</f>
        <v>300000000</v>
      </c>
      <c r="G395" s="21">
        <f>IF(ISERR(B384*F395),"",((B384*F395)))</f>
        <v>155400000000</v>
      </c>
    </row>
    <row r="396" spans="1:7" ht="12.75">
      <c r="A396"/>
      <c r="D396" s="25">
        <v>2018</v>
      </c>
      <c r="E396" s="23">
        <f>IF(D396&lt;B385,"",IF(D396=B385,B386,IF(D396&gt;B387,"",(D396-B385)*B389+B386)))</f>
      </c>
      <c r="F396" s="22">
        <f>IF(ISERR(E396-E395),IF(D396&gt;B387,F395,""),(E396-E386))</f>
        <v>300000000</v>
      </c>
      <c r="G396" s="21">
        <f>IF(ISERR(B384*F396),"",((B384*F396)))</f>
        <v>155400000000</v>
      </c>
    </row>
    <row r="397" spans="1:7" ht="12.75">
      <c r="A397"/>
      <c r="D397" s="25">
        <v>2019</v>
      </c>
      <c r="E397" s="23">
        <f>IF(D397&lt;B385,"",IF(D397=B385,B386,IF(D397&gt;B387,"",(D397-B385)*B389+B386)))</f>
      </c>
      <c r="F397" s="22">
        <f>IF(ISERR(E397-E396),IF(D397&gt;B387,F396,""),(E397-E386))</f>
        <v>300000000</v>
      </c>
      <c r="G397" s="21">
        <f>IF(ISERR(B384*F397),"",((B384*F397)))</f>
        <v>155400000000</v>
      </c>
    </row>
    <row r="398" spans="1:7" ht="12.75">
      <c r="A398"/>
      <c r="D398" s="25">
        <v>2020</v>
      </c>
      <c r="E398" s="23">
        <f>IF(D398&lt;B385,"",IF(D398=B385,B386,IF(D398&gt;B387,"",(D398-B385)*B389+B386)))</f>
      </c>
      <c r="F398" s="22">
        <f>IF(ISERR(E398-E397),IF(D398&gt;B387,F397,""),(E398-E386))</f>
        <v>300000000</v>
      </c>
      <c r="G398" s="21">
        <f>IF(ISERR(B384*F398),"",((B384*F398)))</f>
        <v>155400000000</v>
      </c>
    </row>
    <row r="399" spans="1:7" ht="12.75">
      <c r="A399"/>
      <c r="D399" s="25">
        <v>2021</v>
      </c>
      <c r="E399" s="23">
        <f>IF(D399&lt;B385,"",IF(D399=B385,B386,IF(D399&gt;B387,"",(D399-B385)*B389+B386)))</f>
      </c>
      <c r="F399" s="22">
        <f>IF(ISERR(E399-E398),IF(D399&gt;B387,F398,""),(E399-E386))</f>
        <v>300000000</v>
      </c>
      <c r="G399" s="21">
        <f>IF(ISERR(B384*F399),"",((B384*F399)))</f>
        <v>155400000000</v>
      </c>
    </row>
    <row r="400" spans="1:7" ht="12.75">
      <c r="A400"/>
      <c r="D400" s="25">
        <v>2022</v>
      </c>
      <c r="E400" s="23">
        <f>IF(D400&lt;B385,"",IF(D400=B385,B386,IF(D400&gt;B387,"",(D400-B385)*B389+B386)))</f>
      </c>
      <c r="F400" s="22">
        <f>IF(ISERR(E400-E399),IF(D400&gt;B387,F399,""),(E400-E386))</f>
        <v>300000000</v>
      </c>
      <c r="G400" s="21">
        <f>IF(ISERR(B384*F400),"",((B384*F400)))</f>
        <v>155400000000</v>
      </c>
    </row>
    <row r="401" spans="1:7" ht="12.75">
      <c r="A401"/>
      <c r="D401" s="25">
        <v>2023</v>
      </c>
      <c r="E401" s="23">
        <f>IF(D401&lt;B385,"",IF(D401=B385,B386,IF(D401&gt;B387,"",(D401-B385)*B389+B386)))</f>
      </c>
      <c r="F401" s="22">
        <f>IF(ISERR(E401-E400),IF(D401&gt;B387,F400,""),(E401-E386))</f>
        <v>300000000</v>
      </c>
      <c r="G401" s="21">
        <f>IF(ISERR(B384*F401),"",((B384*F401)))</f>
        <v>155400000000</v>
      </c>
    </row>
    <row r="402" spans="1:7" ht="12.75">
      <c r="A402"/>
      <c r="D402" s="25">
        <v>2024</v>
      </c>
      <c r="E402" s="23">
        <f>IF(D402&lt;B385,"",IF(D402=B385,B386,IF(D402&gt;B387,"",(D402-B385)*B389+B386)))</f>
      </c>
      <c r="F402" s="22">
        <f>IF(ISERR(E402-E401),IF(D402&gt;B387,F401,""),(E402-E386))</f>
        <v>300000000</v>
      </c>
      <c r="G402" s="21">
        <f>IF(ISERR(B384*F402),"",((B384*F402)))</f>
        <v>155400000000</v>
      </c>
    </row>
    <row r="403" spans="1:7" ht="12.75">
      <c r="A403"/>
      <c r="D403" s="25">
        <v>2025</v>
      </c>
      <c r="E403" s="23">
        <f>IF(D403&lt;B385,"",IF(D403=B385,B386,IF(D403&gt;B387,"",(D403-B385)*B389+B386)))</f>
      </c>
      <c r="F403" s="22">
        <f>IF(ISERR(E403-E402),IF(D403&gt;B387,F402,""),(E403-E386))</f>
        <v>300000000</v>
      </c>
      <c r="G403" s="21">
        <f>IF(ISERR(B384*F403),"",((B384*F403)))</f>
        <v>155400000000</v>
      </c>
    </row>
    <row r="404" spans="1:7" ht="12.75">
      <c r="A404"/>
      <c r="D404" s="25">
        <v>2026</v>
      </c>
      <c r="E404" s="23">
        <f>IF(D404&lt;B385,"",IF(D404=B385,B386,IF(D404&gt;B387,"",(D404-B385)*B389+B386)))</f>
      </c>
      <c r="F404" s="22">
        <f>IF(ISERR(E404-E403),IF(D404&gt;B387,F403,""),(E404-E386))</f>
        <v>300000000</v>
      </c>
      <c r="G404" s="21">
        <f>IF(ISERR(B384*F404),"",((B384*F404)))</f>
        <v>155400000000</v>
      </c>
    </row>
    <row r="405" spans="1:7" ht="12.75">
      <c r="A405"/>
      <c r="D405" s="25">
        <v>2027</v>
      </c>
      <c r="E405" s="23">
        <f>IF(D405&lt;B385,"",IF(D405=B385,B386,IF(D405&gt;B387,"",(D405-B385)*B389+B386)))</f>
      </c>
      <c r="F405" s="22">
        <f>IF(ISERR(E405-E404),IF(D405&gt;B387,F404,""),(E405-E386))</f>
        <v>300000000</v>
      </c>
      <c r="G405" s="21">
        <f>IF(ISERR(B384*F405),"",((B384*F405)))</f>
        <v>155400000000</v>
      </c>
    </row>
    <row r="406" spans="1:7" ht="12.75">
      <c r="A406"/>
      <c r="D406" s="25">
        <v>2028</v>
      </c>
      <c r="E406" s="23">
        <f>IF(D406&lt;B385,"",IF(D406=B385,B386,IF(D406&gt;B387,"",(D406-B385)*B389+B386)))</f>
      </c>
      <c r="F406" s="22">
        <f>IF(ISERR(E406-E405),IF(D406&gt;B387,F405,""),(E406-E386))</f>
        <v>300000000</v>
      </c>
      <c r="G406" s="21">
        <f>IF(ISERR(B384*F406),"",((B384*F406)))</f>
        <v>155400000000</v>
      </c>
    </row>
    <row r="407" spans="1:7" ht="12.75">
      <c r="A407"/>
      <c r="D407" s="25">
        <v>2029</v>
      </c>
      <c r="E407" s="23">
        <f>IF(D407&lt;B385,"",IF(D407=B385,B386,IF(D407&gt;B387,"",(D407-B385)*B389+B386)))</f>
      </c>
      <c r="F407" s="22">
        <f>IF(ISERR(E407-E406),IF(D407&gt;B387,F406,""),(E407-E386))</f>
        <v>300000000</v>
      </c>
      <c r="G407" s="21">
        <f>IF(ISERR(B384*F407),"",((B384*F407)))</f>
        <v>155400000000</v>
      </c>
    </row>
    <row r="408" spans="1:7" ht="13.5" thickBot="1">
      <c r="A408"/>
      <c r="D408" s="20">
        <v>2030</v>
      </c>
      <c r="E408" s="18">
        <f>IF(D408&lt;B385,"",IF(D408=B385,B386,IF(D408&gt;B387,"",(D408-B385)*B389+B386)))</f>
      </c>
      <c r="F408" s="17">
        <f>IF(ISERR(E408-E407),IF(D408&gt;B387,F407,""),(E408-E386))</f>
        <v>300000000</v>
      </c>
      <c r="G408" s="16">
        <f>IF(ISERR(B384*F408),"",((B384*F408)))</f>
        <v>155400000000</v>
      </c>
    </row>
    <row r="409" spans="2:13" ht="12.75">
      <c r="B409" s="63"/>
      <c r="E409" s="64"/>
      <c r="K409" s="63"/>
      <c r="L409" s="63"/>
      <c r="M409" s="63"/>
    </row>
    <row r="410" spans="2:13" ht="15" customHeight="1">
      <c r="B410" s="67"/>
      <c r="K410" s="63"/>
      <c r="L410" s="63"/>
      <c r="M410" s="63"/>
    </row>
    <row r="411" spans="2:10" ht="10.5" customHeight="1">
      <c r="B411" s="67"/>
      <c r="H411" s="63"/>
      <c r="I411" s="63"/>
      <c r="J411" s="63"/>
    </row>
    <row r="412" spans="1:9" ht="13.5" customHeight="1">
      <c r="A412" s="466" t="s">
        <v>107</v>
      </c>
      <c r="B412" s="461"/>
      <c r="C412" s="461"/>
      <c r="D412" s="461"/>
      <c r="E412" s="461"/>
      <c r="F412" s="461"/>
      <c r="G412" s="55"/>
      <c r="H412" s="66"/>
      <c r="I412" s="92"/>
    </row>
    <row r="413" spans="1:9" ht="13.5" customHeight="1">
      <c r="A413" s="468" t="s">
        <v>372</v>
      </c>
      <c r="B413" s="463"/>
      <c r="C413" s="463"/>
      <c r="D413" s="463"/>
      <c r="E413" s="463"/>
      <c r="F413" s="463"/>
      <c r="G413" s="60"/>
      <c r="H413" s="60"/>
      <c r="I413" s="75"/>
    </row>
    <row r="414" spans="1:9" ht="13.5" customHeight="1">
      <c r="A414" s="470" t="s">
        <v>106</v>
      </c>
      <c r="B414" s="446"/>
      <c r="C414" s="446"/>
      <c r="D414" s="446"/>
      <c r="E414" s="446"/>
      <c r="F414" s="446"/>
      <c r="G414" s="60"/>
      <c r="H414" s="60"/>
      <c r="I414" s="75"/>
    </row>
    <row r="415" spans="1:9" ht="13.5" customHeight="1">
      <c r="A415" s="470" t="s">
        <v>1092</v>
      </c>
      <c r="B415" s="446"/>
      <c r="C415" s="446"/>
      <c r="D415" s="446"/>
      <c r="E415" s="446"/>
      <c r="F415" s="446"/>
      <c r="G415" s="53"/>
      <c r="H415" s="53"/>
      <c r="I415" s="76"/>
    </row>
    <row r="416" spans="1:9" ht="13.5" customHeight="1">
      <c r="A416" s="447" t="s">
        <v>1105</v>
      </c>
      <c r="B416" s="448"/>
      <c r="C416" s="448"/>
      <c r="D416" s="49"/>
      <c r="E416" s="49"/>
      <c r="F416" s="49"/>
      <c r="G416" s="49"/>
      <c r="H416" s="49"/>
      <c r="I416" s="48"/>
    </row>
    <row r="417" spans="1:6" ht="12.75">
      <c r="A417" s="91" t="s">
        <v>1061</v>
      </c>
      <c r="B417" s="90" t="s">
        <v>1060</v>
      </c>
      <c r="D417" s="80"/>
      <c r="E417" s="79"/>
      <c r="F417" s="78"/>
    </row>
    <row r="418" spans="2:6" ht="13.5" thickBot="1">
      <c r="B418" s="91"/>
      <c r="C418" s="90"/>
      <c r="D418" s="80"/>
      <c r="E418" s="79"/>
      <c r="F418" s="78"/>
    </row>
    <row r="419" spans="1:7" ht="51">
      <c r="A419" t="s">
        <v>743</v>
      </c>
      <c r="D419" s="46" t="s">
        <v>932</v>
      </c>
      <c r="E419" s="45" t="s">
        <v>929</v>
      </c>
      <c r="F419" s="45" t="s">
        <v>1086</v>
      </c>
      <c r="G419" s="44" t="s">
        <v>928</v>
      </c>
    </row>
    <row r="420" spans="1:7" ht="13.5" thickBot="1">
      <c r="A420" t="s">
        <v>927</v>
      </c>
      <c r="B420" s="57"/>
      <c r="D420" s="43"/>
      <c r="E420" s="41"/>
      <c r="F420" s="41" t="s">
        <v>860</v>
      </c>
      <c r="G420" s="40" t="s">
        <v>859</v>
      </c>
    </row>
    <row r="421" spans="1:7" ht="13.5" thickTop="1">
      <c r="A421" t="s">
        <v>858</v>
      </c>
      <c r="C421" s="30"/>
      <c r="D421" s="25">
        <v>2005</v>
      </c>
      <c r="E421" s="23">
        <f>IF(D421&lt;B423,"",IF(D421=B423,B424,IF(D421&gt;B425,"",(D421-B423)*B427+B424)))</f>
      </c>
      <c r="F421" s="39"/>
      <c r="G421" s="38"/>
    </row>
    <row r="422" spans="1:7" ht="12.75">
      <c r="A422" t="s">
        <v>857</v>
      </c>
      <c r="B422" s="37">
        <v>573</v>
      </c>
      <c r="D422" s="25">
        <v>2006</v>
      </c>
      <c r="E422" s="23">
        <f>IF(D422&lt;B423,"",IF(D422=B423,B424,IF(D422&gt;B425,"",(D422-B423)*B427+B424)))</f>
      </c>
      <c r="F422" s="23"/>
      <c r="G422" s="34"/>
    </row>
    <row r="423" spans="1:7" ht="12.75">
      <c r="A423" t="s">
        <v>856</v>
      </c>
      <c r="B423" s="37">
        <v>2008</v>
      </c>
      <c r="D423" s="25">
        <v>2007</v>
      </c>
      <c r="E423" s="23">
        <f>IF(D423&lt;B423,"",IF(D423=B423,B424,IF(D423&gt;B425,"",(D423-B423)*B427+B424)))</f>
      </c>
      <c r="F423" s="23"/>
      <c r="G423" s="34"/>
    </row>
    <row r="424" spans="1:7" s="33" customFormat="1" ht="12.75">
      <c r="A424" s="33" t="s">
        <v>1059</v>
      </c>
      <c r="B424" s="84">
        <v>0</v>
      </c>
      <c r="C424" s="35"/>
      <c r="D424" s="25">
        <v>2008</v>
      </c>
      <c r="E424" s="23">
        <f>IF(D424&lt;B423,"",IF(D424=B423,B424,IF(D424&gt;B425,"",(D424-B423)*B427+B424)))</f>
        <v>0</v>
      </c>
      <c r="F424" s="23"/>
      <c r="G424" s="34"/>
    </row>
    <row r="425" spans="1:7" ht="12.75">
      <c r="A425" t="s">
        <v>854</v>
      </c>
      <c r="B425" s="32">
        <v>2020</v>
      </c>
      <c r="C425" s="30"/>
      <c r="D425" s="25">
        <v>2009</v>
      </c>
      <c r="E425" s="23">
        <f>IF(D425&lt;B423,"",IF(D425=B423,B424,IF(D425&gt;B425,"",(D425-B423)*B427+B424)))</f>
        <v>26356333333.333332</v>
      </c>
      <c r="F425" s="22">
        <f>IF(ISERR(E425-E424),IF(D425&gt;B425,F424,""),(E425-E424))</f>
        <v>26356333333.333332</v>
      </c>
      <c r="G425" s="21">
        <f>IF(ISERR(B422*F425),"",((B422*F425)))</f>
        <v>15102179000000</v>
      </c>
    </row>
    <row r="426" spans="1:7" ht="12.75">
      <c r="A426" t="s">
        <v>1058</v>
      </c>
      <c r="B426" s="58">
        <v>316276000000</v>
      </c>
      <c r="C426" s="30"/>
      <c r="D426" s="25">
        <v>2010</v>
      </c>
      <c r="E426" s="23">
        <f>IF(D426&lt;B423,"",IF(D426=B423,B424,IF(D426&gt;B425,"",(D426-B423)*B427+B424)))</f>
        <v>52712666666.666664</v>
      </c>
      <c r="F426" s="22">
        <f>IF(ISERR(E426-E425),IF(D426&gt;B425,F425,""),(E426-E424))</f>
        <v>52712666666.666664</v>
      </c>
      <c r="G426" s="21">
        <f>IF(ISERR(B422*F426),"",((B422*F426)))</f>
        <v>30204358000000</v>
      </c>
    </row>
    <row r="427" spans="1:7" ht="12.75">
      <c r="A427" s="29" t="s">
        <v>1057</v>
      </c>
      <c r="B427" s="27">
        <f>(B426-B424)/(B425-B423)</f>
        <v>26356333333.333332</v>
      </c>
      <c r="D427" s="25">
        <v>2011</v>
      </c>
      <c r="E427" s="23">
        <f>IF(D427&lt;B423,"",IF(D427=B423,B424,IF(D427&gt;B425,"",(D427-B423)*B427+B424)))</f>
        <v>79069000000</v>
      </c>
      <c r="F427" s="22">
        <f>IF(ISERR(E427-E426),IF(D427&gt;B425,F426,""),(E427-E424))</f>
        <v>79069000000</v>
      </c>
      <c r="G427" s="21">
        <f>IF(ISERR(B422*F427),"",((B422*F427)))</f>
        <v>45306537000000</v>
      </c>
    </row>
    <row r="428" spans="1:7" ht="12.75">
      <c r="A428"/>
      <c r="D428" s="25">
        <v>2012</v>
      </c>
      <c r="E428" s="23">
        <f>IF(D428&lt;B423,"",IF(D428=B423,B424,IF(D428&gt;B425,"",(D428-B423)*B427+B424)))</f>
        <v>105425333333.33333</v>
      </c>
      <c r="F428" s="22">
        <f>IF(ISERR(E428-E427),IF(D428&gt;B425,F427,""),(E428-E424))</f>
        <v>105425333333.33333</v>
      </c>
      <c r="G428" s="21">
        <f>IF(ISERR(B422*F428),"",((B422*F428)))</f>
        <v>60408716000000</v>
      </c>
    </row>
    <row r="429" spans="1:7" ht="12.75">
      <c r="A429"/>
      <c r="D429" s="25">
        <v>2013</v>
      </c>
      <c r="E429" s="23">
        <f>IF(D429&lt;B423,"",IF(D429=B423,B424,IF(D429&gt;B425,"",(D429-B423)*B427+B424)))</f>
        <v>131781666666.66666</v>
      </c>
      <c r="F429" s="22">
        <f>IF(ISERR(E429-E428),IF(D429&gt;B425,F428,""),(E429-E424))</f>
        <v>131781666666.66666</v>
      </c>
      <c r="G429" s="21">
        <f>IF(ISERR(B422*F429),"",((B422*F429)))</f>
        <v>75510895000000</v>
      </c>
    </row>
    <row r="430" spans="1:7" ht="12.75">
      <c r="A430" t="s">
        <v>915</v>
      </c>
      <c r="B430" s="27">
        <f>VLOOKUP(B425,D421:G446,4,FALSE)</f>
        <v>181226148000000</v>
      </c>
      <c r="D430" s="25">
        <v>2014</v>
      </c>
      <c r="E430" s="23">
        <f>IF(D430&lt;B423,"",IF(D430=B423,B424,IF(D430&gt;B425,"",(D430-B423)*B427+B424)))</f>
        <v>158138000000</v>
      </c>
      <c r="F430" s="22">
        <f>IF(ISERR(E430-E429),IF(D430&gt;B425,F429,""),(E430-E424))</f>
        <v>158138000000</v>
      </c>
      <c r="G430" s="21">
        <f>IF(ISERR(B422*F430),"",((B422*F430)))</f>
        <v>90613074000000</v>
      </c>
    </row>
    <row r="431" spans="1:7" ht="12.75">
      <c r="A431" t="s">
        <v>914</v>
      </c>
      <c r="B431" s="27">
        <f>SUM(G425:G446)</f>
        <v>2990231442000000</v>
      </c>
      <c r="D431" s="25">
        <v>2015</v>
      </c>
      <c r="E431" s="23">
        <f>IF(D431&lt;B423,"",IF(D431=B423,B424,IF(D431&gt;B425,"",(D431-B423)*B427+B424)))</f>
        <v>184494333333.3333</v>
      </c>
      <c r="F431" s="22">
        <f>IF(ISERR(E431-E430),IF(D431&gt;B425,F430,""),(E431-E424))</f>
        <v>184494333333.3333</v>
      </c>
      <c r="G431" s="21">
        <f>IF(ISERR(B422*F431),"",((B422*F431)))</f>
        <v>105715252999999.98</v>
      </c>
    </row>
    <row r="432" spans="1:7" ht="12.75">
      <c r="A432" t="s">
        <v>1068</v>
      </c>
      <c r="B432" s="26">
        <f>B430/(10^12)</f>
        <v>181.226148</v>
      </c>
      <c r="D432" s="25">
        <v>2016</v>
      </c>
      <c r="E432" s="23">
        <f>IF(D432&lt;B423,"",IF(D432=B423,B424,IF(D432&gt;B425,"",(D432-B423)*B427+B424)))</f>
        <v>210850666666.66666</v>
      </c>
      <c r="F432" s="22">
        <f>IF(ISERR(E432-E431),IF(D432&gt;B425,F431,""),(E432-E424))</f>
        <v>210850666666.66666</v>
      </c>
      <c r="G432" s="21">
        <f>IF(ISERR(B422*F432),"",((B422*F432)))</f>
        <v>120817432000000</v>
      </c>
    </row>
    <row r="433" spans="1:7" ht="12.75">
      <c r="A433" t="s">
        <v>1067</v>
      </c>
      <c r="B433" s="26">
        <f>B431/(10^12)</f>
        <v>2990.231442</v>
      </c>
      <c r="D433" s="25">
        <v>2017</v>
      </c>
      <c r="E433" s="23">
        <f>IF(D433&lt;B423,"",IF(D433=B423,B424,IF(D433&gt;B425,"",(D433-B423)*B427+B424)))</f>
        <v>237207000000</v>
      </c>
      <c r="F433" s="22">
        <f>IF(ISERR(E433-E432),IF(D433&gt;B425,F432,""),(E433-E424))</f>
        <v>237207000000</v>
      </c>
      <c r="G433" s="21">
        <f>IF(ISERR(B422*F433),"",((B422*F433)))</f>
        <v>135919611000000</v>
      </c>
    </row>
    <row r="434" spans="1:7" ht="12.75">
      <c r="A434"/>
      <c r="D434" s="25">
        <v>2018</v>
      </c>
      <c r="E434" s="23">
        <f>IF(D434&lt;B423,"",IF(D434=B423,B424,IF(D434&gt;B425,"",(D434-B423)*B427+B424)))</f>
        <v>263563333333.3333</v>
      </c>
      <c r="F434" s="22">
        <f>IF(ISERR(E434-E433),IF(D434&gt;B425,F433,""),(E434-E424))</f>
        <v>263563333333.3333</v>
      </c>
      <c r="G434" s="21">
        <f>IF(ISERR(B422*F434),"",((B422*F434)))</f>
        <v>151021790000000</v>
      </c>
    </row>
    <row r="435" spans="1:7" ht="12.75">
      <c r="A435"/>
      <c r="D435" s="25">
        <v>2019</v>
      </c>
      <c r="E435" s="23">
        <f>IF(D435&lt;B423,"",IF(D435=B423,B424,IF(D435&gt;B425,"",(D435-B423)*B427+B424)))</f>
        <v>289919666666.6666</v>
      </c>
      <c r="F435" s="22">
        <f>IF(ISERR(E435-E434),IF(D435&gt;B425,F434,""),(E435-E424))</f>
        <v>289919666666.6666</v>
      </c>
      <c r="G435" s="21">
        <f>IF(ISERR(B422*F435),"",((B422*F435)))</f>
        <v>166123968999999.97</v>
      </c>
    </row>
    <row r="436" spans="1:7" ht="12.75">
      <c r="A436"/>
      <c r="D436" s="25">
        <v>2020</v>
      </c>
      <c r="E436" s="23">
        <f>IF(D436&lt;B423,"",IF(D436=B423,B424,IF(D436&gt;B425,"",(D436-B423)*B427+B424)))</f>
        <v>316276000000</v>
      </c>
      <c r="F436" s="22">
        <f>IF(ISERR(E436-E435),IF(D436&gt;B425,F435,""),(E436-E424))</f>
        <v>316276000000</v>
      </c>
      <c r="G436" s="21">
        <f>IF(ISERR(B422*F436),"",((B422*F436)))</f>
        <v>181226148000000</v>
      </c>
    </row>
    <row r="437" spans="1:7" ht="12.75">
      <c r="A437"/>
      <c r="D437" s="25">
        <v>2021</v>
      </c>
      <c r="E437" s="23">
        <f>IF(D437&lt;B423,"",IF(D437=B423,B424,IF(D437&gt;B425,"",(D437-B423)*B427+B424)))</f>
      </c>
      <c r="F437" s="22">
        <f>IF(ISERR(E437-E436),IF(D437&gt;B425,F436,""),(E437-E424))</f>
        <v>316276000000</v>
      </c>
      <c r="G437" s="21">
        <f>IF(ISERR(B422*F437),"",((B422*F437)))</f>
        <v>181226148000000</v>
      </c>
    </row>
    <row r="438" spans="1:7" ht="12.75">
      <c r="A438"/>
      <c r="D438" s="25">
        <v>2022</v>
      </c>
      <c r="E438" s="23">
        <f>IF(D438&lt;B423,"",IF(D438=B423,B424,IF(D438&gt;B425,"",(D438-B423)*B427+B424)))</f>
      </c>
      <c r="F438" s="22">
        <f>IF(ISERR(E438-E437),IF(D438&gt;B425,F437,""),(E438-E424))</f>
        <v>316276000000</v>
      </c>
      <c r="G438" s="21">
        <f>IF(ISERR(B422*F438),"",((B422*F438)))</f>
        <v>181226148000000</v>
      </c>
    </row>
    <row r="439" spans="1:7" ht="12.75">
      <c r="A439"/>
      <c r="D439" s="25">
        <v>2023</v>
      </c>
      <c r="E439" s="23">
        <f>IF(D439&lt;B423,"",IF(D439=B423,B424,IF(D439&gt;B425,"",(D439-B423)*B427+B424)))</f>
      </c>
      <c r="F439" s="22">
        <f>IF(ISERR(E439-E438),IF(D439&gt;B425,F438,""),(E439-E424))</f>
        <v>316276000000</v>
      </c>
      <c r="G439" s="21">
        <f>IF(ISERR(B422*F439),"",((B422*F439)))</f>
        <v>181226148000000</v>
      </c>
    </row>
    <row r="440" spans="1:7" ht="12.75">
      <c r="A440"/>
      <c r="D440" s="25">
        <v>2024</v>
      </c>
      <c r="E440" s="23">
        <f>IF(D440&lt;B423,"",IF(D440=B423,B424,IF(D440&gt;B425,"",(D440-B423)*B427+B424)))</f>
      </c>
      <c r="F440" s="22">
        <f>IF(ISERR(E440-E439),IF(D440&gt;B425,F439,""),(E440-E424))</f>
        <v>316276000000</v>
      </c>
      <c r="G440" s="21">
        <f>IF(ISERR(B422*F440),"",((B422*F440)))</f>
        <v>181226148000000</v>
      </c>
    </row>
    <row r="441" spans="1:7" ht="12.75">
      <c r="A441"/>
      <c r="D441" s="25">
        <v>2025</v>
      </c>
      <c r="E441" s="23">
        <f>IF(D441&lt;B423,"",IF(D441=B423,B424,IF(D441&gt;B425,"",(D441-B423)*B427+B424)))</f>
      </c>
      <c r="F441" s="22">
        <f>IF(ISERR(E441-E440),IF(D441&gt;B425,F440,""),(E441-E424))</f>
        <v>316276000000</v>
      </c>
      <c r="G441" s="21">
        <f>IF(ISERR(B422*F441),"",((B422*F441)))</f>
        <v>181226148000000</v>
      </c>
    </row>
    <row r="442" spans="1:7" ht="12.75">
      <c r="A442"/>
      <c r="D442" s="25">
        <v>2026</v>
      </c>
      <c r="E442" s="23">
        <f>IF(D442&lt;B423,"",IF(D442=B423,B424,IF(D442&gt;B425,"",(D442-B423)*B427+B424)))</f>
      </c>
      <c r="F442" s="22">
        <f>IF(ISERR(E442-E441),IF(D442&gt;B425,F441,""),(E442-E424))</f>
        <v>316276000000</v>
      </c>
      <c r="G442" s="21">
        <f>IF(ISERR(B422*F442),"",((B422*F442)))</f>
        <v>181226148000000</v>
      </c>
    </row>
    <row r="443" spans="1:7" ht="12.75">
      <c r="A443"/>
      <c r="D443" s="25">
        <v>2027</v>
      </c>
      <c r="E443" s="23">
        <f>IF(D443&lt;B423,"",IF(D443=B423,B424,IF(D443&gt;B425,"",(D443-B423)*B427+B424)))</f>
      </c>
      <c r="F443" s="22">
        <f>IF(ISERR(E443-E442),IF(D443&gt;B425,F442,""),(E443-E424))</f>
        <v>316276000000</v>
      </c>
      <c r="G443" s="21">
        <f>IF(ISERR(B422*F443),"",((B422*F443)))</f>
        <v>181226148000000</v>
      </c>
    </row>
    <row r="444" spans="1:7" ht="12.75">
      <c r="A444"/>
      <c r="D444" s="25">
        <v>2028</v>
      </c>
      <c r="E444" s="23">
        <f>IF(D444&lt;B423,"",IF(D444=B423,B424,IF(D444&gt;B425,"",(D444-B423)*B427+B424)))</f>
      </c>
      <c r="F444" s="22">
        <f>IF(ISERR(E444-E443),IF(D444&gt;B425,F443,""),(E444-E424))</f>
        <v>316276000000</v>
      </c>
      <c r="G444" s="21">
        <f>IF(ISERR(B422*F444),"",((B422*F444)))</f>
        <v>181226148000000</v>
      </c>
    </row>
    <row r="445" spans="1:7" ht="12.75">
      <c r="A445"/>
      <c r="D445" s="25">
        <v>2029</v>
      </c>
      <c r="E445" s="23">
        <f>IF(D445&lt;B423,"",IF(D445=B423,B424,IF(D445&gt;B425,"",(D445-B423)*B427+B424)))</f>
      </c>
      <c r="F445" s="22">
        <f>IF(ISERR(E445-E444),IF(D445&gt;B425,F444,""),(E445-E424))</f>
        <v>316276000000</v>
      </c>
      <c r="G445" s="21">
        <f>IF(ISERR(B422*F445),"",((B422*F445)))</f>
        <v>181226148000000</v>
      </c>
    </row>
    <row r="446" spans="1:7" ht="13.5" thickBot="1">
      <c r="A446"/>
      <c r="D446" s="20">
        <v>2030</v>
      </c>
      <c r="E446" s="18">
        <f>IF(D446&lt;B423,"",IF(D446=B423,B424,IF(D446&gt;B425,"",(D446-B423)*B427+B424)))</f>
      </c>
      <c r="F446" s="17">
        <f>IF(ISERR(E446-E445),IF(D446&gt;B425,F445,""),(E446-E424))</f>
        <v>316276000000</v>
      </c>
      <c r="G446" s="16">
        <f>IF(ISERR(B422*F446),"",((B422*F446)))</f>
        <v>181226148000000</v>
      </c>
    </row>
    <row r="447" spans="2:6" ht="12.75">
      <c r="B447" s="91"/>
      <c r="C447" s="90"/>
      <c r="D447" s="80"/>
      <c r="E447" s="79"/>
      <c r="F447" s="78"/>
    </row>
    <row r="448" spans="9:10" ht="12" customHeight="1">
      <c r="I448" s="74"/>
      <c r="J448" s="74"/>
    </row>
    <row r="449" spans="1:9" ht="12" customHeight="1">
      <c r="A449" s="466" t="s">
        <v>1056</v>
      </c>
      <c r="B449" s="461"/>
      <c r="C449" s="461"/>
      <c r="D449" s="461"/>
      <c r="E449" s="461"/>
      <c r="F449" s="461"/>
      <c r="G449" s="85"/>
      <c r="H449" s="56"/>
      <c r="I449" s="77"/>
    </row>
    <row r="450" spans="1:9" ht="12" customHeight="1">
      <c r="A450" s="468" t="s">
        <v>1055</v>
      </c>
      <c r="B450" s="463"/>
      <c r="C450" s="463"/>
      <c r="D450" s="463"/>
      <c r="E450" s="463"/>
      <c r="F450" s="463"/>
      <c r="G450" s="463"/>
      <c r="H450" s="463"/>
      <c r="I450" s="450"/>
    </row>
    <row r="451" spans="1:9" ht="12" customHeight="1">
      <c r="A451" s="470" t="s">
        <v>1054</v>
      </c>
      <c r="B451" s="446"/>
      <c r="C451" s="446"/>
      <c r="D451" s="446"/>
      <c r="E451" s="446"/>
      <c r="F451" s="446"/>
      <c r="G451" s="446"/>
      <c r="H451" s="446"/>
      <c r="I451" s="451"/>
    </row>
    <row r="452" spans="1:9" ht="26.25" customHeight="1">
      <c r="A452" s="470" t="s">
        <v>760</v>
      </c>
      <c r="B452" s="446"/>
      <c r="C452" s="446"/>
      <c r="D452" s="446"/>
      <c r="E452" s="446"/>
      <c r="F452" s="446"/>
      <c r="G452" s="53"/>
      <c r="H452" s="53"/>
      <c r="I452" s="76"/>
    </row>
    <row r="453" spans="1:9" ht="12.75">
      <c r="A453" s="459" t="s">
        <v>113</v>
      </c>
      <c r="B453" s="462"/>
      <c r="C453" s="462"/>
      <c r="D453" s="49"/>
      <c r="E453" s="49"/>
      <c r="F453" s="49"/>
      <c r="G453" s="49"/>
      <c r="H453" s="49"/>
      <c r="I453" s="48"/>
    </row>
    <row r="454" spans="1:10" s="74" customFormat="1" ht="13.5" thickBot="1">
      <c r="A454" s="81"/>
      <c r="B454" s="80"/>
      <c r="C454" s="80"/>
      <c r="D454" s="80"/>
      <c r="E454" s="79"/>
      <c r="F454" s="89"/>
      <c r="H454" s="71"/>
      <c r="I454" s="71"/>
      <c r="J454" s="71"/>
    </row>
    <row r="455" spans="1:7" ht="51">
      <c r="A455" t="s">
        <v>1093</v>
      </c>
      <c r="D455" s="46" t="s">
        <v>1091</v>
      </c>
      <c r="E455" s="45" t="s">
        <v>929</v>
      </c>
      <c r="F455" s="45" t="s">
        <v>1086</v>
      </c>
      <c r="G455" s="44" t="s">
        <v>1090</v>
      </c>
    </row>
    <row r="456" spans="1:7" ht="13.5" thickBot="1">
      <c r="A456" t="s">
        <v>946</v>
      </c>
      <c r="B456" s="57"/>
      <c r="D456" s="43"/>
      <c r="E456" s="41"/>
      <c r="F456" s="41" t="s">
        <v>885</v>
      </c>
      <c r="G456" s="40" t="s">
        <v>1076</v>
      </c>
    </row>
    <row r="457" spans="1:7" ht="13.5" thickTop="1">
      <c r="A457" t="s">
        <v>858</v>
      </c>
      <c r="C457" s="30"/>
      <c r="D457" s="25">
        <v>2005</v>
      </c>
      <c r="E457" s="23">
        <f>IF(D457&lt;B459,"",IF(D457=B459,B460,IF(D457&gt;B461,"",(D457-B459)*B463+B460)))</f>
      </c>
      <c r="F457" s="39"/>
      <c r="G457" s="38"/>
    </row>
    <row r="458" spans="1:7" ht="12.75">
      <c r="A458" t="s">
        <v>857</v>
      </c>
      <c r="B458" s="37">
        <v>943</v>
      </c>
      <c r="D458" s="25">
        <v>2006</v>
      </c>
      <c r="E458" s="23">
        <f>IF(D458&lt;B459,"",IF(D458=B459,B460,IF(D458&gt;B461,"",(D458-B459)*B463+B460)))</f>
      </c>
      <c r="F458" s="23"/>
      <c r="G458" s="34"/>
    </row>
    <row r="459" spans="1:7" ht="12.75">
      <c r="A459" t="s">
        <v>1118</v>
      </c>
      <c r="B459" s="37">
        <v>2008</v>
      </c>
      <c r="D459" s="25">
        <v>2007</v>
      </c>
      <c r="E459" s="23">
        <f>IF(D459&lt;B459,"",IF(D459=B459,B460,IF(D459&gt;B461,"",(D459-B459)*B463+B460)))</f>
      </c>
      <c r="F459" s="23"/>
      <c r="G459" s="34"/>
    </row>
    <row r="460" spans="1:7" s="33" customFormat="1" ht="12.75">
      <c r="A460" s="33" t="s">
        <v>139</v>
      </c>
      <c r="B460" s="84">
        <v>0</v>
      </c>
      <c r="C460" s="35"/>
      <c r="D460" s="25">
        <v>2008</v>
      </c>
      <c r="E460" s="23">
        <f>IF(D460&lt;B459,"",IF(D460=B459,B460,IF(D460&gt;B461,"",(D460-B459)*B463+B460)))</f>
        <v>0</v>
      </c>
      <c r="F460" s="23"/>
      <c r="G460" s="34"/>
    </row>
    <row r="461" spans="1:7" ht="12.75">
      <c r="A461" t="s">
        <v>138</v>
      </c>
      <c r="B461" s="32">
        <v>2015</v>
      </c>
      <c r="C461" s="30"/>
      <c r="D461" s="25">
        <v>2009</v>
      </c>
      <c r="E461" s="23">
        <f>IF(D461&lt;B459,"",IF(D461=B459,B460,IF(D461&gt;B461,"",(D461-B459)*B463+B460)))</f>
        <v>27499892.57142857</v>
      </c>
      <c r="F461" s="22">
        <f>IF(ISERR(E461-E460),IF(D461&gt;B461,F460,""),(E461-E460))</f>
        <v>27499892.57142857</v>
      </c>
      <c r="G461" s="21">
        <f>IF(ISERR(B458*F461),"",((B458*F461)))</f>
        <v>25932398694.857143</v>
      </c>
    </row>
    <row r="462" spans="1:7" ht="12.75">
      <c r="A462" t="s">
        <v>137</v>
      </c>
      <c r="B462" s="58">
        <v>192499248</v>
      </c>
      <c r="C462" s="30"/>
      <c r="D462" s="25">
        <v>2010</v>
      </c>
      <c r="E462" s="23">
        <f>IF(D462&lt;B459,"",IF(D462=B459,B460,IF(D462&gt;B461,"",(D462-B459)*B463+B460)))</f>
        <v>54999785.14285714</v>
      </c>
      <c r="F462" s="22">
        <f>IF(ISERR(E462-E461),IF(D462&gt;B461,F461,""),(E462-E460))</f>
        <v>54999785.14285714</v>
      </c>
      <c r="G462" s="21">
        <f>IF(ISERR(B458*F462),"",((B458*F462)))</f>
        <v>51864797389.71429</v>
      </c>
    </row>
    <row r="463" spans="1:7" ht="12.75">
      <c r="A463" s="29" t="s">
        <v>136</v>
      </c>
      <c r="B463" s="27">
        <f>(B462-B460)/(B461-B459)</f>
        <v>27499892.57142857</v>
      </c>
      <c r="D463" s="25">
        <v>2011</v>
      </c>
      <c r="E463" s="23">
        <f>IF(D463&lt;B459,"",IF(D463=B459,B460,IF(D463&gt;B461,"",(D463-B459)*B463+B460)))</f>
        <v>82499677.71428572</v>
      </c>
      <c r="F463" s="22">
        <f>IF(ISERR(E463-E462),IF(D463&gt;B461,F462,""),(E463-E460))</f>
        <v>82499677.71428572</v>
      </c>
      <c r="G463" s="21">
        <f>IF(ISERR(B458*F463),"",((B458*F463)))</f>
        <v>77797196084.57143</v>
      </c>
    </row>
    <row r="464" spans="1:7" ht="12.75">
      <c r="A464"/>
      <c r="D464" s="25">
        <v>2012</v>
      </c>
      <c r="E464" s="23">
        <f>IF(D464&lt;B459,"",IF(D464=B459,B460,IF(D464&gt;B461,"",(D464-B459)*B463+B460)))</f>
        <v>109999570.28571428</v>
      </c>
      <c r="F464" s="22">
        <f>IF(ISERR(E464-E463),IF(D464&gt;B461,F463,""),(E464-E460))</f>
        <v>109999570.28571428</v>
      </c>
      <c r="G464" s="21">
        <f>IF(ISERR(B458*F464),"",((B458*F464)))</f>
        <v>103729594779.42857</v>
      </c>
    </row>
    <row r="465" spans="1:7" ht="12.75">
      <c r="A465"/>
      <c r="D465" s="25">
        <v>2013</v>
      </c>
      <c r="E465" s="23">
        <f>IF(D465&lt;B459,"",IF(D465=B459,B460,IF(D465&gt;B461,"",(D465-B459)*B463+B460)))</f>
        <v>137499462.85714287</v>
      </c>
      <c r="F465" s="22">
        <f>IF(ISERR(E465-E464),IF(D465&gt;B461,F464,""),(E465-E460))</f>
        <v>137499462.85714287</v>
      </c>
      <c r="G465" s="21">
        <f>IF(ISERR(B458*F465),"",((B458*F465)))</f>
        <v>129661993474.28572</v>
      </c>
    </row>
    <row r="466" spans="1:7" ht="12.75">
      <c r="A466" t="s">
        <v>1010</v>
      </c>
      <c r="B466" s="27">
        <f>VLOOKUP(B461,D457:G482,4,FALSE)</f>
        <v>181526790864</v>
      </c>
      <c r="D466" s="25">
        <v>2014</v>
      </c>
      <c r="E466" s="23">
        <f>IF(D466&lt;B459,"",IF(D466=B459,B460,IF(D466&gt;B461,"",(D466-B459)*B463+B460)))</f>
        <v>164999355.42857143</v>
      </c>
      <c r="F466" s="22">
        <f>IF(ISERR(E466-E465),IF(D466&gt;B461,F465,""),(E466-E460))</f>
        <v>164999355.42857143</v>
      </c>
      <c r="G466" s="21">
        <f>IF(ISERR(B458*F466),"",((B458*F466)))</f>
        <v>155594392169.14285</v>
      </c>
    </row>
    <row r="467" spans="1:7" ht="12.75">
      <c r="A467" t="s">
        <v>1009</v>
      </c>
      <c r="B467" s="27">
        <f>SUM(G461:G482)</f>
        <v>3449009026416</v>
      </c>
      <c r="D467" s="25">
        <v>2015</v>
      </c>
      <c r="E467" s="23">
        <f>IF(D467&lt;B459,"",IF(D467=B459,B460,IF(D467&gt;B461,"",(D467-B459)*B463+B460)))</f>
        <v>192499248</v>
      </c>
      <c r="F467" s="22">
        <f>IF(ISERR(E467-E466),IF(D467&gt;B461,F466,""),(E467-E460))</f>
        <v>192499248</v>
      </c>
      <c r="G467" s="21">
        <f>IF(ISERR(B458*F467),"",((B458*F467)))</f>
        <v>181526790864</v>
      </c>
    </row>
    <row r="468" spans="1:7" ht="12.75">
      <c r="A468" t="s">
        <v>1008</v>
      </c>
      <c r="B468" s="26">
        <f>B466/(10^12)</f>
        <v>0.181526790864</v>
      </c>
      <c r="D468" s="25">
        <v>2016</v>
      </c>
      <c r="E468" s="23">
        <f>IF(D468&lt;B459,"",IF(D468=B459,B460,IF(D468&gt;B461,"",(D468-B459)*B463+B460)))</f>
      </c>
      <c r="F468" s="22">
        <f>IF(ISERR(E468-E467),IF(D468&gt;B461,F467,""),(E468-E460))</f>
        <v>192499248</v>
      </c>
      <c r="G468" s="21">
        <f>IF(ISERR(B458*F468),"",((B458*F468)))</f>
        <v>181526790864</v>
      </c>
    </row>
    <row r="469" spans="1:7" ht="12.75">
      <c r="A469" t="s">
        <v>1007</v>
      </c>
      <c r="B469" s="26">
        <f>B467/(10^12)</f>
        <v>3.449009026416</v>
      </c>
      <c r="D469" s="25">
        <v>2017</v>
      </c>
      <c r="E469" s="23">
        <f>IF(D469&lt;B459,"",IF(D469=B459,B460,IF(D469&gt;B461,"",(D469-B459)*B463+B460)))</f>
      </c>
      <c r="F469" s="22">
        <f>IF(ISERR(E469-E468),IF(D469&gt;B461,F468,""),(E469-E460))</f>
        <v>192499248</v>
      </c>
      <c r="G469" s="21">
        <f>IF(ISERR(B458*F469),"",((B458*F469)))</f>
        <v>181526790864</v>
      </c>
    </row>
    <row r="470" spans="1:7" ht="12.75">
      <c r="A470"/>
      <c r="D470" s="25">
        <v>2018</v>
      </c>
      <c r="E470" s="23">
        <f>IF(D470&lt;B459,"",IF(D470=B459,B460,IF(D470&gt;B461,"",(D470-B459)*B463+B460)))</f>
      </c>
      <c r="F470" s="22">
        <f>IF(ISERR(E470-E469),IF(D470&gt;B461,F469,""),(E470-E460))</f>
        <v>192499248</v>
      </c>
      <c r="G470" s="21">
        <f>IF(ISERR(B458*F470),"",((B458*F470)))</f>
        <v>181526790864</v>
      </c>
    </row>
    <row r="471" spans="1:7" ht="12.75">
      <c r="A471"/>
      <c r="D471" s="25">
        <v>2019</v>
      </c>
      <c r="E471" s="23">
        <f>IF(D471&lt;B459,"",IF(D471=B459,B460,IF(D471&gt;B461,"",(D471-B459)*B463+B460)))</f>
      </c>
      <c r="F471" s="22">
        <f>IF(ISERR(E471-E470),IF(D471&gt;B461,F470,""),(E471-E460))</f>
        <v>192499248</v>
      </c>
      <c r="G471" s="21">
        <f>IF(ISERR(B458*F471),"",((B458*F471)))</f>
        <v>181526790864</v>
      </c>
    </row>
    <row r="472" spans="1:7" ht="12.75">
      <c r="A472"/>
      <c r="D472" s="25">
        <v>2020</v>
      </c>
      <c r="E472" s="23">
        <f>IF(D472&lt;B459,"",IF(D472=B459,B460,IF(D472&gt;B461,"",(D472-B459)*B463+B460)))</f>
      </c>
      <c r="F472" s="22">
        <f>IF(ISERR(E472-E471),IF(D472&gt;B461,F471,""),(E472-E460))</f>
        <v>192499248</v>
      </c>
      <c r="G472" s="21">
        <f>IF(ISERR(B458*F472),"",((B458*F472)))</f>
        <v>181526790864</v>
      </c>
    </row>
    <row r="473" spans="1:7" ht="12.75">
      <c r="A473"/>
      <c r="D473" s="25">
        <v>2021</v>
      </c>
      <c r="E473" s="23">
        <f>IF(D473&lt;B459,"",IF(D473=B459,B460,IF(D473&gt;B461,"",(D473-B459)*B463+B460)))</f>
      </c>
      <c r="F473" s="22">
        <f>IF(ISERR(E473-E472),IF(D473&gt;B461,F472,""),(E473-E460))</f>
        <v>192499248</v>
      </c>
      <c r="G473" s="21">
        <f>IF(ISERR(B458*F473),"",((B458*F473)))</f>
        <v>181526790864</v>
      </c>
    </row>
    <row r="474" spans="1:7" ht="12.75">
      <c r="A474"/>
      <c r="D474" s="25">
        <v>2022</v>
      </c>
      <c r="E474" s="23">
        <f>IF(D474&lt;B459,"",IF(D474=B459,B460,IF(D474&gt;B461,"",(D474-B459)*B463+B460)))</f>
      </c>
      <c r="F474" s="22">
        <f>IF(ISERR(E474-E473),IF(D474&gt;B461,F473,""),(E474-E460))</f>
        <v>192499248</v>
      </c>
      <c r="G474" s="21">
        <f>IF(ISERR(B458*F474),"",((B458*F474)))</f>
        <v>181526790864</v>
      </c>
    </row>
    <row r="475" spans="1:7" ht="12.75">
      <c r="A475"/>
      <c r="D475" s="25">
        <v>2023</v>
      </c>
      <c r="E475" s="23">
        <f>IF(D475&lt;B459,"",IF(D475=B459,B460,IF(D475&gt;B461,"",(D475-B459)*B463+B460)))</f>
      </c>
      <c r="F475" s="22">
        <f>IF(ISERR(E475-E474),IF(D475&gt;B461,F474,""),(E475-E460))</f>
        <v>192499248</v>
      </c>
      <c r="G475" s="21">
        <f>IF(ISERR(B458*F475),"",((B458*F475)))</f>
        <v>181526790864</v>
      </c>
    </row>
    <row r="476" spans="1:7" ht="12.75">
      <c r="A476"/>
      <c r="D476" s="25">
        <v>2024</v>
      </c>
      <c r="E476" s="23">
        <f>IF(D476&lt;B459,"",IF(D476=B459,B460,IF(D476&gt;B461,"",(D476-B459)*B463+B460)))</f>
      </c>
      <c r="F476" s="22">
        <f>IF(ISERR(E476-E475),IF(D476&gt;B461,F475,""),(E476-E460))</f>
        <v>192499248</v>
      </c>
      <c r="G476" s="21">
        <f>IF(ISERR(B458*F476),"",((B458*F476)))</f>
        <v>181526790864</v>
      </c>
    </row>
    <row r="477" spans="1:7" ht="12.75">
      <c r="A477"/>
      <c r="D477" s="25">
        <v>2025</v>
      </c>
      <c r="E477" s="23">
        <f>IF(D477&lt;B459,"",IF(D477=B459,B460,IF(D477&gt;B461,"",(D477-B459)*B463+B460)))</f>
      </c>
      <c r="F477" s="22">
        <f>IF(ISERR(E477-E476),IF(D477&gt;B461,F476,""),(E477-E460))</f>
        <v>192499248</v>
      </c>
      <c r="G477" s="21">
        <f>IF(ISERR(B458*F477),"",((B458*F477)))</f>
        <v>181526790864</v>
      </c>
    </row>
    <row r="478" spans="1:7" ht="12.75">
      <c r="A478"/>
      <c r="D478" s="25">
        <v>2026</v>
      </c>
      <c r="E478" s="23">
        <f>IF(D478&lt;B459,"",IF(D478=B459,B460,IF(D478&gt;B461,"",(D478-B459)*B463+B460)))</f>
      </c>
      <c r="F478" s="22">
        <f>IF(ISERR(E478-E477),IF(D478&gt;B461,F477,""),(E478-E460))</f>
        <v>192499248</v>
      </c>
      <c r="G478" s="21">
        <f>IF(ISERR(B458*F478),"",((B458*F478)))</f>
        <v>181526790864</v>
      </c>
    </row>
    <row r="479" spans="1:7" ht="12.75">
      <c r="A479"/>
      <c r="D479" s="25">
        <v>2027</v>
      </c>
      <c r="E479" s="23">
        <f>IF(D479&lt;B459,"",IF(D479=B459,B460,IF(D479&gt;B461,"",(D479-B459)*B463+B460)))</f>
      </c>
      <c r="F479" s="22">
        <f>IF(ISERR(E479-E478),IF(D479&gt;B461,F478,""),(E479-E460))</f>
        <v>192499248</v>
      </c>
      <c r="G479" s="21">
        <f>IF(ISERR(B458*F479),"",((B458*F479)))</f>
        <v>181526790864</v>
      </c>
    </row>
    <row r="480" spans="1:7" ht="12.75">
      <c r="A480"/>
      <c r="D480" s="25">
        <v>2028</v>
      </c>
      <c r="E480" s="23">
        <f>IF(D480&lt;B459,"",IF(D480=B459,B460,IF(D480&gt;B461,"",(D480-B459)*B463+B460)))</f>
      </c>
      <c r="F480" s="22">
        <f>IF(ISERR(E480-E479),IF(D480&gt;B461,F479,""),(E480-E460))</f>
        <v>192499248</v>
      </c>
      <c r="G480" s="21">
        <f>IF(ISERR(B458*F480),"",((B458*F480)))</f>
        <v>181526790864</v>
      </c>
    </row>
    <row r="481" spans="1:7" ht="12.75">
      <c r="A481"/>
      <c r="D481" s="25">
        <v>2029</v>
      </c>
      <c r="E481" s="23">
        <f>IF(D481&lt;B459,"",IF(D481=B459,B460,IF(D481&gt;B461,"",(D481-B459)*B463+B460)))</f>
      </c>
      <c r="F481" s="22">
        <f>IF(ISERR(E481-E480),IF(D481&gt;B461,F480,""),(E481-E460))</f>
        <v>192499248</v>
      </c>
      <c r="G481" s="21">
        <f>IF(ISERR(B458*F481),"",((B458*F481)))</f>
        <v>181526790864</v>
      </c>
    </row>
    <row r="482" spans="1:7" ht="13.5" thickBot="1">
      <c r="A482"/>
      <c r="D482" s="20">
        <v>2030</v>
      </c>
      <c r="E482" s="18">
        <f>IF(D482&lt;B459,"",IF(D482=B459,B460,IF(D482&gt;B461,"",(D482-B459)*B463+B460)))</f>
      </c>
      <c r="F482" s="17">
        <f>IF(ISERR(E482-E481),IF(D482&gt;B461,F481,""),(E482-E460))</f>
        <v>192499248</v>
      </c>
      <c r="G482" s="16">
        <f>IF(ISERR(B458*F482),"",((B458*F482)))</f>
        <v>181526790864</v>
      </c>
    </row>
    <row r="483" spans="1:10" s="74" customFormat="1" ht="12.75">
      <c r="A483" s="81"/>
      <c r="B483" s="80"/>
      <c r="C483" s="80"/>
      <c r="D483" s="80"/>
      <c r="E483" s="79"/>
      <c r="F483" s="89"/>
      <c r="H483" s="71"/>
      <c r="I483" s="71"/>
      <c r="J483" s="71"/>
    </row>
    <row r="484" spans="8:10" ht="12.75">
      <c r="H484" s="71"/>
      <c r="I484" s="71"/>
      <c r="J484" s="71"/>
    </row>
    <row r="485" spans="1:9" ht="12.75" customHeight="1">
      <c r="A485" s="466" t="s">
        <v>729</v>
      </c>
      <c r="B485" s="467"/>
      <c r="C485" s="467"/>
      <c r="D485" s="467"/>
      <c r="E485" s="467"/>
      <c r="F485" s="467"/>
      <c r="G485" s="85"/>
      <c r="H485" s="56"/>
      <c r="I485" s="77"/>
    </row>
    <row r="486" spans="1:9" ht="12.75">
      <c r="A486" s="468" t="s">
        <v>767</v>
      </c>
      <c r="B486" s="469"/>
      <c r="C486" s="469"/>
      <c r="D486" s="469"/>
      <c r="E486" s="469"/>
      <c r="F486" s="469"/>
      <c r="G486" s="463"/>
      <c r="H486" s="469"/>
      <c r="I486" s="478"/>
    </row>
    <row r="487" spans="1:9" ht="12.75">
      <c r="A487" s="470" t="s">
        <v>1089</v>
      </c>
      <c r="B487" s="469"/>
      <c r="C487" s="469"/>
      <c r="D487" s="469"/>
      <c r="E487" s="469"/>
      <c r="F487" s="469"/>
      <c r="G487" s="446"/>
      <c r="H487" s="469"/>
      <c r="I487" s="478"/>
    </row>
    <row r="488" spans="1:9" ht="12.75">
      <c r="A488" s="470" t="s">
        <v>165</v>
      </c>
      <c r="B488" s="469"/>
      <c r="C488" s="469"/>
      <c r="D488" s="469"/>
      <c r="E488" s="469"/>
      <c r="F488" s="469"/>
      <c r="G488" s="53"/>
      <c r="H488" s="53"/>
      <c r="I488" s="76"/>
    </row>
    <row r="489" spans="1:9" ht="12.75">
      <c r="A489" s="459" t="s">
        <v>164</v>
      </c>
      <c r="B489" s="462"/>
      <c r="C489" s="462"/>
      <c r="D489" s="49"/>
      <c r="E489" s="49"/>
      <c r="F489" s="49"/>
      <c r="G489" s="49"/>
      <c r="H489" s="49"/>
      <c r="I489" s="48"/>
    </row>
    <row r="490" spans="1:6" s="74" customFormat="1" ht="13.5" thickBot="1">
      <c r="A490" s="81"/>
      <c r="B490" s="80"/>
      <c r="C490" s="80"/>
      <c r="D490" s="80"/>
      <c r="E490" s="79"/>
      <c r="F490" s="88"/>
    </row>
    <row r="491" spans="1:7" ht="51">
      <c r="A491" t="s">
        <v>1083</v>
      </c>
      <c r="D491" s="46" t="s">
        <v>1082</v>
      </c>
      <c r="E491" s="45" t="s">
        <v>1081</v>
      </c>
      <c r="F491" s="45" t="s">
        <v>1080</v>
      </c>
      <c r="G491" s="44" t="s">
        <v>1079</v>
      </c>
    </row>
    <row r="492" spans="1:7" ht="13.5" thickBot="1">
      <c r="A492" t="s">
        <v>1078</v>
      </c>
      <c r="B492" s="57"/>
      <c r="D492" s="43"/>
      <c r="E492" s="41"/>
      <c r="F492" s="41" t="s">
        <v>1077</v>
      </c>
      <c r="G492" s="40" t="s">
        <v>1076</v>
      </c>
    </row>
    <row r="493" spans="1:7" ht="13.5" thickTop="1">
      <c r="A493" t="s">
        <v>109</v>
      </c>
      <c r="C493" s="30"/>
      <c r="D493" s="25">
        <v>2005</v>
      </c>
      <c r="E493" s="23">
        <f>IF(D493&lt;B495,"",IF(D493=B495,B496,IF(D493&gt;B497,"",(D493-B495)*B499+B496)))</f>
      </c>
      <c r="F493" s="39"/>
      <c r="G493" s="38"/>
    </row>
    <row r="494" spans="1:7" ht="12.75">
      <c r="A494" t="s">
        <v>108</v>
      </c>
      <c r="B494" s="37">
        <v>573</v>
      </c>
      <c r="D494" s="25">
        <v>2006</v>
      </c>
      <c r="E494" s="23">
        <f>IF(D494&lt;B495,"",IF(D494=B495,B496,IF(D494&gt;B497,"",(D494-B495)*B499+B496)))</f>
      </c>
      <c r="F494" s="23"/>
      <c r="G494" s="34"/>
    </row>
    <row r="495" spans="1:7" ht="12.75">
      <c r="A495" t="s">
        <v>1118</v>
      </c>
      <c r="B495" s="37">
        <v>2008</v>
      </c>
      <c r="D495" s="25">
        <v>2007</v>
      </c>
      <c r="E495" s="23">
        <f>IF(D495&lt;B495,"",IF(D495=B495,B496,IF(D495&gt;B497,"",(D495-B495)*B499+B496)))</f>
      </c>
      <c r="F495" s="23"/>
      <c r="G495" s="34"/>
    </row>
    <row r="496" spans="1:7" s="33" customFormat="1" ht="12.75">
      <c r="A496" s="33" t="s">
        <v>139</v>
      </c>
      <c r="B496" s="84">
        <v>0</v>
      </c>
      <c r="C496" s="35"/>
      <c r="D496" s="25">
        <v>2008</v>
      </c>
      <c r="E496" s="23">
        <f>IF(D496&lt;B495,"",IF(D496=B495,B496,IF(D496&gt;B497,"",(D496-B495)*B499+B496)))</f>
        <v>0</v>
      </c>
      <c r="F496" s="23"/>
      <c r="G496" s="34"/>
    </row>
    <row r="497" spans="1:7" ht="12.75">
      <c r="A497" t="s">
        <v>138</v>
      </c>
      <c r="B497" s="32">
        <v>2013</v>
      </c>
      <c r="C497" s="30"/>
      <c r="D497" s="25">
        <v>2009</v>
      </c>
      <c r="E497" s="23">
        <f>IF(D497&lt;B495,"",IF(D497=B495,B496,IF(D497&gt;B497,"",(D497-B495)*B499+B496)))</f>
        <v>136400000</v>
      </c>
      <c r="F497" s="22">
        <f>IF(ISERR(E497-E496),IF(D497&gt;B497,F496,""),(E497-E496))</f>
        <v>136400000</v>
      </c>
      <c r="G497" s="21">
        <f>IF(ISERR(B494*F497),"",((B494*F497)))</f>
        <v>78157200000</v>
      </c>
    </row>
    <row r="498" spans="1:7" ht="12.75">
      <c r="A498" t="s">
        <v>137</v>
      </c>
      <c r="B498" s="58">
        <v>682000000</v>
      </c>
      <c r="C498" s="30"/>
      <c r="D498" s="25">
        <v>2010</v>
      </c>
      <c r="E498" s="23">
        <f>IF(D498&lt;B495,"",IF(D498=B495,B496,IF(D498&gt;B497,"",(D498-B495)*B499+B496)))</f>
        <v>272800000</v>
      </c>
      <c r="F498" s="22">
        <f>IF(ISERR(E498-E497),IF(D498&gt;B497,F497,""),(E498-E496))</f>
        <v>272800000</v>
      </c>
      <c r="G498" s="21">
        <f>IF(ISERR(B494*F498),"",((B494*F498)))</f>
        <v>156314400000</v>
      </c>
    </row>
    <row r="499" spans="1:7" ht="12.75">
      <c r="A499" s="29" t="s">
        <v>136</v>
      </c>
      <c r="B499" s="27">
        <f>(B498-B496)/(B497-B495)</f>
        <v>136400000</v>
      </c>
      <c r="D499" s="25">
        <v>2011</v>
      </c>
      <c r="E499" s="23">
        <f>IF(D499&lt;B495,"",IF(D499=B495,B496,IF(D499&gt;B497,"",(D499-B495)*B499+B496)))</f>
        <v>409200000</v>
      </c>
      <c r="F499" s="22">
        <f>IF(ISERR(E499-E498),IF(D499&gt;B497,F498,""),(E499-E496))</f>
        <v>409200000</v>
      </c>
      <c r="G499" s="21">
        <f>IF(ISERR(B494*F499),"",((B494*F499)))</f>
        <v>234471600000</v>
      </c>
    </row>
    <row r="500" spans="1:7" ht="12.75">
      <c r="A500"/>
      <c r="D500" s="25">
        <v>2012</v>
      </c>
      <c r="E500" s="23">
        <f>IF(D500&lt;B495,"",IF(D500=B495,B496,IF(D500&gt;B497,"",(D500-B495)*B499+B496)))</f>
        <v>545600000</v>
      </c>
      <c r="F500" s="22">
        <f>IF(ISERR(E500-E499),IF(D500&gt;B497,F499,""),(E500-E496))</f>
        <v>545600000</v>
      </c>
      <c r="G500" s="21">
        <f>IF(ISERR(B494*F500),"",((B494*F500)))</f>
        <v>312628800000</v>
      </c>
    </row>
    <row r="501" spans="1:7" ht="12.75">
      <c r="A501"/>
      <c r="D501" s="25">
        <v>2013</v>
      </c>
      <c r="E501" s="23">
        <f>IF(D501&lt;B495,"",IF(D501=B495,B496,IF(D501&gt;B497,"",(D501-B495)*B499+B496)))</f>
        <v>682000000</v>
      </c>
      <c r="F501" s="22">
        <f>IF(ISERR(E501-E500),IF(D501&gt;B497,F500,""),(E501-E496))</f>
        <v>682000000</v>
      </c>
      <c r="G501" s="21">
        <f>IF(ISERR(B494*F501),"",((B494*F501)))</f>
        <v>390786000000</v>
      </c>
    </row>
    <row r="502" spans="1:7" ht="12.75">
      <c r="A502" t="s">
        <v>1010</v>
      </c>
      <c r="B502" s="27">
        <f>VLOOKUP(B497,D493:G518,4,FALSE)</f>
        <v>390786000000</v>
      </c>
      <c r="D502" s="25">
        <v>2014</v>
      </c>
      <c r="E502" s="23">
        <f>IF(D502&lt;B495,"",IF(D502=B495,B496,IF(D502&gt;B497,"",(D502-B495)*B499+B496)))</f>
      </c>
      <c r="F502" s="22">
        <f>IF(ISERR(E502-E501),IF(D502&gt;B497,F501,""),(E502-E496))</f>
        <v>682000000</v>
      </c>
      <c r="G502" s="21">
        <f>IF(ISERR(B494*F502),"",((B494*F502)))</f>
        <v>390786000000</v>
      </c>
    </row>
    <row r="503" spans="1:7" ht="12.75">
      <c r="A503" t="s">
        <v>1009</v>
      </c>
      <c r="B503" s="27">
        <f>SUM(G497:G518)</f>
        <v>7815720000000</v>
      </c>
      <c r="D503" s="25">
        <v>2015</v>
      </c>
      <c r="E503" s="23">
        <f>IF(D503&lt;B495,"",IF(D503=B495,B496,IF(D503&gt;B497,"",(D503-B495)*B499+B496)))</f>
      </c>
      <c r="F503" s="22">
        <f>IF(ISERR(E503-E502),IF(D503&gt;B497,F502,""),(E503-E496))</f>
        <v>682000000</v>
      </c>
      <c r="G503" s="21">
        <f>IF(ISERR(B494*F503),"",((B494*F503)))</f>
        <v>390786000000</v>
      </c>
    </row>
    <row r="504" spans="1:7" ht="12.75">
      <c r="A504" t="s">
        <v>1008</v>
      </c>
      <c r="B504" s="26">
        <f>B502/(10^12)</f>
        <v>0.390786</v>
      </c>
      <c r="D504" s="25">
        <v>2016</v>
      </c>
      <c r="E504" s="23">
        <f>IF(D504&lt;B495,"",IF(D504=B495,B496,IF(D504&gt;B497,"",(D504-B495)*B499+B496)))</f>
      </c>
      <c r="F504" s="22">
        <f>IF(ISERR(E504-E503),IF(D504&gt;B497,F503,""),(E504-E496))</f>
        <v>682000000</v>
      </c>
      <c r="G504" s="21">
        <f>IF(ISERR(B494*F504),"",((B494*F504)))</f>
        <v>390786000000</v>
      </c>
    </row>
    <row r="505" spans="1:7" ht="12.75">
      <c r="A505" t="s">
        <v>1007</v>
      </c>
      <c r="B505" s="26">
        <f>B503/(10^12)</f>
        <v>7.81572</v>
      </c>
      <c r="D505" s="25">
        <v>2017</v>
      </c>
      <c r="E505" s="23">
        <f>IF(D505&lt;B495,"",IF(D505=B495,B496,IF(D505&gt;B497,"",(D505-B495)*B499+B496)))</f>
      </c>
      <c r="F505" s="22">
        <f>IF(ISERR(E505-E504),IF(D505&gt;B497,F504,""),(E505-E496))</f>
        <v>682000000</v>
      </c>
      <c r="G505" s="21">
        <f>IF(ISERR(B494*F505),"",((B494*F505)))</f>
        <v>390786000000</v>
      </c>
    </row>
    <row r="506" spans="1:7" ht="12.75">
      <c r="A506"/>
      <c r="D506" s="25">
        <v>2018</v>
      </c>
      <c r="E506" s="23">
        <f>IF(D506&lt;B495,"",IF(D506=B495,B496,IF(D506&gt;B497,"",(D506-B495)*B499+B496)))</f>
      </c>
      <c r="F506" s="22">
        <f>IF(ISERR(E506-E505),IF(D506&gt;B497,F505,""),(E506-E496))</f>
        <v>682000000</v>
      </c>
      <c r="G506" s="21">
        <f>IF(ISERR(B494*F506),"",((B494*F506)))</f>
        <v>390786000000</v>
      </c>
    </row>
    <row r="507" spans="1:7" ht="12.75">
      <c r="A507"/>
      <c r="D507" s="25">
        <v>2019</v>
      </c>
      <c r="E507" s="23">
        <f>IF(D507&lt;B495,"",IF(D507=B495,B496,IF(D507&gt;B497,"",(D507-B495)*B499+B496)))</f>
      </c>
      <c r="F507" s="22">
        <f>IF(ISERR(E507-E506),IF(D507&gt;B497,F506,""),(E507-E496))</f>
        <v>682000000</v>
      </c>
      <c r="G507" s="21">
        <f>IF(ISERR(B494*F507),"",((B494*F507)))</f>
        <v>390786000000</v>
      </c>
    </row>
    <row r="508" spans="1:7" ht="12.75">
      <c r="A508"/>
      <c r="D508" s="25">
        <v>2020</v>
      </c>
      <c r="E508" s="23">
        <f>IF(D508&lt;B495,"",IF(D508=B495,B496,IF(D508&gt;B497,"",(D508-B495)*B499+B496)))</f>
      </c>
      <c r="F508" s="22">
        <f>IF(ISERR(E508-E507),IF(D508&gt;B497,F507,""),(E508-E496))</f>
        <v>682000000</v>
      </c>
      <c r="G508" s="21">
        <f>IF(ISERR(B494*F508),"",((B494*F508)))</f>
        <v>390786000000</v>
      </c>
    </row>
    <row r="509" spans="1:7" ht="12.75">
      <c r="A509"/>
      <c r="D509" s="25">
        <v>2021</v>
      </c>
      <c r="E509" s="23">
        <f>IF(D509&lt;B495,"",IF(D509=B495,B496,IF(D509&gt;B497,"",(D509-B495)*B499+B496)))</f>
      </c>
      <c r="F509" s="22">
        <f>IF(ISERR(E509-E508),IF(D509&gt;B497,F508,""),(E509-E496))</f>
        <v>682000000</v>
      </c>
      <c r="G509" s="21">
        <f>IF(ISERR(B494*F509),"",((B494*F509)))</f>
        <v>390786000000</v>
      </c>
    </row>
    <row r="510" spans="1:7" ht="12.75">
      <c r="A510"/>
      <c r="D510" s="25">
        <v>2022</v>
      </c>
      <c r="E510" s="23">
        <f>IF(D510&lt;B495,"",IF(D510=B495,B496,IF(D510&gt;B497,"",(D510-B495)*B499+B496)))</f>
      </c>
      <c r="F510" s="22">
        <f>IF(ISERR(E510-E509),IF(D510&gt;B497,F509,""),(E510-E496))</f>
        <v>682000000</v>
      </c>
      <c r="G510" s="21">
        <f>IF(ISERR(B494*F510),"",((B494*F510)))</f>
        <v>390786000000</v>
      </c>
    </row>
    <row r="511" spans="1:7" ht="12.75">
      <c r="A511"/>
      <c r="D511" s="25">
        <v>2023</v>
      </c>
      <c r="E511" s="23">
        <f>IF(D511&lt;B495,"",IF(D511=B495,B496,IF(D511&gt;B497,"",(D511-B495)*B499+B496)))</f>
      </c>
      <c r="F511" s="22">
        <f>IF(ISERR(E511-E510),IF(D511&gt;B497,F510,""),(E511-E496))</f>
        <v>682000000</v>
      </c>
      <c r="G511" s="21">
        <f>IF(ISERR(B494*F511),"",((B494*F511)))</f>
        <v>390786000000</v>
      </c>
    </row>
    <row r="512" spans="1:7" ht="12.75">
      <c r="A512"/>
      <c r="D512" s="25">
        <v>2024</v>
      </c>
      <c r="E512" s="23">
        <f>IF(D512&lt;B495,"",IF(D512=B495,B496,IF(D512&gt;B497,"",(D512-B495)*B499+B496)))</f>
      </c>
      <c r="F512" s="22">
        <f>IF(ISERR(E512-E511),IF(D512&gt;B497,F511,""),(E512-E496))</f>
        <v>682000000</v>
      </c>
      <c r="G512" s="21">
        <f>IF(ISERR(B494*F512),"",((B494*F512)))</f>
        <v>390786000000</v>
      </c>
    </row>
    <row r="513" spans="1:7" ht="12.75">
      <c r="A513"/>
      <c r="D513" s="25">
        <v>2025</v>
      </c>
      <c r="E513" s="23">
        <f>IF(D513&lt;B495,"",IF(D513=B495,B496,IF(D513&gt;B497,"",(D513-B495)*B499+B496)))</f>
      </c>
      <c r="F513" s="22">
        <f>IF(ISERR(E513-E512),IF(D513&gt;B497,F512,""),(E513-E496))</f>
        <v>682000000</v>
      </c>
      <c r="G513" s="21">
        <f>IF(ISERR(B494*F513),"",((B494*F513)))</f>
        <v>390786000000</v>
      </c>
    </row>
    <row r="514" spans="1:7" ht="12.75">
      <c r="A514"/>
      <c r="D514" s="25">
        <v>2026</v>
      </c>
      <c r="E514" s="23">
        <f>IF(D514&lt;B495,"",IF(D514=B495,B496,IF(D514&gt;B497,"",(D514-B495)*B499+B496)))</f>
      </c>
      <c r="F514" s="22">
        <f>IF(ISERR(E514-E513),IF(D514&gt;B497,F513,""),(E514-E496))</f>
        <v>682000000</v>
      </c>
      <c r="G514" s="21">
        <f>IF(ISERR(B494*F514),"",((B494*F514)))</f>
        <v>390786000000</v>
      </c>
    </row>
    <row r="515" spans="1:7" ht="12.75">
      <c r="A515"/>
      <c r="D515" s="25">
        <v>2027</v>
      </c>
      <c r="E515" s="23">
        <f>IF(D515&lt;B495,"",IF(D515=B495,B496,IF(D515&gt;B497,"",(D515-B495)*B499+B496)))</f>
      </c>
      <c r="F515" s="22">
        <f>IF(ISERR(E515-E514),IF(D515&gt;B497,F514,""),(E515-E496))</f>
        <v>682000000</v>
      </c>
      <c r="G515" s="21">
        <f>IF(ISERR(B494*F515),"",((B494*F515)))</f>
        <v>390786000000</v>
      </c>
    </row>
    <row r="516" spans="1:7" ht="12.75">
      <c r="A516"/>
      <c r="D516" s="25">
        <v>2028</v>
      </c>
      <c r="E516" s="23">
        <f>IF(D516&lt;B495,"",IF(D516=B495,B496,IF(D516&gt;B497,"",(D516-B495)*B499+B496)))</f>
      </c>
      <c r="F516" s="22">
        <f>IF(ISERR(E516-E515),IF(D516&gt;B497,F515,""),(E516-E496))</f>
        <v>682000000</v>
      </c>
      <c r="G516" s="21">
        <f>IF(ISERR(B494*F516),"",((B494*F516)))</f>
        <v>390786000000</v>
      </c>
    </row>
    <row r="517" spans="1:7" ht="12.75">
      <c r="A517"/>
      <c r="D517" s="25">
        <v>2029</v>
      </c>
      <c r="E517" s="23">
        <f>IF(D517&lt;B495,"",IF(D517=B495,B496,IF(D517&gt;B497,"",(D517-B495)*B499+B496)))</f>
      </c>
      <c r="F517" s="22">
        <f>IF(ISERR(E517-E516),IF(D517&gt;B497,F516,""),(E517-E496))</f>
        <v>682000000</v>
      </c>
      <c r="G517" s="21">
        <f>IF(ISERR(B494*F517),"",((B494*F517)))</f>
        <v>390786000000</v>
      </c>
    </row>
    <row r="518" spans="1:7" ht="13.5" thickBot="1">
      <c r="A518"/>
      <c r="D518" s="20">
        <v>2030</v>
      </c>
      <c r="E518" s="18">
        <f>IF(D518&lt;B495,"",IF(D518=B495,B496,IF(D518&gt;B497,"",(D518-B495)*B499+B496)))</f>
      </c>
      <c r="F518" s="17">
        <f>IF(ISERR(E518-E517),IF(D518&gt;B497,F517,""),(E518-E496))</f>
        <v>682000000</v>
      </c>
      <c r="G518" s="16">
        <f>IF(ISERR(B494*F518),"",((B494*F518)))</f>
        <v>390786000000</v>
      </c>
    </row>
    <row r="519" spans="1:6" s="74" customFormat="1" ht="12.75">
      <c r="A519" s="81"/>
      <c r="B519" s="80"/>
      <c r="C519" s="80"/>
      <c r="D519" s="80"/>
      <c r="E519" s="79"/>
      <c r="F519" s="88"/>
    </row>
    <row r="521" spans="1:7" s="74" customFormat="1" ht="12.75">
      <c r="A521" s="81"/>
      <c r="B521" s="80"/>
      <c r="C521" s="80"/>
      <c r="D521" s="80"/>
      <c r="E521" s="79"/>
      <c r="F521" s="78"/>
      <c r="G521" s="87"/>
    </row>
    <row r="523" spans="1:9" ht="12.75" customHeight="1">
      <c r="A523" s="466" t="s">
        <v>1006</v>
      </c>
      <c r="B523" s="461"/>
      <c r="C523" s="461"/>
      <c r="D523" s="461"/>
      <c r="E523" s="461"/>
      <c r="F523" s="461"/>
      <c r="G523" s="86"/>
      <c r="H523" s="55"/>
      <c r="I523" s="54"/>
    </row>
    <row r="524" spans="1:9" ht="12" customHeight="1">
      <c r="A524" s="468" t="s">
        <v>1005</v>
      </c>
      <c r="B524" s="463"/>
      <c r="C524" s="463"/>
      <c r="D524" s="463"/>
      <c r="E524" s="463"/>
      <c r="F524" s="463"/>
      <c r="G524" s="52"/>
      <c r="H524" s="52"/>
      <c r="I524" s="51"/>
    </row>
    <row r="525" spans="1:9" ht="39" customHeight="1">
      <c r="A525" s="470" t="s">
        <v>1004</v>
      </c>
      <c r="B525" s="446"/>
      <c r="C525" s="446"/>
      <c r="D525" s="446"/>
      <c r="E525" s="446"/>
      <c r="F525" s="446"/>
      <c r="G525" s="52"/>
      <c r="H525" s="52"/>
      <c r="I525" s="51"/>
    </row>
    <row r="526" spans="1:9" ht="12.75">
      <c r="A526" s="459" t="s">
        <v>1084</v>
      </c>
      <c r="B526" s="460"/>
      <c r="C526" s="460"/>
      <c r="D526" s="49"/>
      <c r="E526" s="49"/>
      <c r="F526" s="49"/>
      <c r="G526" s="49"/>
      <c r="H526" s="49"/>
      <c r="I526" s="48"/>
    </row>
    <row r="527" ht="12.75" customHeight="1" thickBot="1"/>
    <row r="528" spans="1:7" ht="51">
      <c r="A528" t="s">
        <v>1083</v>
      </c>
      <c r="D528" s="46" t="s">
        <v>1082</v>
      </c>
      <c r="E528" s="45" t="s">
        <v>1081</v>
      </c>
      <c r="F528" s="45" t="s">
        <v>1080</v>
      </c>
      <c r="G528" s="44" t="s">
        <v>1079</v>
      </c>
    </row>
    <row r="529" spans="1:7" ht="13.5" thickBot="1">
      <c r="A529" t="s">
        <v>1078</v>
      </c>
      <c r="B529" s="57"/>
      <c r="D529" s="43"/>
      <c r="E529" s="41"/>
      <c r="F529" s="41" t="s">
        <v>1077</v>
      </c>
      <c r="G529" s="40" t="s">
        <v>1076</v>
      </c>
    </row>
    <row r="530" spans="1:7" ht="13.5" thickTop="1">
      <c r="A530" t="s">
        <v>962</v>
      </c>
      <c r="C530" s="30"/>
      <c r="D530" s="25">
        <v>2005</v>
      </c>
      <c r="E530" s="23">
        <f>IF(D530&lt;B532,"",IF(D530=B532,B533,IF(D530&gt;B534,"",(D530-B532)*B536+B533)))</f>
      </c>
      <c r="F530" s="39"/>
      <c r="G530" s="38"/>
    </row>
    <row r="531" spans="1:7" ht="12.75">
      <c r="A531" t="s">
        <v>961</v>
      </c>
      <c r="B531" s="37">
        <v>573</v>
      </c>
      <c r="D531" s="25">
        <v>2006</v>
      </c>
      <c r="E531" s="23">
        <f>IF(D531&lt;B532,"",IF(D531=B532,B533,IF(D531&gt;B534,"",(D531-B532)*B536+B533)))</f>
      </c>
      <c r="F531" s="23"/>
      <c r="G531" s="34"/>
    </row>
    <row r="532" spans="1:7" ht="12.75">
      <c r="A532" t="s">
        <v>966</v>
      </c>
      <c r="B532" s="37">
        <v>2008</v>
      </c>
      <c r="D532" s="25">
        <v>2007</v>
      </c>
      <c r="E532" s="23">
        <f>IF(D532&lt;B532,"",IF(D532=B532,B533,IF(D532&gt;B534,"",(D532-B532)*B536+B533)))</f>
      </c>
      <c r="F532" s="23"/>
      <c r="G532" s="34"/>
    </row>
    <row r="533" spans="1:7" s="33" customFormat="1" ht="12.75">
      <c r="A533" s="33" t="s">
        <v>965</v>
      </c>
      <c r="B533" s="84">
        <v>0</v>
      </c>
      <c r="C533" s="35"/>
      <c r="D533" s="25">
        <v>2008</v>
      </c>
      <c r="E533" s="23">
        <f>IF(D533&lt;B532,"",IF(D533=B532,B533,IF(D533&gt;B534,"",(D533-B532)*B536+B533)))</f>
        <v>0</v>
      </c>
      <c r="F533" s="23"/>
      <c r="G533" s="34"/>
    </row>
    <row r="534" spans="1:7" ht="12.75">
      <c r="A534" t="s">
        <v>964</v>
      </c>
      <c r="B534" s="32">
        <v>2025</v>
      </c>
      <c r="C534" s="30"/>
      <c r="D534" s="25">
        <v>2009</v>
      </c>
      <c r="E534" s="23">
        <f>IF(D534&lt;B532,"",IF(D534=B532,B533,IF(D534&gt;B534,"",(D534-B532)*B536+B533)))</f>
        <v>173529411.7647059</v>
      </c>
      <c r="F534" s="22">
        <f>IF(ISERR(E534-E533),IF(D534&gt;B534,F533,""),(E534-E533))</f>
        <v>173529411.7647059</v>
      </c>
      <c r="G534" s="21">
        <f>IF(ISERR(B531*F534),"",((B531*F534)))</f>
        <v>99432352941.17648</v>
      </c>
    </row>
    <row r="535" spans="1:7" ht="12.75">
      <c r="A535" t="s">
        <v>1048</v>
      </c>
      <c r="B535" s="58">
        <f>2950*10^6</f>
        <v>2950000000</v>
      </c>
      <c r="C535" s="30"/>
      <c r="D535" s="25">
        <v>2010</v>
      </c>
      <c r="E535" s="23">
        <f>IF(D535&lt;B532,"",IF(D535=B532,B533,IF(D535&gt;B534,"",(D535-B532)*B536+B533)))</f>
        <v>347058823.5294118</v>
      </c>
      <c r="F535" s="22">
        <f>IF(ISERR(E535-E534),IF(D535&gt;B534,F534,""),(E535-E533))</f>
        <v>347058823.5294118</v>
      </c>
      <c r="G535" s="21">
        <f>IF(ISERR(B531*F535),"",((B531*F535)))</f>
        <v>198864705882.35297</v>
      </c>
    </row>
    <row r="536" spans="1:7" ht="12.75">
      <c r="A536" s="29" t="s">
        <v>1047</v>
      </c>
      <c r="B536" s="27">
        <f>(B535-B533)/(B534-B532)</f>
        <v>173529411.7647059</v>
      </c>
      <c r="D536" s="25">
        <v>2011</v>
      </c>
      <c r="E536" s="23">
        <f>IF(D536&lt;B532,"",IF(D536=B532,B533,IF(D536&gt;B534,"",(D536-B532)*B536+B533)))</f>
        <v>520588235.2941177</v>
      </c>
      <c r="F536" s="22">
        <f>IF(ISERR(E536-E535),IF(D536&gt;B534,F535,""),(E536-E533))</f>
        <v>520588235.2941177</v>
      </c>
      <c r="G536" s="21">
        <f>IF(ISERR(B531*F536),"",((B531*F536)))</f>
        <v>298297058823.5294</v>
      </c>
    </row>
    <row r="537" spans="1:7" ht="12.75">
      <c r="A537"/>
      <c r="D537" s="25">
        <v>2012</v>
      </c>
      <c r="E537" s="23">
        <f>IF(D537&lt;B532,"",IF(D537=B532,B533,IF(D537&gt;B534,"",(D537-B532)*B536+B533)))</f>
        <v>694117647.0588236</v>
      </c>
      <c r="F537" s="22">
        <f>IF(ISERR(E537-E536),IF(D537&gt;B534,F536,""),(E537-E533))</f>
        <v>694117647.0588236</v>
      </c>
      <c r="G537" s="21">
        <f>IF(ISERR(B531*F537),"",((B531*F537)))</f>
        <v>397729411764.70593</v>
      </c>
    </row>
    <row r="538" spans="1:7" ht="12.75">
      <c r="A538"/>
      <c r="D538" s="25">
        <v>2013</v>
      </c>
      <c r="E538" s="23">
        <f>IF(D538&lt;B532,"",IF(D538=B532,B533,IF(D538&gt;B534,"",(D538-B532)*B536+B533)))</f>
        <v>867647058.8235295</v>
      </c>
      <c r="F538" s="22">
        <f>IF(ISERR(E538-E537),IF(D538&gt;B534,F537,""),(E538-E533))</f>
        <v>867647058.8235295</v>
      </c>
      <c r="G538" s="21">
        <f>IF(ISERR(B531*F538),"",((B531*F538)))</f>
        <v>497161764705.8824</v>
      </c>
    </row>
    <row r="539" spans="1:7" ht="12.75">
      <c r="A539" t="s">
        <v>1046</v>
      </c>
      <c r="B539" s="27">
        <f>VLOOKUP(B534,D530:G555,4,FALSE)</f>
        <v>1690350000000</v>
      </c>
      <c r="D539" s="25">
        <v>2014</v>
      </c>
      <c r="E539" s="23">
        <f>IF(D539&lt;B532,"",IF(D539=B532,B533,IF(D539&gt;B534,"",(D539-B532)*B536+B533)))</f>
        <v>1041176470.5882354</v>
      </c>
      <c r="F539" s="22">
        <f>IF(ISERR(E539-E538),IF(D539&gt;B534,F538,""),(E539-E533))</f>
        <v>1041176470.5882354</v>
      </c>
      <c r="G539" s="21">
        <f>IF(ISERR(B531*F539),"",((B531*F539)))</f>
        <v>596594117647.0588</v>
      </c>
    </row>
    <row r="540" spans="1:7" ht="12.75">
      <c r="A540" t="s">
        <v>1045</v>
      </c>
      <c r="B540" s="27">
        <f>SUM(G534:G555)</f>
        <v>23664900000000</v>
      </c>
      <c r="D540" s="25">
        <v>2015</v>
      </c>
      <c r="E540" s="23">
        <f>IF(D540&lt;B532,"",IF(D540=B532,B533,IF(D540&gt;B534,"",(D540-B532)*B536+B533)))</f>
        <v>1214705882.3529413</v>
      </c>
      <c r="F540" s="22">
        <f>IF(ISERR(E540-E539),IF(D540&gt;B534,F539,""),(E540-E533))</f>
        <v>1214705882.3529413</v>
      </c>
      <c r="G540" s="21">
        <f>IF(ISERR(B531*F540),"",((B531*F540)))</f>
        <v>696026470588.2354</v>
      </c>
    </row>
    <row r="541" spans="1:7" ht="12.75">
      <c r="A541" t="s">
        <v>1044</v>
      </c>
      <c r="B541" s="26">
        <f>B539/(10^12)</f>
        <v>1.69035</v>
      </c>
      <c r="D541" s="25">
        <v>2016</v>
      </c>
      <c r="E541" s="23">
        <f>IF(D541&lt;B532,"",IF(D541=B532,B533,IF(D541&gt;B534,"",(D541-B532)*B536+B533)))</f>
        <v>1388235294.1176472</v>
      </c>
      <c r="F541" s="22">
        <f>IF(ISERR(E541-E540),IF(D541&gt;B534,F540,""),(E541-E533))</f>
        <v>1388235294.1176472</v>
      </c>
      <c r="G541" s="21">
        <f>IF(ISERR(B531*F541),"",((B531*F541)))</f>
        <v>795458823529.4119</v>
      </c>
    </row>
    <row r="542" spans="1:7" ht="12.75">
      <c r="A542" t="s">
        <v>1043</v>
      </c>
      <c r="B542" s="26">
        <f>B540/(10^12)</f>
        <v>23.6649</v>
      </c>
      <c r="D542" s="25">
        <v>2017</v>
      </c>
      <c r="E542" s="23">
        <f>IF(D542&lt;B532,"",IF(D542=B532,B533,IF(D542&gt;B534,"",(D542-B532)*B536+B533)))</f>
        <v>1561764705.882353</v>
      </c>
      <c r="F542" s="22">
        <f>IF(ISERR(E542-E541),IF(D542&gt;B534,F541,""),(E542-E533))</f>
        <v>1561764705.882353</v>
      </c>
      <c r="G542" s="21">
        <f>IF(ISERR(B531*F542),"",((B531*F542)))</f>
        <v>894891176470.5883</v>
      </c>
    </row>
    <row r="543" spans="1:7" ht="12.75">
      <c r="A543"/>
      <c r="D543" s="25">
        <v>2018</v>
      </c>
      <c r="E543" s="23">
        <f>IF(D543&lt;B532,"",IF(D543=B532,B533,IF(D543&gt;B534,"",(D543-B532)*B536+B533)))</f>
        <v>1735294117.647059</v>
      </c>
      <c r="F543" s="22">
        <f>IF(ISERR(E543-E542),IF(D543&gt;B534,F542,""),(E543-E533))</f>
        <v>1735294117.647059</v>
      </c>
      <c r="G543" s="21">
        <f>IF(ISERR(B531*F543),"",((B531*F543)))</f>
        <v>994323529411.7648</v>
      </c>
    </row>
    <row r="544" spans="1:7" ht="12.75">
      <c r="A544"/>
      <c r="D544" s="25">
        <v>2019</v>
      </c>
      <c r="E544" s="23">
        <f>IF(D544&lt;B532,"",IF(D544=B532,B533,IF(D544&gt;B534,"",(D544-B532)*B536+B533)))</f>
        <v>1908823529.4117649</v>
      </c>
      <c r="F544" s="22">
        <f>IF(ISERR(E544-E543),IF(D544&gt;B534,F543,""),(E544-E533))</f>
        <v>1908823529.4117649</v>
      </c>
      <c r="G544" s="21">
        <f>IF(ISERR(B531*F544),"",((B531*F544)))</f>
        <v>1093755882352.9413</v>
      </c>
    </row>
    <row r="545" spans="1:7" ht="12.75">
      <c r="A545"/>
      <c r="D545" s="25">
        <v>2020</v>
      </c>
      <c r="E545" s="23">
        <f>IF(D545&lt;B532,"",IF(D545=B532,B533,IF(D545&gt;B534,"",(D545-B532)*B536+B533)))</f>
        <v>2082352941.1764708</v>
      </c>
      <c r="F545" s="22">
        <f>IF(ISERR(E545-E544),IF(D545&gt;B534,F544,""),(E545-E533))</f>
        <v>2082352941.1764708</v>
      </c>
      <c r="G545" s="21">
        <f>IF(ISERR(B531*F545),"",((B531*F545)))</f>
        <v>1193188235294.1177</v>
      </c>
    </row>
    <row r="546" spans="1:7" ht="12.75">
      <c r="A546"/>
      <c r="D546" s="25">
        <v>2021</v>
      </c>
      <c r="E546" s="23">
        <f>IF(D546&lt;B532,"",IF(D546=B532,B533,IF(D546&gt;B534,"",(D546-B532)*B536+B533)))</f>
        <v>2255882352.9411764</v>
      </c>
      <c r="F546" s="22">
        <f>IF(ISERR(E546-E545),IF(D546&gt;B534,F545,""),(E546-E533))</f>
        <v>2255882352.9411764</v>
      </c>
      <c r="G546" s="21">
        <f>IF(ISERR(B531*F546),"",((B531*F546)))</f>
        <v>1292620588235.2942</v>
      </c>
    </row>
    <row r="547" spans="1:7" ht="12.75">
      <c r="A547"/>
      <c r="D547" s="25">
        <v>2022</v>
      </c>
      <c r="E547" s="23">
        <f>IF(D547&lt;B532,"",IF(D547=B532,B533,IF(D547&gt;B534,"",(D547-B532)*B536+B533)))</f>
        <v>2429411764.7058825</v>
      </c>
      <c r="F547" s="22">
        <f>IF(ISERR(E547-E546),IF(D547&gt;B534,F546,""),(E547-E533))</f>
        <v>2429411764.7058825</v>
      </c>
      <c r="G547" s="21">
        <f>IF(ISERR(B531*F547),"",((B531*F547)))</f>
        <v>1392052941176.4707</v>
      </c>
    </row>
    <row r="548" spans="1:7" ht="12.75">
      <c r="A548"/>
      <c r="D548" s="25">
        <v>2023</v>
      </c>
      <c r="E548" s="23">
        <f>IF(D548&lt;B532,"",IF(D548=B532,B533,IF(D548&gt;B534,"",(D548-B532)*B536+B533)))</f>
        <v>2602941176.4705887</v>
      </c>
      <c r="F548" s="22">
        <f>IF(ISERR(E548-E547),IF(D548&gt;B534,F547,""),(E548-E533))</f>
        <v>2602941176.4705887</v>
      </c>
      <c r="G548" s="21">
        <f>IF(ISERR(B531*F548),"",((B531*F548)))</f>
        <v>1491485294117.6472</v>
      </c>
    </row>
    <row r="549" spans="1:7" ht="12.75">
      <c r="A549"/>
      <c r="D549" s="25">
        <v>2024</v>
      </c>
      <c r="E549" s="23">
        <f>IF(D549&lt;B532,"",IF(D549=B532,B533,IF(D549&gt;B534,"",(D549-B532)*B536+B533)))</f>
        <v>2776470588.2352943</v>
      </c>
      <c r="F549" s="22">
        <f>IF(ISERR(E549-E548),IF(D549&gt;B534,F548,""),(E549-E533))</f>
        <v>2776470588.2352943</v>
      </c>
      <c r="G549" s="21">
        <f>IF(ISERR(B531*F549),"",((B531*F549)))</f>
        <v>1590917647058.8237</v>
      </c>
    </row>
    <row r="550" spans="1:7" ht="12.75">
      <c r="A550"/>
      <c r="D550" s="25">
        <v>2025</v>
      </c>
      <c r="E550" s="23">
        <f>IF(D550&lt;B532,"",IF(D550=B532,B533,IF(D550&gt;B534,"",(D550-B532)*B536+B533)))</f>
        <v>2950000000</v>
      </c>
      <c r="F550" s="22">
        <f>IF(ISERR(E550-E549),IF(D550&gt;B534,F549,""),(E550-E533))</f>
        <v>2950000000</v>
      </c>
      <c r="G550" s="21">
        <f>IF(ISERR(B531*F550),"",((B531*F550)))</f>
        <v>1690350000000</v>
      </c>
    </row>
    <row r="551" spans="1:7" ht="12.75">
      <c r="A551"/>
      <c r="D551" s="25">
        <v>2026</v>
      </c>
      <c r="E551" s="23">
        <f>IF(D551&lt;B532,"",IF(D551=B532,B533,IF(D551&gt;B534,"",(D551-B532)*B536+B533)))</f>
      </c>
      <c r="F551" s="22">
        <f>IF(ISERR(E551-E550),IF(D551&gt;B534,F550,""),(E551-E533))</f>
        <v>2950000000</v>
      </c>
      <c r="G551" s="21">
        <f>IF(ISERR(B531*F551),"",((B531*F551)))</f>
        <v>1690350000000</v>
      </c>
    </row>
    <row r="552" spans="1:7" ht="12.75">
      <c r="A552"/>
      <c r="D552" s="25">
        <v>2027</v>
      </c>
      <c r="E552" s="23">
        <f>IF(D552&lt;B532,"",IF(D552=B532,B533,IF(D552&gt;B534,"",(D552-B532)*B536+B533)))</f>
      </c>
      <c r="F552" s="22">
        <f>IF(ISERR(E552-E551),IF(D552&gt;B534,F551,""),(E552-E533))</f>
        <v>2950000000</v>
      </c>
      <c r="G552" s="21">
        <f>IF(ISERR(B531*F552),"",((B531*F552)))</f>
        <v>1690350000000</v>
      </c>
    </row>
    <row r="553" spans="1:7" ht="12.75">
      <c r="A553"/>
      <c r="D553" s="25">
        <v>2028</v>
      </c>
      <c r="E553" s="23">
        <f>IF(D553&lt;B532,"",IF(D553=B532,B533,IF(D553&gt;B534,"",(D553-B532)*B536+B533)))</f>
      </c>
      <c r="F553" s="22">
        <f>IF(ISERR(E553-E552),IF(D553&gt;B534,F552,""),(E553-E533))</f>
        <v>2950000000</v>
      </c>
      <c r="G553" s="21">
        <f>IF(ISERR(B531*F553),"",((B531*F553)))</f>
        <v>1690350000000</v>
      </c>
    </row>
    <row r="554" spans="1:7" ht="12.75">
      <c r="A554"/>
      <c r="D554" s="25">
        <v>2029</v>
      </c>
      <c r="E554" s="23">
        <f>IF(D554&lt;B532,"",IF(D554=B532,B533,IF(D554&gt;B534,"",(D554-B532)*B536+B533)))</f>
      </c>
      <c r="F554" s="22">
        <f>IF(ISERR(E554-E553),IF(D554&gt;B534,F553,""),(E554-E533))</f>
        <v>2950000000</v>
      </c>
      <c r="G554" s="21">
        <f>IF(ISERR(B531*F554),"",((B531*F554)))</f>
        <v>1690350000000</v>
      </c>
    </row>
    <row r="555" spans="1:7" ht="13.5" thickBot="1">
      <c r="A555"/>
      <c r="D555" s="20">
        <v>2030</v>
      </c>
      <c r="E555" s="18">
        <f>IF(D555&lt;B532,"",IF(D555=B532,B533,IF(D555&gt;B534,"",(D555-B532)*B536+B533)))</f>
      </c>
      <c r="F555" s="17">
        <f>IF(ISERR(E555-E554),IF(D555&gt;B534,F554,""),(E555-E533))</f>
        <v>2950000000</v>
      </c>
      <c r="G555" s="16">
        <f>IF(ISERR(B531*F555),"",((B531*F555)))</f>
        <v>1690350000000</v>
      </c>
    </row>
    <row r="556" ht="12.75" customHeight="1"/>
    <row r="558" spans="1:9" ht="12" customHeight="1">
      <c r="A558" s="466" t="s">
        <v>505</v>
      </c>
      <c r="B558" s="461"/>
      <c r="C558" s="461"/>
      <c r="D558" s="461"/>
      <c r="E558" s="461"/>
      <c r="F558" s="461"/>
      <c r="G558" s="86"/>
      <c r="H558" s="55"/>
      <c r="I558" s="54"/>
    </row>
    <row r="559" spans="1:9" ht="12" customHeight="1">
      <c r="A559" s="468" t="s">
        <v>111</v>
      </c>
      <c r="B559" s="463"/>
      <c r="C559" s="463"/>
      <c r="D559" s="463"/>
      <c r="E559" s="463"/>
      <c r="F559" s="463"/>
      <c r="G559" s="52"/>
      <c r="H559" s="52"/>
      <c r="I559" s="51"/>
    </row>
    <row r="560" spans="1:9" ht="12" customHeight="1">
      <c r="A560" s="470" t="s">
        <v>110</v>
      </c>
      <c r="B560" s="446"/>
      <c r="C560" s="446"/>
      <c r="D560" s="446"/>
      <c r="E560" s="446"/>
      <c r="F560" s="446"/>
      <c r="G560" s="52"/>
      <c r="H560" s="52"/>
      <c r="I560" s="51"/>
    </row>
    <row r="561" spans="1:9" ht="12" customHeight="1">
      <c r="A561" s="470" t="s">
        <v>1129</v>
      </c>
      <c r="B561" s="446"/>
      <c r="C561" s="446"/>
      <c r="D561" s="446"/>
      <c r="E561" s="446"/>
      <c r="F561" s="446"/>
      <c r="G561" s="52"/>
      <c r="H561" s="52"/>
      <c r="I561" s="51"/>
    </row>
    <row r="562" spans="1:9" ht="12.75">
      <c r="A562" s="459" t="s">
        <v>1121</v>
      </c>
      <c r="B562" s="460"/>
      <c r="C562" s="460"/>
      <c r="D562" s="49"/>
      <c r="E562" s="49"/>
      <c r="F562" s="49"/>
      <c r="G562" s="49"/>
      <c r="H562" s="49"/>
      <c r="I562" s="48"/>
    </row>
    <row r="563" ht="10.5" customHeight="1" thickBot="1"/>
    <row r="564" spans="1:7" ht="51">
      <c r="A564" t="s">
        <v>972</v>
      </c>
      <c r="D564" s="46" t="s">
        <v>971</v>
      </c>
      <c r="E564" s="45" t="s">
        <v>970</v>
      </c>
      <c r="F564" s="45" t="s">
        <v>969</v>
      </c>
      <c r="G564" s="44" t="s">
        <v>968</v>
      </c>
    </row>
    <row r="565" spans="1:7" ht="13.5" thickBot="1">
      <c r="A565" t="s">
        <v>967</v>
      </c>
      <c r="B565" s="57"/>
      <c r="D565" s="43"/>
      <c r="E565" s="41"/>
      <c r="F565" s="41" t="s">
        <v>885</v>
      </c>
      <c r="G565" s="40" t="s">
        <v>884</v>
      </c>
    </row>
    <row r="566" spans="1:7" ht="13.5" thickTop="1">
      <c r="A566" t="s">
        <v>962</v>
      </c>
      <c r="C566" s="30"/>
      <c r="D566" s="25">
        <v>2005</v>
      </c>
      <c r="E566" s="23">
        <f>IF(D566&lt;B568,"",IF(D566=B568,B569,IF(D566&gt;B570,"",(D566-B568)*B572+B569)))</f>
      </c>
      <c r="F566" s="39"/>
      <c r="G566" s="38"/>
    </row>
    <row r="567" spans="1:7" ht="12.75">
      <c r="A567" t="s">
        <v>961</v>
      </c>
      <c r="B567" s="37">
        <v>420</v>
      </c>
      <c r="D567" s="25">
        <v>2006</v>
      </c>
      <c r="E567" s="23">
        <f>IF(D567&lt;B568,"",IF(D567=B568,B569,IF(D567&gt;B570,"",(D567-B568)*B572+B569)))</f>
      </c>
      <c r="F567" s="23"/>
      <c r="G567" s="34"/>
    </row>
    <row r="568" spans="1:7" ht="12.75">
      <c r="A568" t="s">
        <v>966</v>
      </c>
      <c r="B568" s="37">
        <v>2008</v>
      </c>
      <c r="D568" s="25">
        <v>2007</v>
      </c>
      <c r="E568" s="23">
        <f>IF(D568&lt;B568,"",IF(D568=B568,B569,IF(D568&gt;B570,"",(D568-B568)*B572+B569)))</f>
      </c>
      <c r="F568" s="23"/>
      <c r="G568" s="34"/>
    </row>
    <row r="569" spans="1:7" s="33" customFormat="1" ht="12.75">
      <c r="A569" s="33" t="s">
        <v>965</v>
      </c>
      <c r="B569" s="84">
        <v>0</v>
      </c>
      <c r="C569" s="35"/>
      <c r="D569" s="25">
        <v>2008</v>
      </c>
      <c r="E569" s="23">
        <f>IF(D569&lt;B568,"",IF(D569=B568,B569,IF(D569&gt;B570,"",(D569-B568)*B572+B569)))</f>
        <v>0</v>
      </c>
      <c r="F569" s="23"/>
      <c r="G569" s="34"/>
    </row>
    <row r="570" spans="1:7" ht="12.75">
      <c r="A570" t="s">
        <v>964</v>
      </c>
      <c r="B570" s="32">
        <v>2013</v>
      </c>
      <c r="C570" s="30"/>
      <c r="D570" s="25">
        <v>2009</v>
      </c>
      <c r="E570" s="23">
        <f>IF(D570&lt;B568,"",IF(D570=B568,B569,IF(D570&gt;B570,"",(D570-B568)*B572+B569)))</f>
        <v>11352960</v>
      </c>
      <c r="F570" s="22">
        <f>IF(ISERR(E570-E569),IF(D570&gt;B570,F569,""),(E570-E569))</f>
        <v>11352960</v>
      </c>
      <c r="G570" s="21">
        <f>IF(ISERR(B567*F570),"",((B567*F570)))</f>
        <v>4768243200</v>
      </c>
    </row>
    <row r="571" spans="1:7" ht="12.75">
      <c r="A571" t="s">
        <v>1048</v>
      </c>
      <c r="B571" s="58">
        <v>56764800</v>
      </c>
      <c r="C571" s="30"/>
      <c r="D571" s="25">
        <v>2010</v>
      </c>
      <c r="E571" s="23">
        <f>IF(D571&lt;B568,"",IF(D571=B568,B569,IF(D571&gt;B570,"",(D571-B568)*B572+B569)))</f>
        <v>22705920</v>
      </c>
      <c r="F571" s="22">
        <f>IF(ISERR(E571-E570),IF(D571&gt;B570,F570,""),(E571-E569))</f>
        <v>22705920</v>
      </c>
      <c r="G571" s="21">
        <f>IF(ISERR(B567*F571),"",((B567*F571)))</f>
        <v>9536486400</v>
      </c>
    </row>
    <row r="572" spans="1:7" ht="12.75">
      <c r="A572" s="29" t="s">
        <v>1047</v>
      </c>
      <c r="B572" s="27">
        <f>(B571-B569)/(B570-B568)</f>
        <v>11352960</v>
      </c>
      <c r="D572" s="25">
        <v>2011</v>
      </c>
      <c r="E572" s="23">
        <f>IF(D572&lt;B568,"",IF(D572=B568,B569,IF(D572&gt;B570,"",(D572-B568)*B572+B569)))</f>
        <v>34058880</v>
      </c>
      <c r="F572" s="22">
        <f>IF(ISERR(E572-E571),IF(D572&gt;B570,F571,""),(E572-E569))</f>
        <v>34058880</v>
      </c>
      <c r="G572" s="21">
        <f>IF(ISERR(B567*F572),"",((B567*F572)))</f>
        <v>14304729600</v>
      </c>
    </row>
    <row r="573" spans="1:7" ht="12.75">
      <c r="A573"/>
      <c r="D573" s="25">
        <v>2012</v>
      </c>
      <c r="E573" s="23">
        <f>IF(D573&lt;B568,"",IF(D573=B568,B569,IF(D573&gt;B570,"",(D573-B568)*B572+B569)))</f>
        <v>45411840</v>
      </c>
      <c r="F573" s="22">
        <f>IF(ISERR(E573-E572),IF(D573&gt;B570,F572,""),(E573-E569))</f>
        <v>45411840</v>
      </c>
      <c r="G573" s="21">
        <f>IF(ISERR(B567*F573),"",((B567*F573)))</f>
        <v>19072972800</v>
      </c>
    </row>
    <row r="574" spans="1:7" ht="12.75">
      <c r="A574"/>
      <c r="D574" s="25">
        <v>2013</v>
      </c>
      <c r="E574" s="23">
        <f>IF(D574&lt;B568,"",IF(D574=B568,B569,IF(D574&gt;B570,"",(D574-B568)*B572+B569)))</f>
        <v>56764800</v>
      </c>
      <c r="F574" s="22">
        <f>IF(ISERR(E574-E573),IF(D574&gt;B570,F573,""),(E574-E569))</f>
        <v>56764800</v>
      </c>
      <c r="G574" s="21">
        <f>IF(ISERR(B567*F574),"",((B567*F574)))</f>
        <v>23841216000</v>
      </c>
    </row>
    <row r="575" spans="1:7" ht="12.75">
      <c r="A575" t="s">
        <v>1046</v>
      </c>
      <c r="B575" s="27">
        <f>VLOOKUP(B570,D566:G591,4,FALSE)</f>
        <v>23841216000</v>
      </c>
      <c r="D575" s="25">
        <v>2014</v>
      </c>
      <c r="E575" s="23">
        <f>IF(D575&lt;B568,"",IF(D575=B568,B569,IF(D575&gt;B570,"",(D575-B568)*B572+B569)))</f>
      </c>
      <c r="F575" s="22">
        <f>IF(ISERR(E575-E574),IF(D575&gt;B570,F574,""),(E575-E569))</f>
        <v>56764800</v>
      </c>
      <c r="G575" s="21">
        <f>IF(ISERR(B567*F575),"",((B567*F575)))</f>
        <v>23841216000</v>
      </c>
    </row>
    <row r="576" spans="1:7" ht="12.75">
      <c r="A576" t="s">
        <v>1045</v>
      </c>
      <c r="B576" s="27">
        <f>SUM(G570:G591)</f>
        <v>476824320000</v>
      </c>
      <c r="D576" s="25">
        <v>2015</v>
      </c>
      <c r="E576" s="23">
        <f>IF(D576&lt;B568,"",IF(D576=B568,B569,IF(D576&gt;B570,"",(D576-B568)*B572+B569)))</f>
      </c>
      <c r="F576" s="22">
        <f>IF(ISERR(E576-E575),IF(D576&gt;B570,F575,""),(E576-E569))</f>
        <v>56764800</v>
      </c>
      <c r="G576" s="21">
        <f>IF(ISERR(B567*F576),"",((B567*F576)))</f>
        <v>23841216000</v>
      </c>
    </row>
    <row r="577" spans="1:7" ht="12.75">
      <c r="A577" t="s">
        <v>1044</v>
      </c>
      <c r="B577" s="26">
        <f>B575/(10^12)</f>
        <v>0.023841216</v>
      </c>
      <c r="D577" s="25">
        <v>2016</v>
      </c>
      <c r="E577" s="23">
        <f>IF(D577&lt;B568,"",IF(D577=B568,B569,IF(D577&gt;B570,"",(D577-B568)*B572+B569)))</f>
      </c>
      <c r="F577" s="22">
        <f>IF(ISERR(E577-E576),IF(D577&gt;B570,F576,""),(E577-E569))</f>
        <v>56764800</v>
      </c>
      <c r="G577" s="21">
        <f>IF(ISERR(B567*F577),"",((B567*F577)))</f>
        <v>23841216000</v>
      </c>
    </row>
    <row r="578" spans="1:7" ht="12.75">
      <c r="A578" t="s">
        <v>1043</v>
      </c>
      <c r="B578" s="26">
        <f>B576/(10^12)</f>
        <v>0.47682432</v>
      </c>
      <c r="D578" s="25">
        <v>2017</v>
      </c>
      <c r="E578" s="23">
        <f>IF(D578&lt;B568,"",IF(D578=B568,B569,IF(D578&gt;B570,"",(D578-B568)*B572+B569)))</f>
      </c>
      <c r="F578" s="22">
        <f>IF(ISERR(E578-E577),IF(D578&gt;B570,F577,""),(E578-E569))</f>
        <v>56764800</v>
      </c>
      <c r="G578" s="21">
        <f>IF(ISERR(B567*F578),"",((B567*F578)))</f>
        <v>23841216000</v>
      </c>
    </row>
    <row r="579" spans="1:7" ht="12.75">
      <c r="A579"/>
      <c r="D579" s="25">
        <v>2018</v>
      </c>
      <c r="E579" s="23">
        <f>IF(D579&lt;B568,"",IF(D579=B568,B569,IF(D579&gt;B570,"",(D579-B568)*B572+B569)))</f>
      </c>
      <c r="F579" s="22">
        <f>IF(ISERR(E579-E578),IF(D579&gt;B570,F578,""),(E579-E569))</f>
        <v>56764800</v>
      </c>
      <c r="G579" s="21">
        <f>IF(ISERR(B567*F579),"",((B567*F579)))</f>
        <v>23841216000</v>
      </c>
    </row>
    <row r="580" spans="1:7" ht="12.75">
      <c r="A580"/>
      <c r="D580" s="25">
        <v>2019</v>
      </c>
      <c r="E580" s="23">
        <f>IF(D580&lt;B568,"",IF(D580=B568,B569,IF(D580&gt;B570,"",(D580-B568)*B572+B569)))</f>
      </c>
      <c r="F580" s="22">
        <f>IF(ISERR(E580-E579),IF(D580&gt;B570,F579,""),(E580-E569))</f>
        <v>56764800</v>
      </c>
      <c r="G580" s="21">
        <f>IF(ISERR(B567*F580),"",((B567*F580)))</f>
        <v>23841216000</v>
      </c>
    </row>
    <row r="581" spans="1:7" ht="12.75">
      <c r="A581"/>
      <c r="D581" s="25">
        <v>2020</v>
      </c>
      <c r="E581" s="23">
        <f>IF(D581&lt;B568,"",IF(D581=B568,B569,IF(D581&gt;B570,"",(D581-B568)*B572+B569)))</f>
      </c>
      <c r="F581" s="22">
        <f>IF(ISERR(E581-E580),IF(D581&gt;B570,F580,""),(E581-E569))</f>
        <v>56764800</v>
      </c>
      <c r="G581" s="21">
        <f>IF(ISERR(B567*F581),"",((B567*F581)))</f>
        <v>23841216000</v>
      </c>
    </row>
    <row r="582" spans="1:7" ht="12.75">
      <c r="A582"/>
      <c r="D582" s="25">
        <v>2021</v>
      </c>
      <c r="E582" s="23">
        <f>IF(D582&lt;B568,"",IF(D582=B568,B569,IF(D582&gt;B570,"",(D582-B568)*B572+B569)))</f>
      </c>
      <c r="F582" s="22">
        <f>IF(ISERR(E582-E581),IF(D582&gt;B570,F581,""),(E582-E569))</f>
        <v>56764800</v>
      </c>
      <c r="G582" s="21">
        <f>IF(ISERR(B567*F582),"",((B567*F582)))</f>
        <v>23841216000</v>
      </c>
    </row>
    <row r="583" spans="1:7" ht="12.75">
      <c r="A583"/>
      <c r="D583" s="25">
        <v>2022</v>
      </c>
      <c r="E583" s="23">
        <f>IF(D583&lt;B568,"",IF(D583=B568,B569,IF(D583&gt;B570,"",(D583-B568)*B572+B569)))</f>
      </c>
      <c r="F583" s="22">
        <f>IF(ISERR(E583-E582),IF(D583&gt;B570,F582,""),(E583-E569))</f>
        <v>56764800</v>
      </c>
      <c r="G583" s="21">
        <f>IF(ISERR(B567*F583),"",((B567*F583)))</f>
        <v>23841216000</v>
      </c>
    </row>
    <row r="584" spans="1:7" ht="12.75">
      <c r="A584"/>
      <c r="D584" s="25">
        <v>2023</v>
      </c>
      <c r="E584" s="23">
        <f>IF(D584&lt;B568,"",IF(D584=B568,B569,IF(D584&gt;B570,"",(D584-B568)*B572+B569)))</f>
      </c>
      <c r="F584" s="22">
        <f>IF(ISERR(E584-E583),IF(D584&gt;B570,F583,""),(E584-E569))</f>
        <v>56764800</v>
      </c>
      <c r="G584" s="21">
        <f>IF(ISERR(B567*F584),"",((B567*F584)))</f>
        <v>23841216000</v>
      </c>
    </row>
    <row r="585" spans="1:7" ht="12.75">
      <c r="A585"/>
      <c r="D585" s="25">
        <v>2024</v>
      </c>
      <c r="E585" s="23">
        <f>IF(D585&lt;B568,"",IF(D585=B568,B569,IF(D585&gt;B570,"",(D585-B568)*B572+B569)))</f>
      </c>
      <c r="F585" s="22">
        <f>IF(ISERR(E585-E584),IF(D585&gt;B570,F584,""),(E585-E569))</f>
        <v>56764800</v>
      </c>
      <c r="G585" s="21">
        <f>IF(ISERR(B567*F585),"",((B567*F585)))</f>
        <v>23841216000</v>
      </c>
    </row>
    <row r="586" spans="1:7" ht="12.75">
      <c r="A586"/>
      <c r="D586" s="25">
        <v>2025</v>
      </c>
      <c r="E586" s="23">
        <f>IF(D586&lt;B568,"",IF(D586=B568,B569,IF(D586&gt;B570,"",(D586-B568)*B572+B569)))</f>
      </c>
      <c r="F586" s="22">
        <f>IF(ISERR(E586-E585),IF(D586&gt;B570,F585,""),(E586-E569))</f>
        <v>56764800</v>
      </c>
      <c r="G586" s="21">
        <f>IF(ISERR(B567*F586),"",((B567*F586)))</f>
        <v>23841216000</v>
      </c>
    </row>
    <row r="587" spans="1:7" ht="12.75">
      <c r="A587"/>
      <c r="D587" s="25">
        <v>2026</v>
      </c>
      <c r="E587" s="23">
        <f>IF(D587&lt;B568,"",IF(D587=B568,B569,IF(D587&gt;B570,"",(D587-B568)*B572+B569)))</f>
      </c>
      <c r="F587" s="22">
        <f>IF(ISERR(E587-E586),IF(D587&gt;B570,F586,""),(E587-E569))</f>
        <v>56764800</v>
      </c>
      <c r="G587" s="21">
        <f>IF(ISERR(B567*F587),"",((B567*F587)))</f>
        <v>23841216000</v>
      </c>
    </row>
    <row r="588" spans="1:7" ht="12.75">
      <c r="A588"/>
      <c r="D588" s="25">
        <v>2027</v>
      </c>
      <c r="E588" s="23">
        <f>IF(D588&lt;B568,"",IF(D588=B568,B569,IF(D588&gt;B570,"",(D588-B568)*B572+B569)))</f>
      </c>
      <c r="F588" s="22">
        <f>IF(ISERR(E588-E587),IF(D588&gt;B570,F587,""),(E588-E569))</f>
        <v>56764800</v>
      </c>
      <c r="G588" s="21">
        <f>IF(ISERR(B567*F588),"",((B567*F588)))</f>
        <v>23841216000</v>
      </c>
    </row>
    <row r="589" spans="1:7" ht="12.75">
      <c r="A589"/>
      <c r="D589" s="25">
        <v>2028</v>
      </c>
      <c r="E589" s="23">
        <f>IF(D589&lt;B568,"",IF(D589=B568,B569,IF(D589&gt;B570,"",(D589-B568)*B572+B569)))</f>
      </c>
      <c r="F589" s="22">
        <f>IF(ISERR(E589-E588),IF(D589&gt;B570,F588,""),(E589-E569))</f>
        <v>56764800</v>
      </c>
      <c r="G589" s="21">
        <f>IF(ISERR(B567*F589),"",((B567*F589)))</f>
        <v>23841216000</v>
      </c>
    </row>
    <row r="590" spans="1:7" ht="12.75">
      <c r="A590"/>
      <c r="D590" s="25">
        <v>2029</v>
      </c>
      <c r="E590" s="23">
        <f>IF(D590&lt;B568,"",IF(D590=B568,B569,IF(D590&gt;B570,"",(D590-B568)*B572+B569)))</f>
      </c>
      <c r="F590" s="22">
        <f>IF(ISERR(E590-E589),IF(D590&gt;B570,F589,""),(E590-E569))</f>
        <v>56764800</v>
      </c>
      <c r="G590" s="21">
        <f>IF(ISERR(B567*F590),"",((B567*F590)))</f>
        <v>23841216000</v>
      </c>
    </row>
    <row r="591" spans="1:7" ht="13.5" thickBot="1">
      <c r="A591"/>
      <c r="D591" s="20">
        <v>2030</v>
      </c>
      <c r="E591" s="18">
        <f>IF(D591&lt;B568,"",IF(D591=B568,B569,IF(D591&gt;B570,"",(D591-B568)*B572+B569)))</f>
      </c>
      <c r="F591" s="17">
        <f>IF(ISERR(E591-E590),IF(D591&gt;B570,F590,""),(E591-E569))</f>
        <v>56764800</v>
      </c>
      <c r="G591" s="16">
        <f>IF(ISERR(B567*F591),"",((B567*F591)))</f>
        <v>23841216000</v>
      </c>
    </row>
    <row r="595" spans="1:9" ht="12" customHeight="1">
      <c r="A595" s="466" t="s">
        <v>397</v>
      </c>
      <c r="B595" s="461"/>
      <c r="C595" s="461"/>
      <c r="D595" s="461"/>
      <c r="E595" s="461"/>
      <c r="F595" s="461"/>
      <c r="G595" s="55"/>
      <c r="H595" s="55"/>
      <c r="I595" s="54"/>
    </row>
    <row r="596" spans="1:9" ht="12" customHeight="1">
      <c r="A596" s="468" t="s">
        <v>345</v>
      </c>
      <c r="B596" s="463"/>
      <c r="C596" s="463"/>
      <c r="D596" s="463"/>
      <c r="E596" s="463"/>
      <c r="F596" s="463"/>
      <c r="G596" s="52"/>
      <c r="H596" s="52"/>
      <c r="I596" s="51"/>
    </row>
    <row r="597" spans="1:9" ht="12" customHeight="1">
      <c r="A597" s="470" t="s">
        <v>1071</v>
      </c>
      <c r="B597" s="446"/>
      <c r="C597" s="446"/>
      <c r="D597" s="446"/>
      <c r="E597" s="446"/>
      <c r="F597" s="446"/>
      <c r="G597" s="52"/>
      <c r="H597" s="52"/>
      <c r="I597" s="51"/>
    </row>
    <row r="598" spans="1:9" ht="34.5" customHeight="1">
      <c r="A598" s="470" t="s">
        <v>1070</v>
      </c>
      <c r="B598" s="446"/>
      <c r="C598" s="446"/>
      <c r="D598" s="446"/>
      <c r="E598" s="446"/>
      <c r="F598" s="446"/>
      <c r="G598" s="52"/>
      <c r="H598" s="52"/>
      <c r="I598" s="51"/>
    </row>
    <row r="599" spans="1:9" ht="12.75">
      <c r="A599" s="459" t="s">
        <v>973</v>
      </c>
      <c r="B599" s="462"/>
      <c r="C599" s="462"/>
      <c r="D599" s="49"/>
      <c r="E599" s="49"/>
      <c r="F599" s="49"/>
      <c r="G599" s="49"/>
      <c r="H599" s="49"/>
      <c r="I599" s="48"/>
    </row>
    <row r="600" ht="13.5" thickBot="1"/>
    <row r="601" spans="1:7" ht="51">
      <c r="A601" t="s">
        <v>972</v>
      </c>
      <c r="D601" s="46" t="s">
        <v>971</v>
      </c>
      <c r="E601" s="45" t="s">
        <v>970</v>
      </c>
      <c r="F601" s="45" t="s">
        <v>969</v>
      </c>
      <c r="G601" s="44" t="s">
        <v>968</v>
      </c>
    </row>
    <row r="602" spans="1:7" ht="13.5" thickBot="1">
      <c r="A602" t="s">
        <v>967</v>
      </c>
      <c r="B602" s="57"/>
      <c r="D602" s="43"/>
      <c r="E602" s="41"/>
      <c r="F602" s="41" t="s">
        <v>885</v>
      </c>
      <c r="G602" s="40" t="s">
        <v>884</v>
      </c>
    </row>
    <row r="603" spans="1:7" ht="13.5" thickTop="1">
      <c r="A603" t="s">
        <v>962</v>
      </c>
      <c r="C603" s="30"/>
      <c r="D603" s="25">
        <v>2005</v>
      </c>
      <c r="E603" s="23">
        <f>IF(D603&lt;B605,"",IF(D603=B605,B606,IF(D603&gt;B607,"",(D603-B605)*B609+B606)))</f>
      </c>
      <c r="F603" s="39"/>
      <c r="G603" s="38"/>
    </row>
    <row r="604" spans="1:7" ht="12.75">
      <c r="A604" t="s">
        <v>961</v>
      </c>
      <c r="B604" s="37">
        <v>848</v>
      </c>
      <c r="D604" s="25">
        <v>2006</v>
      </c>
      <c r="E604" s="23">
        <f>IF(D604&lt;B605,"",IF(D604=B605,B606,IF(D604&gt;B607,"",(D604-B605)*B609+B606)))</f>
      </c>
      <c r="F604" s="23"/>
      <c r="G604" s="34"/>
    </row>
    <row r="605" spans="1:7" ht="12.75">
      <c r="A605" t="s">
        <v>966</v>
      </c>
      <c r="B605" s="37">
        <v>2008</v>
      </c>
      <c r="D605" s="25">
        <v>2007</v>
      </c>
      <c r="E605" s="23">
        <f>IF(D605&lt;B605,"",IF(D605=B605,B606,IF(D605&gt;B607,"",(D605-B605)*B609+B606)))</f>
      </c>
      <c r="F605" s="23"/>
      <c r="G605" s="34"/>
    </row>
    <row r="606" spans="1:7" s="33" customFormat="1" ht="12.75">
      <c r="A606" s="33" t="s">
        <v>965</v>
      </c>
      <c r="B606" s="84">
        <v>0</v>
      </c>
      <c r="C606" s="35"/>
      <c r="D606" s="25">
        <v>2008</v>
      </c>
      <c r="E606" s="23">
        <f>IF(D606&lt;B605,"",IF(D606=B605,B606,IF(D606&gt;B607,"",(D606-B605)*B609+B606)))</f>
        <v>0</v>
      </c>
      <c r="F606" s="23"/>
      <c r="G606" s="34"/>
    </row>
    <row r="607" spans="1:7" ht="12.75">
      <c r="A607" t="s">
        <v>964</v>
      </c>
      <c r="B607" s="32">
        <v>2028</v>
      </c>
      <c r="C607" s="30"/>
      <c r="D607" s="25">
        <v>2009</v>
      </c>
      <c r="E607" s="23">
        <f>IF(D607&lt;B605,"",IF(D607=B605,B606,IF(D607&gt;B607,"",(D607-B605)*B609+B606)))</f>
        <v>138758.4</v>
      </c>
      <c r="F607" s="22">
        <f>IF(ISERR(E607-E606),IF(D607&gt;B607,F606,""),(E607-E606))</f>
        <v>138758.4</v>
      </c>
      <c r="G607" s="21">
        <f>IF(ISERR(B604*F607),"",((B604*F607)))</f>
        <v>117667123.19999999</v>
      </c>
    </row>
    <row r="608" spans="1:7" ht="12.75">
      <c r="A608" t="s">
        <v>1048</v>
      </c>
      <c r="B608" s="83">
        <v>2775168</v>
      </c>
      <c r="C608" s="30"/>
      <c r="D608" s="25">
        <v>2010</v>
      </c>
      <c r="E608" s="23">
        <f>IF(D608&lt;B605,"",IF(D608=B605,B606,IF(D608&gt;B607,"",(D608-B605)*B609+B606)))</f>
        <v>277516.8</v>
      </c>
      <c r="F608" s="22">
        <f>IF(ISERR(E608-E607),IF(D608&gt;B607,F607,""),(E608-E606))</f>
        <v>277516.8</v>
      </c>
      <c r="G608" s="21">
        <f>IF(ISERR(B604*F608),"",((B604*F608)))</f>
        <v>235334246.39999998</v>
      </c>
    </row>
    <row r="609" spans="1:7" ht="12.75">
      <c r="A609" s="29" t="s">
        <v>1047</v>
      </c>
      <c r="B609" s="27">
        <f>(B608-B606)/(B607-B605)</f>
        <v>138758.4</v>
      </c>
      <c r="D609" s="25">
        <v>2011</v>
      </c>
      <c r="E609" s="23">
        <f>IF(D609&lt;B605,"",IF(D609=B605,B606,IF(D609&gt;B607,"",(D609-B605)*B609+B606)))</f>
        <v>416275.19999999995</v>
      </c>
      <c r="F609" s="22">
        <f>IF(ISERR(E609-E608),IF(D609&gt;B607,F608,""),(E609-E606))</f>
        <v>416275.19999999995</v>
      </c>
      <c r="G609" s="21">
        <f>IF(ISERR(B604*F609),"",((B604*F609)))</f>
        <v>353001369.59999996</v>
      </c>
    </row>
    <row r="610" spans="1:7" ht="12.75">
      <c r="A610"/>
      <c r="D610" s="25">
        <v>2012</v>
      </c>
      <c r="E610" s="23">
        <f>IF(D610&lt;B605,"",IF(D610=B605,B606,IF(D610&gt;B607,"",(D610-B605)*B609+B606)))</f>
        <v>555033.6</v>
      </c>
      <c r="F610" s="22">
        <f>IF(ISERR(E610-E609),IF(D610&gt;B607,F609,""),(E610-E606))</f>
        <v>555033.6</v>
      </c>
      <c r="G610" s="21">
        <f>IF(ISERR(B604*F610),"",((B604*F610)))</f>
        <v>470668492.79999995</v>
      </c>
    </row>
    <row r="611" spans="1:7" ht="12.75">
      <c r="A611"/>
      <c r="D611" s="25">
        <v>2013</v>
      </c>
      <c r="E611" s="23">
        <f>IF(D611&lt;B605,"",IF(D611=B605,B606,IF(D611&gt;B607,"",(D611-B605)*B609+B606)))</f>
        <v>693792</v>
      </c>
      <c r="F611" s="22">
        <f>IF(ISERR(E611-E610),IF(D611&gt;B607,F610,""),(E611-E606))</f>
        <v>693792</v>
      </c>
      <c r="G611" s="21">
        <f>IF(ISERR(B604*F611),"",((B604*F611)))</f>
        <v>588335616</v>
      </c>
    </row>
    <row r="612" spans="1:7" ht="12.75">
      <c r="A612" t="s">
        <v>1046</v>
      </c>
      <c r="B612" s="27">
        <f>VLOOKUP(B607,D603:G628,4,FALSE)</f>
        <v>2353342464</v>
      </c>
      <c r="D612" s="25">
        <v>2014</v>
      </c>
      <c r="E612" s="23">
        <f>IF(D612&lt;B605,"",IF(D612=B605,B606,IF(D612&gt;B607,"",(D612-B605)*B609+B606)))</f>
        <v>832550.3999999999</v>
      </c>
      <c r="F612" s="22">
        <f>IF(ISERR(E612-E611),IF(D612&gt;B607,F611,""),(E612-E606))</f>
        <v>832550.3999999999</v>
      </c>
      <c r="G612" s="21">
        <f>IF(ISERR(B604*F612),"",((B604*F612)))</f>
        <v>706002739.1999999</v>
      </c>
    </row>
    <row r="613" spans="1:7" ht="12.75">
      <c r="A613" t="s">
        <v>1045</v>
      </c>
      <c r="B613" s="27">
        <f>SUM(G607:G628)</f>
        <v>29416780800</v>
      </c>
      <c r="D613" s="25">
        <v>2015</v>
      </c>
      <c r="E613" s="23">
        <f>IF(D613&lt;B605,"",IF(D613=B605,B606,IF(D613&gt;B607,"",(D613-B605)*B609+B606)))</f>
        <v>971308.7999999999</v>
      </c>
      <c r="F613" s="22">
        <f>IF(ISERR(E613-E612),IF(D613&gt;B607,F612,""),(E613-E606))</f>
        <v>971308.7999999999</v>
      </c>
      <c r="G613" s="21">
        <f>IF(ISERR(B604*F613),"",((B604*F613)))</f>
        <v>823669862.4</v>
      </c>
    </row>
    <row r="614" spans="1:7" ht="12.75">
      <c r="A614" t="s">
        <v>1044</v>
      </c>
      <c r="B614" s="82">
        <f>B612/(10^12)</f>
        <v>0.002353342464</v>
      </c>
      <c r="D614" s="25">
        <v>2016</v>
      </c>
      <c r="E614" s="23">
        <f>IF(D614&lt;B605,"",IF(D614=B605,B606,IF(D614&gt;B607,"",(D614-B605)*B609+B606)))</f>
        <v>1110067.2</v>
      </c>
      <c r="F614" s="22">
        <f>IF(ISERR(E614-E613),IF(D614&gt;B607,F613,""),(E614-E606))</f>
        <v>1110067.2</v>
      </c>
      <c r="G614" s="21">
        <f>IF(ISERR(B604*F614),"",((B604*F614)))</f>
        <v>941336985.5999999</v>
      </c>
    </row>
    <row r="615" spans="1:7" ht="12.75">
      <c r="A615" t="s">
        <v>1043</v>
      </c>
      <c r="B615" s="82">
        <f>B613/(10^12)</f>
        <v>0.0294167808</v>
      </c>
      <c r="D615" s="25">
        <v>2017</v>
      </c>
      <c r="E615" s="23">
        <f>IF(D615&lt;B605,"",IF(D615=B605,B606,IF(D615&gt;B607,"",(D615-B605)*B609+B606)))</f>
        <v>1248825.5999999999</v>
      </c>
      <c r="F615" s="22">
        <f>IF(ISERR(E615-E614),IF(D615&gt;B607,F614,""),(E615-E606))</f>
        <v>1248825.5999999999</v>
      </c>
      <c r="G615" s="21">
        <f>IF(ISERR(B604*F615),"",((B604*F615)))</f>
        <v>1059004108.7999998</v>
      </c>
    </row>
    <row r="616" spans="1:7" ht="12.75">
      <c r="A616"/>
      <c r="D616" s="25">
        <v>2018</v>
      </c>
      <c r="E616" s="23">
        <f>IF(D616&lt;B605,"",IF(D616=B605,B606,IF(D616&gt;B607,"",(D616-B605)*B609+B606)))</f>
        <v>1387584</v>
      </c>
      <c r="F616" s="22">
        <f>IF(ISERR(E616-E615),IF(D616&gt;B607,F615,""),(E616-E606))</f>
        <v>1387584</v>
      </c>
      <c r="G616" s="21">
        <f>IF(ISERR(B604*F616),"",((B604*F616)))</f>
        <v>1176671232</v>
      </c>
    </row>
    <row r="617" spans="1:7" ht="12.75">
      <c r="A617"/>
      <c r="D617" s="25">
        <v>2019</v>
      </c>
      <c r="E617" s="23">
        <f>IF(D617&lt;B605,"",IF(D617=B605,B606,IF(D617&gt;B607,"",(D617-B605)*B609+B606)))</f>
        <v>1526342.4</v>
      </c>
      <c r="F617" s="22">
        <f>IF(ISERR(E617-E616),IF(D617&gt;B607,F616,""),(E617-E606))</f>
        <v>1526342.4</v>
      </c>
      <c r="G617" s="21">
        <f>IF(ISERR(B604*F617),"",((B604*F617)))</f>
        <v>1294338355.1999998</v>
      </c>
    </row>
    <row r="618" spans="1:7" ht="12.75">
      <c r="A618"/>
      <c r="D618" s="25">
        <v>2020</v>
      </c>
      <c r="E618" s="23">
        <f>IF(D618&lt;B605,"",IF(D618=B605,B606,IF(D618&gt;B607,"",(D618-B605)*B609+B606)))</f>
        <v>1665100.7999999998</v>
      </c>
      <c r="F618" s="22">
        <f>IF(ISERR(E618-E617),IF(D618&gt;B607,F617,""),(E618-E606))</f>
        <v>1665100.7999999998</v>
      </c>
      <c r="G618" s="21">
        <f>IF(ISERR(B604*F618),"",((B604*F618)))</f>
        <v>1412005478.3999999</v>
      </c>
    </row>
    <row r="619" spans="1:7" ht="12.75">
      <c r="A619"/>
      <c r="D619" s="25">
        <v>2021</v>
      </c>
      <c r="E619" s="23">
        <f>IF(D619&lt;B605,"",IF(D619=B605,B606,IF(D619&gt;B607,"",(D619-B605)*B609+B606)))</f>
        <v>1803859.2</v>
      </c>
      <c r="F619" s="22">
        <f>IF(ISERR(E619-E618),IF(D619&gt;B607,F618,""),(E619-E606))</f>
        <v>1803859.2</v>
      </c>
      <c r="G619" s="21">
        <f>IF(ISERR(B604*F619),"",((B604*F619)))</f>
        <v>1529672601.6</v>
      </c>
    </row>
    <row r="620" spans="1:7" ht="12.75">
      <c r="A620"/>
      <c r="D620" s="25">
        <v>2022</v>
      </c>
      <c r="E620" s="23">
        <f>IF(D620&lt;B605,"",IF(D620=B605,B606,IF(D620&gt;B607,"",(D620-B605)*B609+B606)))</f>
        <v>1942617.5999999999</v>
      </c>
      <c r="F620" s="22">
        <f>IF(ISERR(E620-E619),IF(D620&gt;B607,F619,""),(E620-E606))</f>
        <v>1942617.5999999999</v>
      </c>
      <c r="G620" s="21">
        <f>IF(ISERR(B604*F620),"",((B604*F620)))</f>
        <v>1647339724.8</v>
      </c>
    </row>
    <row r="621" spans="1:7" ht="12.75">
      <c r="A621"/>
      <c r="D621" s="25">
        <v>2023</v>
      </c>
      <c r="E621" s="23">
        <f>IF(D621&lt;B605,"",IF(D621=B605,B606,IF(D621&gt;B607,"",(D621-B605)*B609+B606)))</f>
        <v>2081376</v>
      </c>
      <c r="F621" s="22">
        <f>IF(ISERR(E621-E620),IF(D621&gt;B607,F620,""),(E621-E606))</f>
        <v>2081376</v>
      </c>
      <c r="G621" s="21">
        <f>IF(ISERR(B604*F621),"",((B604*F621)))</f>
        <v>1765006848</v>
      </c>
    </row>
    <row r="622" spans="1:7" ht="12.75">
      <c r="A622"/>
      <c r="D622" s="25">
        <v>2024</v>
      </c>
      <c r="E622" s="23">
        <f>IF(D622&lt;B605,"",IF(D622=B605,B606,IF(D622&gt;B607,"",(D622-B605)*B609+B606)))</f>
        <v>2220134.4</v>
      </c>
      <c r="F622" s="22">
        <f>IF(ISERR(E622-E621),IF(D622&gt;B607,F621,""),(E622-E606))</f>
        <v>2220134.4</v>
      </c>
      <c r="G622" s="21">
        <f>IF(ISERR(B604*F622),"",((B604*F622)))</f>
        <v>1882673971.1999998</v>
      </c>
    </row>
    <row r="623" spans="1:7" ht="12.75">
      <c r="A623"/>
      <c r="D623" s="25">
        <v>2025</v>
      </c>
      <c r="E623" s="23">
        <f>IF(D623&lt;B605,"",IF(D623=B605,B606,IF(D623&gt;B607,"",(D623-B605)*B609+B606)))</f>
        <v>2358892.8</v>
      </c>
      <c r="F623" s="22">
        <f>IF(ISERR(E623-E622),IF(D623&gt;B607,F622,""),(E623-E606))</f>
        <v>2358892.8</v>
      </c>
      <c r="G623" s="21">
        <f>IF(ISERR(B604*F623),"",((B604*F623)))</f>
        <v>2000341094.3999999</v>
      </c>
    </row>
    <row r="624" spans="1:7" ht="12.75">
      <c r="A624"/>
      <c r="D624" s="25">
        <v>2026</v>
      </c>
      <c r="E624" s="23">
        <f>IF(D624&lt;B605,"",IF(D624=B605,B606,IF(D624&gt;B607,"",(D624-B605)*B609+B606)))</f>
        <v>2497651.1999999997</v>
      </c>
      <c r="F624" s="22">
        <f>IF(ISERR(E624-E623),IF(D624&gt;B607,F623,""),(E624-E606))</f>
        <v>2497651.1999999997</v>
      </c>
      <c r="G624" s="21">
        <f>IF(ISERR(B604*F624),"",((B604*F624)))</f>
        <v>2118008217.5999997</v>
      </c>
    </row>
    <row r="625" spans="1:7" ht="12.75">
      <c r="A625"/>
      <c r="D625" s="25">
        <v>2027</v>
      </c>
      <c r="E625" s="23">
        <f>IF(D625&lt;B605,"",IF(D625=B605,B606,IF(D625&gt;B607,"",(D625-B605)*B609+B606)))</f>
        <v>2636409.6</v>
      </c>
      <c r="F625" s="22">
        <f>IF(ISERR(E625-E624),IF(D625&gt;B607,F624,""),(E625-E606))</f>
        <v>2636409.6</v>
      </c>
      <c r="G625" s="21">
        <f>IF(ISERR(B604*F625),"",((B604*F625)))</f>
        <v>2235675340.8</v>
      </c>
    </row>
    <row r="626" spans="1:7" ht="12.75">
      <c r="A626"/>
      <c r="D626" s="25">
        <v>2028</v>
      </c>
      <c r="E626" s="23">
        <f>IF(D626&lt;B605,"",IF(D626=B605,B606,IF(D626&gt;B607,"",(D626-B605)*B609+B606)))</f>
        <v>2775168</v>
      </c>
      <c r="F626" s="22">
        <f>IF(ISERR(E626-E625),IF(D626&gt;B607,F625,""),(E626-E606))</f>
        <v>2775168</v>
      </c>
      <c r="G626" s="21">
        <f>IF(ISERR(B604*F626),"",((B604*F626)))</f>
        <v>2353342464</v>
      </c>
    </row>
    <row r="627" spans="1:7" ht="12.75">
      <c r="A627"/>
      <c r="D627" s="25">
        <v>2029</v>
      </c>
      <c r="E627" s="23">
        <f>IF(D627&lt;B605,"",IF(D627=B605,B606,IF(D627&gt;B607,"",(D627-B605)*B609+B606)))</f>
      </c>
      <c r="F627" s="22">
        <f>IF(ISERR(E627-E626),IF(D627&gt;B607,F626,""),(E627-E606))</f>
        <v>2775168</v>
      </c>
      <c r="G627" s="21">
        <f>IF(ISERR(B604*F627),"",((B604*F627)))</f>
        <v>2353342464</v>
      </c>
    </row>
    <row r="628" spans="1:7" ht="13.5" thickBot="1">
      <c r="A628"/>
      <c r="D628" s="20">
        <v>2030</v>
      </c>
      <c r="E628" s="18">
        <f>IF(D628&lt;B605,"",IF(D628=B605,B606,IF(D628&gt;B607,"",(D628-B605)*B609+B606)))</f>
      </c>
      <c r="F628" s="17">
        <f>IF(ISERR(E628-E627),IF(D628&gt;B607,F627,""),(E628-E606))</f>
        <v>2775168</v>
      </c>
      <c r="G628" s="16">
        <f>IF(ISERR(B604*F628),"",((B604*F628)))</f>
        <v>2353342464</v>
      </c>
    </row>
  </sheetData>
  <mergeCells count="92">
    <mergeCell ref="A44:C44"/>
    <mergeCell ref="A1:I1"/>
    <mergeCell ref="J3:L3"/>
    <mergeCell ref="A4:I4"/>
    <mergeCell ref="J4:L4"/>
    <mergeCell ref="A3:I3"/>
    <mergeCell ref="A7:I7"/>
    <mergeCell ref="A43:I43"/>
    <mergeCell ref="A41:I41"/>
    <mergeCell ref="A42:I42"/>
    <mergeCell ref="J5:L5"/>
    <mergeCell ref="A5:I5"/>
    <mergeCell ref="J42:L42"/>
    <mergeCell ref="J40:L40"/>
    <mergeCell ref="A8:C8"/>
    <mergeCell ref="A40:I40"/>
    <mergeCell ref="J41:L41"/>
    <mergeCell ref="A6:I6"/>
    <mergeCell ref="A76:F76"/>
    <mergeCell ref="A111:F111"/>
    <mergeCell ref="A63:B65"/>
    <mergeCell ref="A75:F75"/>
    <mergeCell ref="A187:C187"/>
    <mergeCell ref="A112:F112"/>
    <mergeCell ref="A78:F78"/>
    <mergeCell ref="A77:F77"/>
    <mergeCell ref="A361:B363"/>
    <mergeCell ref="A113:F113"/>
    <mergeCell ref="A114:F114"/>
    <mergeCell ref="A223:I223"/>
    <mergeCell ref="A147:I147"/>
    <mergeCell ref="A149:I149"/>
    <mergeCell ref="A150:I150"/>
    <mergeCell ref="A184:I184"/>
    <mergeCell ref="A185:H185"/>
    <mergeCell ref="A221:I221"/>
    <mergeCell ref="A335:I335"/>
    <mergeCell ref="A336:I336"/>
    <mergeCell ref="A337:I337"/>
    <mergeCell ref="A338:I338"/>
    <mergeCell ref="A377:I377"/>
    <mergeCell ref="A376:H376"/>
    <mergeCell ref="I371:M371"/>
    <mergeCell ref="I372:M372"/>
    <mergeCell ref="A245:B247"/>
    <mergeCell ref="G487:I487"/>
    <mergeCell ref="A186:I186"/>
    <mergeCell ref="E226:H226"/>
    <mergeCell ref="A258:I258"/>
    <mergeCell ref="A259:H259"/>
    <mergeCell ref="A260:I260"/>
    <mergeCell ref="A261:I261"/>
    <mergeCell ref="A222:H222"/>
    <mergeCell ref="A224:I224"/>
    <mergeCell ref="A412:F412"/>
    <mergeCell ref="A486:F486"/>
    <mergeCell ref="G450:I450"/>
    <mergeCell ref="A451:F451"/>
    <mergeCell ref="A415:F415"/>
    <mergeCell ref="G451:I451"/>
    <mergeCell ref="A452:F452"/>
    <mergeCell ref="A450:F450"/>
    <mergeCell ref="A488:F488"/>
    <mergeCell ref="A262:I262"/>
    <mergeCell ref="A298:I298"/>
    <mergeCell ref="A413:F413"/>
    <mergeCell ref="A375:I375"/>
    <mergeCell ref="A297:I297"/>
    <mergeCell ref="A295:I295"/>
    <mergeCell ref="A296:H296"/>
    <mergeCell ref="A487:F487"/>
    <mergeCell ref="G486:I486"/>
    <mergeCell ref="A561:F561"/>
    <mergeCell ref="A414:F414"/>
    <mergeCell ref="A416:C416"/>
    <mergeCell ref="A453:C453"/>
    <mergeCell ref="A449:F449"/>
    <mergeCell ref="A526:C526"/>
    <mergeCell ref="A489:C489"/>
    <mergeCell ref="A485:F485"/>
    <mergeCell ref="A525:F525"/>
    <mergeCell ref="A524:F524"/>
    <mergeCell ref="A562:C562"/>
    <mergeCell ref="A523:F523"/>
    <mergeCell ref="A599:C599"/>
    <mergeCell ref="A558:F558"/>
    <mergeCell ref="A559:F559"/>
    <mergeCell ref="A597:F597"/>
    <mergeCell ref="A598:F598"/>
    <mergeCell ref="A560:F560"/>
    <mergeCell ref="A596:F596"/>
    <mergeCell ref="A595:F595"/>
  </mergeCells>
  <hyperlinks>
    <hyperlink ref="D44" r:id="rId1" display="http://www.iea.org/Textbase/stats/balancetable.asp?COUNTRY_CODE=IT"/>
    <hyperlink ref="D80" r:id="rId2" display="http://www.iea.org/Textbase/stats/balancetable.asp?COUNTRY_CODE=CH"/>
    <hyperlink ref="D116" r:id="rId3" display="http://www.iea.org/Textbase/stats/balancetable.asp?COUNTRY_CODE=CH"/>
    <hyperlink ref="E226" r:id="rId4" display="http://www.iea.org/Textbase/stats/renewdata.asp?COUNTRY_CODE=TR"/>
    <hyperlink ref="A7" r:id="rId5" display="http://www.ren21.net/wiap/detail.asp?id=83"/>
    <hyperlink ref="A43" r:id="rId6" display="http://www.ren21.net/wiap/detail.asp?id=63"/>
    <hyperlink ref="A78" r:id="rId7" display="http://www.ren21.net/wiap/detail.asp?id=17"/>
    <hyperlink ref="A114" r:id="rId8" display="http://www.ren21.net/wiap/detail.asp?id=80"/>
    <hyperlink ref="A150" r:id="rId9" display="http://www.ren21.net/wiap/detail.asp?id=251"/>
    <hyperlink ref="A187" r:id="rId10" display="http://www.ren21.net/wiap/detail.asp?id=111"/>
    <hyperlink ref="A224" r:id="rId11" display="http://www.ren21.net/wiap/detail.asp?id=217"/>
    <hyperlink ref="A262" r:id="rId12" display="http://www.ren21.net/wiap/detail.asp?id=123"/>
    <hyperlink ref="A298" r:id="rId13" display="http://www.ren21.net/wiap/detail.asp?id=66"/>
    <hyperlink ref="A338" r:id="rId14" display="http://www.ren21.net/wiap/detail.asp?id=225"/>
    <hyperlink ref="A378" r:id="rId15" display="http://www.ren21.net/wiap/detail.asp?id=105"/>
    <hyperlink ref="A416" r:id="rId16" display="http://www.ren21.net/wiap/detail.asp?id=180"/>
    <hyperlink ref="A453" r:id="rId17" display="http://www.ren21.net/wiap/detail.asp?id=155"/>
    <hyperlink ref="A489" r:id="rId18" display="http://www.ren21.net/wiap/detail.asp?id=229"/>
    <hyperlink ref="A599" r:id="rId19" display="http://www.ren21.net/wiap/detail.asp?id=88"/>
    <hyperlink ref="A526" r:id="rId20" display="http://www.ren21.net/wiap/detail.asp?id=149"/>
    <hyperlink ref="A562" r:id="rId21" display="http://www.ren21.net/wiap/detail.asp?id=14"/>
    <hyperlink ref="A63:B65" location="'Group 5'!A86" display="NOTE: This pledge also contains an electricity component, the benefits of which are not quantified here.  Click this link to view the estimated electricity and RE GHG impact of this pledge."/>
    <hyperlink ref="A245:B247" location="'Group 5'!A159" display="NOTE: This pledge also contains a fuels component, the benefits of which are not quantified here.  Click this link to view the estimated fuel and fuel GHG impact of this pledge."/>
    <hyperlink ref="A361:B363" location="'Group 5'!A267" display="NOTE: This pledge also contains a fuels component, the benefits of which are not quantified here.  Click this link to view the estimated fuel and fuel GHG impact of this pledge."/>
  </hyperlinks>
  <printOptions/>
  <pageMargins left="0.75" right="0.75" top="1" bottom="1" header="0.5" footer="0.5"/>
  <pageSetup orientation="landscape"/>
</worksheet>
</file>

<file path=xl/worksheets/sheet4.xml><?xml version="1.0" encoding="utf-8"?>
<worksheet xmlns="http://schemas.openxmlformats.org/spreadsheetml/2006/main" xmlns:r="http://schemas.openxmlformats.org/officeDocument/2006/relationships">
  <dimension ref="A1:N151"/>
  <sheetViews>
    <sheetView zoomScale="90" zoomScaleNormal="90" workbookViewId="0" topLeftCell="A12">
      <selection activeCell="A42" sqref="A42:I42"/>
    </sheetView>
  </sheetViews>
  <sheetFormatPr defaultColWidth="8.8515625" defaultRowHeight="12.75"/>
  <cols>
    <col min="1" max="1" width="44.421875" style="15" customWidth="1"/>
    <col min="2" max="2" width="11.421875" style="0" customWidth="1"/>
    <col min="3" max="4" width="12.8515625" style="0" customWidth="1"/>
    <col min="5" max="5" width="22.28125" style="0" customWidth="1"/>
    <col min="6" max="6" width="18.28125" style="0" customWidth="1"/>
    <col min="7" max="7" width="13.28125" style="0" customWidth="1"/>
    <col min="8" max="8" width="16.7109375" style="0" customWidth="1"/>
    <col min="9" max="9" width="10.421875" style="0" customWidth="1"/>
    <col min="10" max="10" width="16.7109375" style="0" customWidth="1"/>
    <col min="11" max="11" width="12.140625" style="0" customWidth="1"/>
    <col min="12" max="12" width="32.421875" style="0" customWidth="1"/>
    <col min="13" max="13" width="18.421875" style="0" customWidth="1"/>
    <col min="14" max="14" width="20.00390625" style="0" customWidth="1"/>
    <col min="15" max="18" width="11.421875" style="0" customWidth="1"/>
    <col min="19" max="19" width="10.421875" style="0" customWidth="1"/>
    <col min="20" max="16384" width="11.421875" style="0" customWidth="1"/>
  </cols>
  <sheetData>
    <row r="1" spans="1:9" ht="21.75" customHeight="1">
      <c r="A1" s="475" t="s">
        <v>1042</v>
      </c>
      <c r="B1" s="476"/>
      <c r="C1" s="476"/>
      <c r="D1" s="476"/>
      <c r="E1" s="476"/>
      <c r="F1" s="476"/>
      <c r="G1" s="476"/>
      <c r="H1" s="476"/>
      <c r="I1" s="476"/>
    </row>
    <row r="2" spans="2:13" ht="12.75">
      <c r="B2" s="67"/>
      <c r="K2" s="63"/>
      <c r="L2" s="63"/>
      <c r="M2" s="63"/>
    </row>
    <row r="3" spans="2:13" ht="12.75">
      <c r="B3" s="67"/>
      <c r="K3" s="63"/>
      <c r="L3" s="63"/>
      <c r="M3" s="63"/>
    </row>
    <row r="4" spans="1:9" ht="12.75" customHeight="1">
      <c r="A4" s="466" t="s">
        <v>1099</v>
      </c>
      <c r="B4" s="467"/>
      <c r="C4" s="467"/>
      <c r="D4" s="467"/>
      <c r="E4" s="467"/>
      <c r="F4" s="467"/>
      <c r="G4" s="55"/>
      <c r="H4" s="55"/>
      <c r="I4" s="54"/>
    </row>
    <row r="5" spans="1:9" ht="12.75" customHeight="1">
      <c r="A5" s="468" t="s">
        <v>460</v>
      </c>
      <c r="B5" s="471"/>
      <c r="C5" s="471"/>
      <c r="D5" s="471"/>
      <c r="E5" s="471"/>
      <c r="F5" s="471"/>
      <c r="G5" s="52"/>
      <c r="H5" s="52"/>
      <c r="I5" s="51"/>
    </row>
    <row r="6" spans="1:9" ht="23.25" customHeight="1">
      <c r="A6" s="470" t="s">
        <v>459</v>
      </c>
      <c r="B6" s="469"/>
      <c r="C6" s="469"/>
      <c r="D6" s="469"/>
      <c r="E6" s="469"/>
      <c r="F6" s="469"/>
      <c r="G6" s="52"/>
      <c r="H6" s="52"/>
      <c r="I6" s="51"/>
    </row>
    <row r="7" spans="1:9" ht="22.5" customHeight="1">
      <c r="A7" s="470" t="s">
        <v>458</v>
      </c>
      <c r="B7" s="469"/>
      <c r="C7" s="469"/>
      <c r="D7" s="469"/>
      <c r="E7" s="469"/>
      <c r="F7" s="469"/>
      <c r="G7" s="52"/>
      <c r="H7" s="52"/>
      <c r="I7" s="51"/>
    </row>
    <row r="8" spans="1:9" ht="12.75">
      <c r="A8" s="489" t="s">
        <v>1097</v>
      </c>
      <c r="B8" s="462"/>
      <c r="C8" s="49"/>
      <c r="D8" s="49"/>
      <c r="E8" s="49"/>
      <c r="F8" s="49"/>
      <c r="G8" s="49"/>
      <c r="H8" s="49"/>
      <c r="I8" s="48"/>
    </row>
    <row r="9" spans="2:5" ht="12.75">
      <c r="B9" t="s">
        <v>952</v>
      </c>
      <c r="E9" s="64" t="s">
        <v>1096</v>
      </c>
    </row>
    <row r="10" ht="13.5" thickBot="1">
      <c r="E10" s="64"/>
    </row>
    <row r="11" spans="1:9" ht="89.25">
      <c r="A11" t="s">
        <v>613</v>
      </c>
      <c r="B11" t="s">
        <v>457</v>
      </c>
      <c r="D11" s="46" t="s">
        <v>452</v>
      </c>
      <c r="E11" s="45" t="s">
        <v>451</v>
      </c>
      <c r="F11" s="45" t="s">
        <v>450</v>
      </c>
      <c r="G11" s="45" t="s">
        <v>490</v>
      </c>
      <c r="H11" s="45" t="s">
        <v>777</v>
      </c>
      <c r="I11" s="44" t="s">
        <v>424</v>
      </c>
    </row>
    <row r="12" spans="1:9" ht="13.5" thickBot="1">
      <c r="A12" t="s">
        <v>483</v>
      </c>
      <c r="B12" s="58">
        <f>27.15*10^6</f>
        <v>27150000</v>
      </c>
      <c r="D12" s="43"/>
      <c r="E12" s="41" t="s">
        <v>482</v>
      </c>
      <c r="F12" s="42" t="s">
        <v>481</v>
      </c>
      <c r="G12" s="41" t="s">
        <v>480</v>
      </c>
      <c r="H12" s="41" t="s">
        <v>479</v>
      </c>
      <c r="I12" s="40" t="s">
        <v>859</v>
      </c>
    </row>
    <row r="13" spans="1:9" ht="13.5" thickTop="1">
      <c r="A13" t="s">
        <v>526</v>
      </c>
      <c r="B13" s="31">
        <v>0.008</v>
      </c>
      <c r="C13" s="30"/>
      <c r="D13" s="25">
        <v>2005</v>
      </c>
      <c r="E13" s="23">
        <f>IF(D13&lt;=B17,B12*EXP(B13*(D13-D13)),"")</f>
        <v>27150000</v>
      </c>
      <c r="F13" s="24">
        <f>IF(D13&gt;B17,"",IF(B15&gt;D13,"",IF(B15=D13,B16,IF(B15&lt;D13,(D13-B15)*B19+B16,B18))))</f>
      </c>
      <c r="G13" s="23">
        <f>IF(ISERR(F13*E13),IF(D13&gt;B17,G12,""),F13*E13)</f>
      </c>
      <c r="H13" s="39"/>
      <c r="I13" s="38"/>
    </row>
    <row r="14" spans="1:9" ht="12.75">
      <c r="A14" t="s">
        <v>21</v>
      </c>
      <c r="B14" s="37">
        <v>1.66</v>
      </c>
      <c r="D14" s="25">
        <v>2006</v>
      </c>
      <c r="E14" s="23">
        <f>IF(D14&lt;=B17,B12*EXP(B13*(D14-D13)),"")</f>
        <v>27368071.121441025</v>
      </c>
      <c r="F14" s="24">
        <f>IF(D14&gt;B17,"",IF(B15&gt;D14,"",IF(B15=D14,B16,IF(B15&lt;D14,(D14-B15)*B19+B16,B18))))</f>
      </c>
      <c r="G14" s="23">
        <f>IF(ISERR(F14*E14),IF(D14&gt;B17,G13,""),F14*E14)</f>
      </c>
      <c r="H14" s="23"/>
      <c r="I14" s="34"/>
    </row>
    <row r="15" spans="1:9" ht="12.75">
      <c r="A15" t="s">
        <v>856</v>
      </c>
      <c r="B15" s="37">
        <v>2008</v>
      </c>
      <c r="D15" s="25">
        <v>2007</v>
      </c>
      <c r="E15" s="23">
        <f>IF(D15&lt;=B17,B12*EXP(B13*(D15-D13)),"")</f>
        <v>27587893.808775477</v>
      </c>
      <c r="F15" s="24">
        <f>IF(D15&gt;B17,"",IF(B15&gt;D15,"",IF(B15=D15,B16,IF(B15&lt;D15,(D15-B15)*B19+B16,B18))))</f>
      </c>
      <c r="G15" s="23">
        <f>IF(ISERR(F15*E15),IF(D15&gt;B17,G14,""),F15*E15)</f>
      </c>
      <c r="H15" s="23"/>
      <c r="I15" s="34"/>
    </row>
    <row r="16" spans="1:9" s="33" customFormat="1" ht="12.75">
      <c r="A16" s="33" t="s">
        <v>855</v>
      </c>
      <c r="B16" s="36">
        <v>0.162</v>
      </c>
      <c r="C16" s="35"/>
      <c r="D16" s="25">
        <v>2008</v>
      </c>
      <c r="E16" s="23">
        <f>IF(D16&lt;=B17,B12*EXP(B13*(D16-D13)),"")</f>
        <v>27809482.130730376</v>
      </c>
      <c r="F16" s="24">
        <f>IF(D16&gt;B17,"",IF(B15&gt;D16,"",IF(B15=D16,B16,IF(B15&lt;D16,(D16-B15)*B19+B16,B18))))</f>
        <v>0.162</v>
      </c>
      <c r="G16" s="23">
        <f>IF(ISERR(F16*E16),IF(D16&gt;B17,G15,""),F16*E16)</f>
        <v>4505136.105178321</v>
      </c>
      <c r="H16" s="23"/>
      <c r="I16" s="34"/>
    </row>
    <row r="17" spans="1:9" ht="12.75">
      <c r="A17" t="s">
        <v>18</v>
      </c>
      <c r="B17" s="32">
        <v>2020</v>
      </c>
      <c r="C17" s="30"/>
      <c r="D17" s="25">
        <v>2009</v>
      </c>
      <c r="E17" s="23">
        <f>IF(D17&lt;=B17,B12*EXP(B13*(D17-D13)),"")</f>
        <v>28032850.26903396</v>
      </c>
      <c r="F17" s="24">
        <f>IF(D17&gt;B17,"",IF(B15&gt;D17,"",IF(B15=D17,B16,IF(B15&lt;D17,(D17-B15)*B19+B16,B18))))</f>
        <v>0.1685</v>
      </c>
      <c r="G17" s="23">
        <f>IF(ISERR(F17*E17),IF(D17&gt;B17,G16,""),F17*E17)</f>
        <v>4723535.270332223</v>
      </c>
      <c r="H17" s="22">
        <f>IF(ISERR(G17-G16),"",(G17-G16))</f>
        <v>218399.16515390202</v>
      </c>
      <c r="I17" s="21">
        <f>IF(ISERR(B14*H17),"",((B14*H17)))</f>
        <v>362542.6141554773</v>
      </c>
    </row>
    <row r="18" spans="1:9" ht="12.75">
      <c r="A18" t="s">
        <v>478</v>
      </c>
      <c r="B18" s="31">
        <v>0.24</v>
      </c>
      <c r="C18" s="30"/>
      <c r="D18" s="25">
        <v>2010</v>
      </c>
      <c r="E18" s="23">
        <f>IF(D18&lt;=B17,B12*EXP(B13*(D18-D13)),"")</f>
        <v>28258012.51932334</v>
      </c>
      <c r="F18" s="24">
        <f>IF(D18&gt;B17,"",IF(B15&gt;D18,"",IF(B15=D18,B16,IF(B15&lt;D18,(D18-B15)*B19+B16,B18))))</f>
        <v>0.175</v>
      </c>
      <c r="G18" s="23">
        <f>IF(ISERR(F18*E18),IF(D18&gt;B17,G17,""),F18*E18)</f>
        <v>4945152.190881585</v>
      </c>
      <c r="H18" s="22">
        <f>IF(ISERR(G18-G16),"",(G18-G16))</f>
        <v>440016.085703264</v>
      </c>
      <c r="I18" s="21">
        <f>IF(ISERR(B14*H18),"",((B14*H18)))</f>
        <v>730426.7022674181</v>
      </c>
    </row>
    <row r="19" spans="1:9" ht="12.75">
      <c r="A19" s="29" t="s">
        <v>477</v>
      </c>
      <c r="B19" s="108">
        <f>(B18-B16)/(B17-B15)</f>
        <v>0.006499999999999999</v>
      </c>
      <c r="D19" s="25">
        <v>2011</v>
      </c>
      <c r="E19" s="23">
        <f>IF(D19&lt;=B17,B12*EXP(B13*(D19-D13)),"")</f>
        <v>28484983.292059377</v>
      </c>
      <c r="F19" s="24">
        <f>IF(D19&gt;B17,"",IF(B15&gt;D19,"",IF(B15=D19,B16,IF(B15&lt;D19,(D19-B15)*B19+B16,B18))))</f>
        <v>0.1815</v>
      </c>
      <c r="G19" s="23">
        <f>IF(ISERR(F19*E19),IF(D19&gt;B17,G18,""),F19*E19)</f>
        <v>5170024.467508777</v>
      </c>
      <c r="H19" s="22">
        <f>IF(ISERR(G19-G16),"",(G19-G16))</f>
        <v>664888.3623304563</v>
      </c>
      <c r="I19" s="21">
        <f>IF(ISERR(B14*H19),"",((B14*H19)))</f>
        <v>1103714.6814685573</v>
      </c>
    </row>
    <row r="20" spans="1:9" ht="12.75">
      <c r="A20"/>
      <c r="D20" s="25">
        <v>2012</v>
      </c>
      <c r="E20" s="23">
        <f>IF(D20&lt;=B17,B12*EXP(B13*(D20-D13)),"")</f>
        <v>28713777.113448996</v>
      </c>
      <c r="F20" s="24">
        <f>IF(D20&gt;B17,"",IF(B15&gt;D20,"",IF(B15=D20,B16,IF(B15&lt;D20,(D20-B15)*B19+B16,B18))))</f>
        <v>0.188</v>
      </c>
      <c r="G20" s="23">
        <f>IF(ISERR(F20*E20),IF(D20&gt;B17,G19,""),F20*E20)</f>
        <v>5398190.097328411</v>
      </c>
      <c r="H20" s="22">
        <f>IF(ISERR(G20-G16),"",(G20-G16))</f>
        <v>893053.9921500906</v>
      </c>
      <c r="I20" s="21">
        <f>IF(ISERR(B14*H20),"",((B14*H20)))</f>
        <v>1482469.6269691503</v>
      </c>
    </row>
    <row r="21" spans="1:9" ht="12.75">
      <c r="A21"/>
      <c r="D21" s="25">
        <v>2013</v>
      </c>
      <c r="E21" s="23">
        <f>IF(D21&lt;=B17,B12*EXP(B13*(D21-D13)),"")</f>
        <v>28944408.626374867</v>
      </c>
      <c r="F21" s="24">
        <f>IF(D21&gt;B17,"",IF(B15&gt;D21,"",IF(B15=D21,B16,IF(B15&lt;D21,(D21-B15)*B19+B16,B18))))</f>
        <v>0.1945</v>
      </c>
      <c r="G21" s="23">
        <f>IF(ISERR(F21*E21),IF(D21&gt;B17,G20,""),F21*E21)</f>
        <v>5629687.477829912</v>
      </c>
      <c r="H21" s="22">
        <f>IF(ISERR(G21-G16),"",(G21-G16))</f>
        <v>1124551.372651591</v>
      </c>
      <c r="I21" s="21">
        <f>IF(ISERR(B14*H21),"",((B14*H21)))</f>
        <v>1866755.2786016408</v>
      </c>
    </row>
    <row r="22" spans="1:9" ht="12.75">
      <c r="A22" t="s">
        <v>476</v>
      </c>
      <c r="B22" s="27">
        <f>VLOOKUP(B17,D13:I38,6,FALSE)</f>
        <v>4717111.410323398</v>
      </c>
      <c r="D22" s="25">
        <v>2014</v>
      </c>
      <c r="E22" s="23">
        <f>IF(D22&lt;=B17,B12*EXP(B13*(D22-D13)),"")</f>
        <v>29176892.59133254</v>
      </c>
      <c r="F22" s="24">
        <f>IF(D22&gt;B17,"",IF(B15&gt;D22,"",IF(B15=D22,B16,IF(B15&lt;D22,(D22-B15)*B19+B16,B18))))</f>
        <v>0.201</v>
      </c>
      <c r="G22" s="23">
        <f>IF(ISERR(F22*E22),IF(D22&gt;B17,G21,""),F22*E22)</f>
        <v>5864555.41085784</v>
      </c>
      <c r="H22" s="22">
        <f>IF(ISERR(G22-G16),"",(G22-G16))</f>
        <v>1359419.3056795197</v>
      </c>
      <c r="I22" s="21">
        <f>IF(ISERR(B14*H22),"",((B14*H22)))</f>
        <v>2256636.0474280026</v>
      </c>
    </row>
    <row r="23" spans="1:9" ht="12.75">
      <c r="A23" t="s">
        <v>560</v>
      </c>
      <c r="B23" s="27">
        <f>SUM(I17:I38)</f>
        <v>77022586.09354483</v>
      </c>
      <c r="D23" s="25">
        <v>2015</v>
      </c>
      <c r="E23" s="23">
        <f>IF(D23&lt;=B17,B12*EXP(B13*(D23-D13)),"")</f>
        <v>29411243.887375128</v>
      </c>
      <c r="F23" s="24">
        <f>IF(D23&gt;B17,"",IF(B15&gt;D23,"",IF(B15=D23,B16,IF(B15&lt;D23,(D23-B15)*B19+B16,B18))))</f>
        <v>0.2075</v>
      </c>
      <c r="G23" s="23">
        <f>IF(ISERR(F23*E23),IF(D23&gt;B17,G22,""),F23*E23)</f>
        <v>6102833.106630338</v>
      </c>
      <c r="H23" s="22">
        <f>IF(ISERR(G23-G16),"",(G23-G16))</f>
        <v>1597697.0014520176</v>
      </c>
      <c r="I23" s="21">
        <f>IF(ISERR(B14*H23),"",((B14*H23)))</f>
        <v>2652177.022410349</v>
      </c>
    </row>
    <row r="24" spans="1:9" ht="12.75">
      <c r="A24" t="s">
        <v>619</v>
      </c>
      <c r="B24" s="26">
        <f>B22/(10^6)</f>
        <v>4.717111410323398</v>
      </c>
      <c r="D24" s="25">
        <v>2016</v>
      </c>
      <c r="E24" s="23">
        <f>IF(D24&lt;=B17,B12*EXP(B13*(D24-D13)),"")</f>
        <v>29647477.51306556</v>
      </c>
      <c r="F24" s="24">
        <f>IF(D24&gt;B17,"",IF(B15&gt;D24,"",IF(B15=D24,B16,IF(B15&lt;D24,(D24-B15)*B19+B16,B18))))</f>
        <v>0.214</v>
      </c>
      <c r="G24" s="23">
        <f>IF(ISERR(F24*E24),IF(D24&gt;B17,G23,""),F24*E24)</f>
        <v>6344560.18779603</v>
      </c>
      <c r="H24" s="22">
        <f>IF(ISERR(G24-G16),"",(G24-G16))</f>
        <v>1839424.0826177094</v>
      </c>
      <c r="I24" s="21">
        <f>IF(ISERR(B14*H24),"",((B14*H24)))</f>
        <v>3053443.9771453976</v>
      </c>
    </row>
    <row r="25" spans="1:9" ht="12.75">
      <c r="A25" t="s">
        <v>618</v>
      </c>
      <c r="B25" s="26">
        <f>B23/(10^6)</f>
        <v>77.02258609354483</v>
      </c>
      <c r="D25" s="25">
        <v>2017</v>
      </c>
      <c r="E25" s="23">
        <f>IF(D25&lt;=B17,B12*EXP(B13*(D25-D13)),"")</f>
        <v>29885608.587436523</v>
      </c>
      <c r="F25" s="24">
        <f>IF(D25&gt;B17,"",IF(B15&gt;D25,"",IF(B15=D25,B16,IF(B15&lt;D25,(D25-B15)*B19+B16,B18))))</f>
        <v>0.2205</v>
      </c>
      <c r="G25" s="23">
        <f>IF(ISERR(F25*E25),IF(D25&gt;B17,G24,""),F25*E25)</f>
        <v>6589776.693529753</v>
      </c>
      <c r="H25" s="22">
        <f>IF(ISERR(G25-G16),"",(G25-G16))</f>
        <v>2084640.5883514322</v>
      </c>
      <c r="I25" s="21">
        <f>IF(ISERR(B14*H25),"",((B14*H25)))</f>
        <v>3460503.3766633775</v>
      </c>
    </row>
    <row r="26" spans="1:9" ht="12.75">
      <c r="A26"/>
      <c r="D26" s="25">
        <v>2018</v>
      </c>
      <c r="E26" s="23">
        <f>IF(D26&lt;=B17,B12*EXP(B13*(D26-D13)),"")</f>
        <v>30125652.350958064</v>
      </c>
      <c r="F26" s="24">
        <f>IF(D26&gt;B17,"",IF(B15&gt;D26,"",IF(B15=D26,B16,IF(B15&lt;D26,(D26-B15)*B19+B16,B18))))</f>
        <v>0.22699999999999998</v>
      </c>
      <c r="G26" s="23">
        <f>IF(ISERR(F26*E26),IF(D26&gt;B17,G25,""),F26*E26)</f>
        <v>6838523.08366748</v>
      </c>
      <c r="H26" s="22">
        <f>IF(ISERR(G26-G16),"",(G26-G16))</f>
        <v>2333386.9784891596</v>
      </c>
      <c r="I26" s="21">
        <f>IF(ISERR(B14*H26),"",((B14*H26)))</f>
        <v>3873422.3842920046</v>
      </c>
    </row>
    <row r="27" spans="1:9" ht="12.75">
      <c r="A27"/>
      <c r="D27" s="25">
        <v>2019</v>
      </c>
      <c r="E27" s="23">
        <f>IF(D27&lt;=B17,B12*EXP(B13*(D27-D13)),"")</f>
        <v>30367624.166512977</v>
      </c>
      <c r="F27" s="24">
        <f>IF(D27&gt;B17,"",IF(B15&gt;D27,"",IF(B15=D27,B16,IF(B15&lt;D27,(D27-B15)*B19+B16,B18))))</f>
        <v>0.23349999999999999</v>
      </c>
      <c r="G27" s="23">
        <f>IF(ISERR(F27*E27),IF(D27&gt;B17,G26,""),F27*E27)</f>
        <v>7090840.242880779</v>
      </c>
      <c r="H27" s="22">
        <f>IF(ISERR(G27-G16),"",(G27-G16))</f>
        <v>2585704.1377024585</v>
      </c>
      <c r="I27" s="21">
        <f>IF(ISERR(B14*H27),"",((B14*H27)))</f>
        <v>4292268.868586081</v>
      </c>
    </row>
    <row r="28" spans="1:9" ht="12.75">
      <c r="A28"/>
      <c r="D28" s="25">
        <v>2020</v>
      </c>
      <c r="E28" s="23">
        <f>IF(D28&lt;=B17,B12*EXP(B13*(D28-D13)),"")</f>
        <v>30611539.52038005</v>
      </c>
      <c r="F28" s="24">
        <f>IF(D28&gt;B17,"",IF(B15&gt;D28,"",IF(B15=D28,B16,IF(B15&lt;D28,(D28-B15)*B19+B16,B18))))</f>
        <v>0.24</v>
      </c>
      <c r="G28" s="23">
        <f>IF(ISERR(F28*E28),IF(D28&gt;B17,G27,""),F28*E28)</f>
        <v>7346769.484891212</v>
      </c>
      <c r="H28" s="22">
        <f>IF(ISERR(G28-G16),"",(G28-G16))</f>
        <v>2841633.379712891</v>
      </c>
      <c r="I28" s="21">
        <f>IF(ISERR(B14*H28),"",((B14*H28)))</f>
        <v>4717111.410323398</v>
      </c>
    </row>
    <row r="29" spans="1:9" ht="12.75">
      <c r="A29"/>
      <c r="D29" s="25">
        <v>2021</v>
      </c>
      <c r="E29" s="23">
        <f>IF(D29&lt;=B17,B12*EXP(B13*(D29-D13)),"")</f>
      </c>
      <c r="F29" s="24">
        <f>IF(D29&gt;B17,"",IF(B15&gt;D29,"",IF(B15=D29,B16,IF(B15&lt;D29,(D29-B15)*B19+B16,B18))))</f>
      </c>
      <c r="G29" s="23">
        <f>IF(ISERR(F29*E29),IF(D29&gt;B17,G28,""),F29*E29)</f>
        <v>7346769.484891212</v>
      </c>
      <c r="H29" s="22">
        <f>IF(ISERR(G29-G16),"",(G29-G16))</f>
        <v>2841633.379712891</v>
      </c>
      <c r="I29" s="21">
        <f>IF(ISERR(B14*H29),"",((B14*H29)))</f>
        <v>4717111.410323398</v>
      </c>
    </row>
    <row r="30" spans="1:9" ht="12.75">
      <c r="A30"/>
      <c r="D30" s="25">
        <v>2022</v>
      </c>
      <c r="E30" s="23">
        <f>IF(D30&lt;=B17,B12*EXP(B13*(D30-D13)),"")</f>
      </c>
      <c r="F30" s="24">
        <f>IF(D30&gt;B17,"",IF(B15&gt;D30,"",IF(B15=D30,B16,IF(B15&lt;D30,(D30-B15)*B19+B16,B18))))</f>
      </c>
      <c r="G30" s="23">
        <f>IF(ISERR(F30*E30),IF(D30&gt;B17,G29,""),F30*E30)</f>
        <v>7346769.484891212</v>
      </c>
      <c r="H30" s="22">
        <f>IF(ISERR(G30-G16),"",(G30-G16))</f>
        <v>2841633.379712891</v>
      </c>
      <c r="I30" s="21">
        <f>IF(ISERR(B14*H30),"",((B14*H30)))</f>
        <v>4717111.410323398</v>
      </c>
    </row>
    <row r="31" spans="1:9" ht="12.75">
      <c r="A31"/>
      <c r="D31" s="25">
        <v>2023</v>
      </c>
      <c r="E31" s="23">
        <f>IF(D31&lt;=B17,B12*EXP(B13*(D31-D13)),"")</f>
      </c>
      <c r="F31" s="24">
        <f>IF(D31&gt;B17,"",IF(B15&gt;D31,"",IF(B15=D31,B16,IF(B15&lt;D31,(D31-B15)*B19+B16,B18))))</f>
      </c>
      <c r="G31" s="23">
        <f>IF(ISERR(F31*E31),IF(D31&gt;B17,G30,""),F31*E31)</f>
        <v>7346769.484891212</v>
      </c>
      <c r="H31" s="22">
        <f>IF(ISERR(G31-G16),"",(G31-G16))</f>
        <v>2841633.379712891</v>
      </c>
      <c r="I31" s="21">
        <f>IF(ISERR(B14*H31),"",((B14*H31)))</f>
        <v>4717111.410323398</v>
      </c>
    </row>
    <row r="32" spans="1:9" ht="12.75">
      <c r="A32"/>
      <c r="D32" s="25">
        <v>2024</v>
      </c>
      <c r="E32" s="23">
        <f>IF(D32&lt;=B17,B12*EXP(B13*(D32-D13)),"")</f>
      </c>
      <c r="F32" s="24">
        <f>IF(D32&gt;B17,"",IF(B15&gt;D32,"",IF(B15=D32,B16,IF(B15&lt;D32,(D32-B15)*B19+B16,B18))))</f>
      </c>
      <c r="G32" s="23">
        <f>IF(ISERR(F32*E32),IF(D32&gt;B17,G31,""),F32*E32)</f>
        <v>7346769.484891212</v>
      </c>
      <c r="H32" s="22">
        <f>IF(ISERR(G32-G16),"",(G32-G16))</f>
        <v>2841633.379712891</v>
      </c>
      <c r="I32" s="21">
        <f>IF(ISERR(B14*H32),"",((B14*H32)))</f>
        <v>4717111.410323398</v>
      </c>
    </row>
    <row r="33" spans="1:9" ht="12.75">
      <c r="A33"/>
      <c r="D33" s="25">
        <v>2025</v>
      </c>
      <c r="E33" s="23">
        <f>IF(D33&lt;=B17,B12*EXP(B13*(D33-D13)),"")</f>
      </c>
      <c r="F33" s="24">
        <f>IF(D33&gt;B17,"",IF(B15&gt;D33,"",IF(B15=D33,B16,IF(B15&lt;D33,(D33-B15)*B19+B16,B18))))</f>
      </c>
      <c r="G33" s="23">
        <f>IF(ISERR(F33*E33),IF(D33&gt;B17,G32,""),F33*E33)</f>
        <v>7346769.484891212</v>
      </c>
      <c r="H33" s="22">
        <f>IF(ISERR(G33-G16),"",(G33-G16))</f>
        <v>2841633.379712891</v>
      </c>
      <c r="I33" s="21">
        <f>IF(ISERR(B14*H33),"",((B14*H33)))</f>
        <v>4717111.410323398</v>
      </c>
    </row>
    <row r="34" spans="1:9" ht="12.75">
      <c r="A34"/>
      <c r="D34" s="25">
        <v>2026</v>
      </c>
      <c r="E34" s="23">
        <f>IF(D34&lt;=B17,B12*EXP(B13*(D34-D13)),"")</f>
      </c>
      <c r="F34" s="24">
        <f>IF(D34&gt;B17,"",IF(B15&gt;D34,"",IF(B15=D34,B16,IF(B15&lt;D34,(D34-B15)*B19+B16,B18))))</f>
      </c>
      <c r="G34" s="23">
        <f>IF(ISERR(F34*E34),IF(D34&gt;B17,G33,""),F34*E34)</f>
        <v>7346769.484891212</v>
      </c>
      <c r="H34" s="22">
        <f>IF(ISERR(G34-G16),"",(G34-G16))</f>
        <v>2841633.379712891</v>
      </c>
      <c r="I34" s="21">
        <f>IF(ISERR(B14*H34),"",((B14*H34)))</f>
        <v>4717111.410323398</v>
      </c>
    </row>
    <row r="35" spans="1:9" ht="12.75">
      <c r="A35"/>
      <c r="D35" s="25">
        <v>2027</v>
      </c>
      <c r="E35" s="23">
        <f>IF(D35&lt;=B17,B12*EXP(B13*(D35-D13)),"")</f>
      </c>
      <c r="F35" s="24">
        <f>IF(D35&gt;B17,"",IF(B15&gt;D35,"",IF(B15=D35,B16,IF(B15&lt;D35,(D35-B15)*B19+B16,B18))))</f>
      </c>
      <c r="G35" s="23">
        <f>IF(ISERR(F35*E35),IF(D35&gt;B17,G34,""),F35*E35)</f>
        <v>7346769.484891212</v>
      </c>
      <c r="H35" s="22">
        <f>IF(ISERR(G35-G16),"",(G35-G16))</f>
        <v>2841633.379712891</v>
      </c>
      <c r="I35" s="21">
        <f>IF(ISERR(B14*H35),"",((B14*H35)))</f>
        <v>4717111.410323398</v>
      </c>
    </row>
    <row r="36" spans="1:9" ht="12.75">
      <c r="A36"/>
      <c r="D36" s="25">
        <v>2028</v>
      </c>
      <c r="E36" s="23">
        <f>IF(D36&lt;=B17,B12*EXP(B13*(D36-D13)),"")</f>
      </c>
      <c r="F36" s="24">
        <f>IF(D36&gt;B17,"",IF(B15&gt;D36,"",IF(B15=D36,B16,IF(B15&lt;D36,(D36-B15)*B19+B16,B18))))</f>
      </c>
      <c r="G36" s="23">
        <f>IF(ISERR(F36*E36),IF(D36&gt;B17,G35,""),F36*E36)</f>
        <v>7346769.484891212</v>
      </c>
      <c r="H36" s="22">
        <f>IF(ISERR(G36-G16),"",(G36-G16))</f>
        <v>2841633.379712891</v>
      </c>
      <c r="I36" s="21">
        <f>IF(ISERR(B14*H36),"",((B14*H36)))</f>
        <v>4717111.410323398</v>
      </c>
    </row>
    <row r="37" spans="1:9" ht="12.75">
      <c r="A37"/>
      <c r="D37" s="25">
        <v>2029</v>
      </c>
      <c r="E37" s="23">
        <f>IF(D37&lt;=B17,B12*EXP(B13*(D37-D13)),"")</f>
      </c>
      <c r="F37" s="24">
        <f>IF(D37&gt;B17,"",IF(B15&gt;D37,"",IF(B15=D37,B16,IF(B15&lt;D37,(D37-B15)*B19+B16,B18))))</f>
      </c>
      <c r="G37" s="23">
        <f>IF(ISERR(F37*E37),IF(D37&gt;B17,G36,""),F37*E37)</f>
        <v>7346769.484891212</v>
      </c>
      <c r="H37" s="22">
        <f>IF(ISERR(G37-G16),"",(G37-G16))</f>
        <v>2841633.379712891</v>
      </c>
      <c r="I37" s="21">
        <f>IF(ISERR(B14*H37),"",((B14*H37)))</f>
        <v>4717111.410323398</v>
      </c>
    </row>
    <row r="38" spans="1:9" ht="13.5" thickBot="1">
      <c r="A38"/>
      <c r="D38" s="20">
        <v>2030</v>
      </c>
      <c r="E38" s="18">
        <f>IF(D38&lt;=B17,B12*EXP(B13*(D38-D13)),"")</f>
      </c>
      <c r="F38" s="19">
        <f>IF(D38&gt;B17,"",IF(B15&gt;D38,"",IF(B15=D38,B16,IF(B15&lt;D38,(D38-B15)*B19+B16,B18))))</f>
      </c>
      <c r="G38" s="18">
        <f>IF(ISERR(F38*E38),IF(D38&gt;B17,G37,""),F38*E38)</f>
        <v>7346769.484891212</v>
      </c>
      <c r="H38" s="17">
        <f>IF(ISERR(G38-G16),"",(G38-G16))</f>
        <v>2841633.379712891</v>
      </c>
      <c r="I38" s="16">
        <f>IF(ISERR(B14*H38),"",((B14*H38)))</f>
        <v>4717111.410323398</v>
      </c>
    </row>
    <row r="39" spans="1:4" ht="12.75">
      <c r="A39" t="s">
        <v>952</v>
      </c>
      <c r="D39" s="93" t="s">
        <v>1096</v>
      </c>
    </row>
    <row r="40" ht="12.75">
      <c r="E40" s="64"/>
    </row>
    <row r="41" spans="2:13" ht="12.75">
      <c r="B41" s="67"/>
      <c r="K41" s="63"/>
      <c r="L41" s="63"/>
      <c r="M41" s="63"/>
    </row>
    <row r="42" spans="1:9" s="73" customFormat="1" ht="12" customHeight="1">
      <c r="A42" s="481" t="s">
        <v>8</v>
      </c>
      <c r="B42" s="483"/>
      <c r="C42" s="483"/>
      <c r="D42" s="483"/>
      <c r="E42" s="483"/>
      <c r="F42" s="483"/>
      <c r="G42" s="483"/>
      <c r="H42" s="483"/>
      <c r="I42" s="484"/>
    </row>
    <row r="43" spans="1:9" s="74" customFormat="1" ht="19.5" customHeight="1">
      <c r="A43" s="488" t="s">
        <v>617</v>
      </c>
      <c r="B43" s="469"/>
      <c r="C43" s="469"/>
      <c r="D43" s="469"/>
      <c r="E43" s="469"/>
      <c r="F43" s="469"/>
      <c r="G43" s="469"/>
      <c r="H43" s="469"/>
      <c r="I43" s="75"/>
    </row>
    <row r="44" spans="1:9" s="73" customFormat="1" ht="29.25" customHeight="1">
      <c r="A44" s="485" t="s">
        <v>64</v>
      </c>
      <c r="B44" s="490"/>
      <c r="C44" s="490"/>
      <c r="D44" s="490"/>
      <c r="E44" s="490"/>
      <c r="F44" s="490"/>
      <c r="G44" s="490"/>
      <c r="H44" s="490"/>
      <c r="I44" s="491"/>
    </row>
    <row r="45" spans="1:9" ht="12" customHeight="1">
      <c r="A45" s="479" t="s">
        <v>166</v>
      </c>
      <c r="B45" s="462"/>
      <c r="C45" s="462"/>
      <c r="D45" s="462"/>
      <c r="E45" s="462"/>
      <c r="F45" s="462"/>
      <c r="G45" s="462"/>
      <c r="H45" s="462"/>
      <c r="I45" s="449"/>
    </row>
    <row r="46" ht="15.75" customHeight="1"/>
    <row r="47" spans="1:12" ht="12.75">
      <c r="A47" s="63" t="s">
        <v>952</v>
      </c>
      <c r="D47" s="47" t="s">
        <v>63</v>
      </c>
      <c r="J47" s="63"/>
      <c r="K47" s="63"/>
      <c r="L47" s="63"/>
    </row>
    <row r="48" spans="2:13" ht="13.5" thickBot="1">
      <c r="B48" s="63"/>
      <c r="E48" s="64"/>
      <c r="K48" s="63"/>
      <c r="L48" s="63"/>
      <c r="M48" s="63"/>
    </row>
    <row r="49" spans="1:9" ht="89.25">
      <c r="A49" t="s">
        <v>613</v>
      </c>
      <c r="B49" s="74" t="s">
        <v>612</v>
      </c>
      <c r="D49" s="46" t="s">
        <v>488</v>
      </c>
      <c r="E49" s="45" t="s">
        <v>487</v>
      </c>
      <c r="F49" s="45" t="s">
        <v>486</v>
      </c>
      <c r="G49" s="45" t="s">
        <v>745</v>
      </c>
      <c r="H49" s="45" t="s">
        <v>777</v>
      </c>
      <c r="I49" s="44" t="s">
        <v>744</v>
      </c>
    </row>
    <row r="50" spans="1:9" ht="13.5" thickBot="1">
      <c r="A50" t="s">
        <v>87</v>
      </c>
      <c r="B50" s="58">
        <v>7090000</v>
      </c>
      <c r="D50" s="43"/>
      <c r="E50" s="41" t="s">
        <v>86</v>
      </c>
      <c r="F50" s="42" t="s">
        <v>7</v>
      </c>
      <c r="G50" s="41" t="s">
        <v>6</v>
      </c>
      <c r="H50" s="41" t="s">
        <v>82</v>
      </c>
      <c r="I50" s="40" t="s">
        <v>81</v>
      </c>
    </row>
    <row r="51" spans="1:9" ht="13.5" thickTop="1">
      <c r="A51" t="s">
        <v>80</v>
      </c>
      <c r="B51" s="31">
        <v>0.042</v>
      </c>
      <c r="C51" s="30"/>
      <c r="D51" s="25">
        <v>2005</v>
      </c>
      <c r="E51" s="23">
        <f>IF(D51&lt;=B55,B50*EXP(B51*(D51-D51)),"")</f>
        <v>7090000</v>
      </c>
      <c r="F51" s="24">
        <f>IF(D51&gt;B55,"",IF(B53&gt;D51,"",IF(B53=D51,B54,IF(B53&lt;D51,(D51-B53)*B57+B54,B56))))</f>
        <v>0.0007276445698166431</v>
      </c>
      <c r="G51" s="23">
        <f>IF(ISERR(F51*E51),IF(D51&gt;B55,G50,""),F51*E51)</f>
        <v>5159</v>
      </c>
      <c r="H51" s="39"/>
      <c r="I51" s="38"/>
    </row>
    <row r="52" spans="1:9" ht="12.75">
      <c r="A52" t="s">
        <v>525</v>
      </c>
      <c r="B52" s="37">
        <v>2.52</v>
      </c>
      <c r="D52" s="25">
        <v>2006</v>
      </c>
      <c r="E52" s="23">
        <f>IF(D52&lt;=B55,B50*EXP(B51*(D52-D51)),"")</f>
        <v>7394121.854342911</v>
      </c>
      <c r="F52" s="24">
        <f>IF(D52&gt;B55,"",IF(B53&gt;D52,"",IF(B53=D52,B54,IF(B53&lt;D52,(D52-B53)*B57+B54,B56))))</f>
        <v>0.007345801598495534</v>
      </c>
      <c r="G52" s="23">
        <f>IF(ISERR(F52*E52),IF(D52&gt;B55,G51,""),F52*E52)</f>
        <v>54315.75213710292</v>
      </c>
      <c r="H52" s="23"/>
      <c r="I52" s="34"/>
    </row>
    <row r="53" spans="1:9" ht="12.75">
      <c r="A53" t="s">
        <v>524</v>
      </c>
      <c r="B53" s="37">
        <v>2005</v>
      </c>
      <c r="D53" s="25">
        <v>2007</v>
      </c>
      <c r="E53" s="23">
        <f>IF(D53&lt;=B55,B50*EXP(B51*(D53-D51)),"")</f>
        <v>7711288.857104577</v>
      </c>
      <c r="F53" s="24">
        <f>IF(D53&gt;B55,"",IF(B53&gt;D53,"",IF(B53=D53,B54,IF(B53&lt;D53,(D53-B53)*B57+B54,B56))))</f>
        <v>0.013963958627174426</v>
      </c>
      <c r="G53" s="23">
        <f>IF(ISERR(F53*E53),IF(D53&gt;B55,G52,""),F53*E53)</f>
        <v>107680.11856279947</v>
      </c>
      <c r="H53" s="23"/>
      <c r="I53" s="34"/>
    </row>
    <row r="54" spans="1:9" s="33" customFormat="1" ht="12.75">
      <c r="A54" s="33" t="s">
        <v>523</v>
      </c>
      <c r="B54" s="36">
        <f>5159/E51</f>
        <v>0.0007276445698166431</v>
      </c>
      <c r="C54" s="35"/>
      <c r="D54" s="25">
        <v>2008</v>
      </c>
      <c r="E54" s="23">
        <f>IF(D54&lt;=B55,B50*EXP(B51*(D54-D51)),"")</f>
        <v>8042060.573126648</v>
      </c>
      <c r="F54" s="24">
        <f>IF(D54&gt;B55,"",IF(B53&gt;D54,"",IF(B53=D54,B54,IF(B53&lt;D54,(D54-B53)*B57+B54,B56))))</f>
        <v>0.020582115655853318</v>
      </c>
      <c r="G54" s="23">
        <f>IF(ISERR(F54*E54),IF(D54&gt;B55,G53,""),F54*E54)</f>
        <v>165522.62082747067</v>
      </c>
      <c r="H54" s="23"/>
      <c r="I54" s="34"/>
    </row>
    <row r="55" spans="1:9" ht="12.75">
      <c r="A55" t="s">
        <v>522</v>
      </c>
      <c r="B55" s="32">
        <v>2020</v>
      </c>
      <c r="C55" s="30"/>
      <c r="D55" s="25">
        <v>2009</v>
      </c>
      <c r="E55" s="23">
        <f>IF(D55&lt;=B55,B50*EXP(B51*(D55-D51)),"")</f>
        <v>8387020.569492978</v>
      </c>
      <c r="F55" s="24">
        <f>IF(D55&gt;B55,"",IF(B53&gt;D55,"",IF(B53=D55,B54,IF(B53&lt;D55,(D55-B53)*B57+B54,B56))))</f>
        <v>0.02720027268453221</v>
      </c>
      <c r="G55" s="23">
        <f>IF(ISERR(F55*E55),IF(D55&gt;B55,G54,""),F55*E55)</f>
        <v>228129.24650098963</v>
      </c>
      <c r="H55" s="22">
        <f>IF(ISERR(G55-G54),"",(G55-G54))</f>
        <v>62606.62567351895</v>
      </c>
      <c r="I55" s="21">
        <f>IF(ISERR(B52*H55),"",((B52*H55)))</f>
        <v>157768.69669726776</v>
      </c>
    </row>
    <row r="56" spans="1:9" ht="12.75">
      <c r="A56" t="s">
        <v>79</v>
      </c>
      <c r="B56" s="31">
        <v>0.1</v>
      </c>
      <c r="C56" s="30"/>
      <c r="D56" s="25">
        <v>2010</v>
      </c>
      <c r="E56" s="23">
        <f>IF(D56&lt;=B55,B50*EXP(B51*(D56-D51)),"")</f>
        <v>8746777.44509331</v>
      </c>
      <c r="F56" s="24">
        <f>IF(D56&gt;B55,"",IF(B53&gt;D56,"",IF(B53=D56,B54,IF(B53&lt;D56,(D56-B53)*B57+B54,B56))))</f>
        <v>0.0338184297132111</v>
      </c>
      <c r="G56" s="23">
        <f>IF(ISERR(F56*E56),IF(D56&gt;B55,G55,""),F56*E56)</f>
        <v>295802.2782439882</v>
      </c>
      <c r="H56" s="22">
        <f>IF(ISERR(G56-G54),"",(G56-G54))</f>
        <v>130279.65741651756</v>
      </c>
      <c r="I56" s="21">
        <f>IF(ISERR(B52*H56),"",((B52*H56)))</f>
        <v>328304.73668962426</v>
      </c>
    </row>
    <row r="57" spans="1:9" ht="12.75">
      <c r="A57" s="29" t="s">
        <v>521</v>
      </c>
      <c r="B57" s="28">
        <f>(B56-B54)/(B55-B53)</f>
        <v>0.006618157028678891</v>
      </c>
      <c r="D57" s="25">
        <v>2011</v>
      </c>
      <c r="E57" s="23">
        <f>IF(D57&lt;=B55,B50*EXP(B51*(D57-D51)),"")</f>
        <v>9121965.90434952</v>
      </c>
      <c r="F57" s="24">
        <f>IF(D57&gt;B55,"",IF(B53&gt;D57,"",IF(B53=D57,B54,IF(B53&lt;D57,(D57-B53)*B57+B54,B56))))</f>
        <v>0.04043658674188999</v>
      </c>
      <c r="G57" s="23">
        <f>IF(ISERR(F57*E57),IF(D57&gt;B55,G56,""),F57*E57)</f>
        <v>368861.1655477924</v>
      </c>
      <c r="H57" s="22">
        <f>IF(ISERR(G57-G54),"",(G57-G54))</f>
        <v>203338.54472032172</v>
      </c>
      <c r="I57" s="21">
        <f>IF(ISERR(B52*H57),"",((B52*H57)))</f>
        <v>512413.13269521075</v>
      </c>
    </row>
    <row r="58" spans="1:9" ht="12.75">
      <c r="A58"/>
      <c r="D58" s="25">
        <v>2012</v>
      </c>
      <c r="E58" s="23">
        <f>IF(D58&lt;=B55,B50*EXP(B51*(D58-D51)),"")</f>
        <v>9513247.876998827</v>
      </c>
      <c r="F58" s="24">
        <f>IF(D58&gt;B55,"",IF(B53&gt;D58,"",IF(B53=D58,B54,IF(B53&lt;D58,(D58-B53)*B57+B54,B56))))</f>
        <v>0.04705474377056888</v>
      </c>
      <c r="G58" s="23">
        <f>IF(ISERR(F58*E58),IF(D58&gt;B55,G57,""),F58*E58)</f>
        <v>447643.4412780882</v>
      </c>
      <c r="H58" s="22">
        <f>IF(ISERR(G58-G54),"",(G58-G54))</f>
        <v>282120.8204506175</v>
      </c>
      <c r="I58" s="21">
        <f>IF(ISERR(B52*H58),"",((B52*H58)))</f>
        <v>710944.4675355562</v>
      </c>
    </row>
    <row r="59" spans="1:9" ht="12.75">
      <c r="A59"/>
      <c r="D59" s="25">
        <v>2013</v>
      </c>
      <c r="E59" s="23">
        <f>IF(D59&lt;=B55,B50*EXP(B51*(D59-D51)),"")</f>
        <v>9921313.685909497</v>
      </c>
      <c r="F59" s="24">
        <f>IF(D59&gt;B55,"",IF(B53&gt;D59,"",IF(B53=D59,B54,IF(B53&lt;D59,(D59-B53)*B57+B54,B56))))</f>
        <v>0.053672900799247775</v>
      </c>
      <c r="G59" s="23">
        <f>IF(ISERR(F59*E59),IF(D59&gt;B55,G58,""),F59*E59)</f>
        <v>532505.6852620397</v>
      </c>
      <c r="H59" s="22">
        <f>IF(ISERR(G59-G54),"",(G59-G54))</f>
        <v>366983.064434569</v>
      </c>
      <c r="I59" s="21">
        <f>IF(ISERR(B52*H59),"",((B52*H59)))</f>
        <v>924797.3223751138</v>
      </c>
    </row>
    <row r="60" spans="1:9" ht="12.75">
      <c r="A60" t="s">
        <v>520</v>
      </c>
      <c r="B60" s="27">
        <f>VLOOKUP(B55,D51:I76,6,FALSE)</f>
        <v>2937572.265274791</v>
      </c>
      <c r="D60" s="25">
        <v>2014</v>
      </c>
      <c r="E60" s="23">
        <f>IF(D60&lt;=B55,B50*EXP(B51*(D60-D51)),"")</f>
        <v>10346883.264989398</v>
      </c>
      <c r="F60" s="24">
        <f>IF(D60&gt;B55,"",IF(B53&gt;D60,"",IF(B53=D60,B54,IF(B53&lt;D60,(D60-B53)*B57+B54,B56))))</f>
        <v>0.06029105782792667</v>
      </c>
      <c r="G60" s="23">
        <f>IF(ISERR(F60*E60),IF(D60&gt;B55,G59,""),F60*E60)</f>
        <v>623824.5372682825</v>
      </c>
      <c r="H60" s="22">
        <f>IF(ISERR(G60-G54),"",(G60-G54))</f>
        <v>458301.9164408118</v>
      </c>
      <c r="I60" s="21">
        <f>IF(ISERR(B52*H60),"",((B52*H60)))</f>
        <v>1154920.8294308458</v>
      </c>
    </row>
    <row r="61" spans="1:9" ht="12.75">
      <c r="A61" t="s">
        <v>593</v>
      </c>
      <c r="B61" s="27">
        <f>SUM(I55:I76)</f>
        <v>45971762.65786074</v>
      </c>
      <c r="D61" s="25">
        <v>2015</v>
      </c>
      <c r="E61" s="23">
        <f>IF(D61&lt;=B55,B50*EXP(B51*(D61-D51)),"")</f>
        <v>10790707.429336114</v>
      </c>
      <c r="F61" s="24">
        <f>IF(D61&gt;B55,"",IF(B53&gt;D61,"",IF(B53=D61,B54,IF(B53&lt;D61,(D61-B53)*B57+B54,B56))))</f>
        <v>0.06690921485660555</v>
      </c>
      <c r="G61" s="23">
        <f>IF(ISERR(F61*E61),IF(D61&gt;B55,G60,""),F61*E61)</f>
        <v>721997.7618442198</v>
      </c>
      <c r="H61" s="22">
        <f>IF(ISERR(G61-G54),"",(G61-G54))</f>
        <v>556475.1410167491</v>
      </c>
      <c r="I61" s="21">
        <f>IF(ISERR(B52*H61),"",((B52*H61)))</f>
        <v>1402317.3553622076</v>
      </c>
    </row>
    <row r="62" spans="1:9" ht="12.75">
      <c r="A62" t="s">
        <v>1068</v>
      </c>
      <c r="B62" s="26">
        <f>B60/(10^6)</f>
        <v>2.937572265274791</v>
      </c>
      <c r="D62" s="25">
        <v>2016</v>
      </c>
      <c r="E62" s="23">
        <f>IF(D62&lt;=B55,B50*EXP(B51*(D62-D51)),"")</f>
        <v>11253569.199869476</v>
      </c>
      <c r="F62" s="24">
        <f>IF(D62&gt;B55,"",IF(B53&gt;D62,"",IF(B53=D62,B54,IF(B53&lt;D62,(D62-B53)*B57+B54,B56))))</f>
        <v>0.07352737188528444</v>
      </c>
      <c r="G62" s="23">
        <f>IF(ISERR(F62*E62),IF(D62&gt;B55,G61,""),F62*E62)</f>
        <v>827445.3675955858</v>
      </c>
      <c r="H62" s="22">
        <f>IF(ISERR(G62-G54),"",(G62-G54))</f>
        <v>661922.7467681151</v>
      </c>
      <c r="I62" s="21">
        <f>IF(ISERR(B52*H62),"",((B52*H62)))</f>
        <v>1668045.32185565</v>
      </c>
    </row>
    <row r="63" spans="1:9" ht="12.75">
      <c r="A63" t="s">
        <v>1067</v>
      </c>
      <c r="B63" s="26">
        <f>B61/(10^6)</f>
        <v>45.971762657860744</v>
      </c>
      <c r="D63" s="25">
        <v>2017</v>
      </c>
      <c r="E63" s="23">
        <f>IF(D63&lt;=B55,B50*EXP(B51*(D63-D51)),"")</f>
        <v>11736285.18478352</v>
      </c>
      <c r="F63" s="24">
        <f>IF(D63&gt;B55,"",IF(B53&gt;D63,"",IF(B53=D63,B54,IF(B53&lt;D63,(D63-B53)*B57+B54,B56))))</f>
        <v>0.08014552891396333</v>
      </c>
      <c r="G63" s="23">
        <f>IF(ISERR(F63*E63),IF(D63&gt;B55,G62,""),F63*E63)</f>
        <v>940610.7836195871</v>
      </c>
      <c r="H63" s="22">
        <f>IF(ISERR(G63-G54),"",(G63-G54))</f>
        <v>775088.1627921164</v>
      </c>
      <c r="I63" s="21">
        <f>IF(ISERR(B52*H63),"",((B52*H63)))</f>
        <v>1953222.1702361333</v>
      </c>
    </row>
    <row r="64" spans="1:9" ht="12.75">
      <c r="A64"/>
      <c r="D64" s="25">
        <v>2018</v>
      </c>
      <c r="E64" s="23">
        <f>IF(D64&lt;=B55,B50*EXP(B51*(D64-D51)),"")</f>
        <v>12239707.020255113</v>
      </c>
      <c r="F64" s="24">
        <f>IF(D64&gt;B55,"",IF(B53&gt;D64,"",IF(B53=D64,B54,IF(B53&lt;D64,(D64-B53)*B57+B54,B56))))</f>
        <v>0.08676368594264222</v>
      </c>
      <c r="G64" s="23">
        <f>IF(ISERR(F64*E64),IF(D64&gt;B55,G63,""),F64*E64)</f>
        <v>1061962.0959353677</v>
      </c>
      <c r="H64" s="22">
        <f>IF(ISERR(G64-G54),"",(G64-G54))</f>
        <v>896439.4751078971</v>
      </c>
      <c r="I64" s="21">
        <f>IF(ISERR(B52*H64),"",((B52*H64)))</f>
        <v>2259027.4772719005</v>
      </c>
    </row>
    <row r="65" spans="1:9" ht="12.75">
      <c r="A65"/>
      <c r="D65" s="25">
        <v>2019</v>
      </c>
      <c r="E65" s="23">
        <f>IF(D65&lt;=B55,B50*EXP(B51*(D65-D51)),"")</f>
        <v>12764722.872951016</v>
      </c>
      <c r="F65" s="24">
        <f>IF(D65&gt;B55,"",IF(B53&gt;D65,"",IF(B53=D65,B54,IF(B53&lt;D65,(D65-B53)*B57+B54,B56))))</f>
        <v>0.09338184297132111</v>
      </c>
      <c r="G65" s="23">
        <f>IF(ISERR(F65*E65),IF(D65&gt;B55,G64,""),F65*E65)</f>
        <v>1191993.3468943427</v>
      </c>
      <c r="H65" s="22">
        <f>IF(ISERR(G65-G54),"",(G65-G54))</f>
        <v>1026470.726066872</v>
      </c>
      <c r="I65" s="21">
        <f>IF(ISERR(B52*H65),"",((B52*H65)))</f>
        <v>2586706.2296885173</v>
      </c>
    </row>
    <row r="66" spans="1:9" ht="12.75">
      <c r="A66" s="57"/>
      <c r="D66" s="25">
        <v>2020</v>
      </c>
      <c r="E66" s="23">
        <f>IF(D66&lt;=B55,B50*EXP(B51*(D66-D51)),"")</f>
        <v>13312259.006984193</v>
      </c>
      <c r="F66" s="24">
        <f>IF(D66&gt;B55,"",IF(B53&gt;D66,"",IF(B53=D66,B54,IF(B53&lt;D66,(D66-B53)*B57+B54,B56))))</f>
        <v>0.1</v>
      </c>
      <c r="G66" s="23">
        <f>IF(ISERR(F66*E66),IF(D66&gt;B55,G65,""),F66*E66)</f>
        <v>1331225.9006984194</v>
      </c>
      <c r="H66" s="22">
        <f>IF(ISERR(G66-G54),"",(G66-G54))</f>
        <v>1165703.2798709488</v>
      </c>
      <c r="I66" s="21">
        <f>IF(ISERR(B52*H66),"",((B52*H66)))</f>
        <v>2937572.265274791</v>
      </c>
    </row>
    <row r="67" spans="1:9" ht="12.75">
      <c r="A67"/>
      <c r="D67" s="25">
        <v>2021</v>
      </c>
      <c r="E67" s="23">
        <f>IF(D67&lt;=B55,B50*EXP(B51*(D67-D51)),"")</f>
      </c>
      <c r="F67" s="24">
        <f>IF(D67&gt;B55,"",IF(B53&gt;D67,"",IF(B53=D67,B54,IF(B53&lt;D67,(D67-B53)*B57+B54,B56))))</f>
      </c>
      <c r="G67" s="23">
        <f>IF(ISERR(F67*E67),IF(D67&gt;B55,G66,""),F67*E67)</f>
        <v>1331225.9006984194</v>
      </c>
      <c r="H67" s="22">
        <f>IF(ISERR(G67-G54),"",(G67-G54))</f>
        <v>1165703.2798709488</v>
      </c>
      <c r="I67" s="21">
        <f>IF(ISERR(B52*H67),"",((B52*H67)))</f>
        <v>2937572.265274791</v>
      </c>
    </row>
    <row r="68" spans="1:9" ht="12.75">
      <c r="A68"/>
      <c r="D68" s="25">
        <v>2022</v>
      </c>
      <c r="E68" s="23">
        <f>IF(D68&lt;=B55,B50*EXP(B51*(D68-D51)),"")</f>
      </c>
      <c r="F68" s="24">
        <f>IF(D68&gt;B55,"",IF(B53&gt;D68,"",IF(B53=D68,B54,IF(B53&lt;D68,(D68-B53)*B57+B54,B56))))</f>
      </c>
      <c r="G68" s="23">
        <f>IF(ISERR(F68*E68),IF(D68&gt;B55,G67,""),F68*E68)</f>
        <v>1331225.9006984194</v>
      </c>
      <c r="H68" s="22">
        <f>IF(ISERR(G68-G54),"",(G68-G54))</f>
        <v>1165703.2798709488</v>
      </c>
      <c r="I68" s="21">
        <f>IF(ISERR(B52*H68),"",((B52*H68)))</f>
        <v>2937572.265274791</v>
      </c>
    </row>
    <row r="69" spans="1:9" ht="12.75">
      <c r="A69"/>
      <c r="D69" s="25">
        <v>2023</v>
      </c>
      <c r="E69" s="23">
        <f>IF(D69&lt;=B55,B50*EXP(B51*(D69-D51)),"")</f>
      </c>
      <c r="F69" s="24">
        <f>IF(D69&gt;B55,"",IF(B53&gt;D69,"",IF(B53=D69,B54,IF(B53&lt;D69,(D69-B53)*B57+B54,B56))))</f>
      </c>
      <c r="G69" s="23">
        <f>IF(ISERR(F69*E69),IF(D69&gt;B55,G68,""),F69*E69)</f>
        <v>1331225.9006984194</v>
      </c>
      <c r="H69" s="22">
        <f>IF(ISERR(G69-G54),"",(G69-G54))</f>
        <v>1165703.2798709488</v>
      </c>
      <c r="I69" s="21">
        <f>IF(ISERR(B52*H69),"",((B52*H69)))</f>
        <v>2937572.265274791</v>
      </c>
    </row>
    <row r="70" spans="1:9" ht="12.75">
      <c r="A70"/>
      <c r="D70" s="25">
        <v>2024</v>
      </c>
      <c r="E70" s="23">
        <f>IF(D70&lt;=B55,B50*EXP(B51*(D70-D51)),"")</f>
      </c>
      <c r="F70" s="24">
        <f>IF(D70&gt;B55,"",IF(B53&gt;D70,"",IF(B53=D70,B54,IF(B53&lt;D70,(D70-B53)*B57+B54,B56))))</f>
      </c>
      <c r="G70" s="23">
        <f>IF(ISERR(F70*E70),IF(D70&gt;B55,G69,""),F70*E70)</f>
        <v>1331225.9006984194</v>
      </c>
      <c r="H70" s="22">
        <f>IF(ISERR(G70-G54),"",(G70-G54))</f>
        <v>1165703.2798709488</v>
      </c>
      <c r="I70" s="21">
        <f>IF(ISERR(B52*H70),"",((B52*H70)))</f>
        <v>2937572.265274791</v>
      </c>
    </row>
    <row r="71" spans="1:9" ht="12.75">
      <c r="A71"/>
      <c r="D71" s="25">
        <v>2025</v>
      </c>
      <c r="E71" s="23">
        <f>IF(D71&lt;=B55,B50*EXP(B51*(D71-D51)),"")</f>
      </c>
      <c r="F71" s="24">
        <f>IF(D71&gt;B55,"",IF(B53&gt;D71,"",IF(B53=D71,B54,IF(B53&lt;D71,(D71-B53)*B57+B54,B56))))</f>
      </c>
      <c r="G71" s="23">
        <f>IF(ISERR(F71*E71),IF(D71&gt;B55,G70,""),F71*E71)</f>
        <v>1331225.9006984194</v>
      </c>
      <c r="H71" s="22">
        <f>IF(ISERR(G71-G54),"",(G71-G54))</f>
        <v>1165703.2798709488</v>
      </c>
      <c r="I71" s="21">
        <f>IF(ISERR(B52*H71),"",((B52*H71)))</f>
        <v>2937572.265274791</v>
      </c>
    </row>
    <row r="72" spans="1:9" ht="12.75">
      <c r="A72"/>
      <c r="D72" s="25">
        <v>2026</v>
      </c>
      <c r="E72" s="23">
        <f>IF(D72&lt;=B55,B50*EXP(B51*(D72-D51)),"")</f>
      </c>
      <c r="F72" s="24">
        <f>IF(D72&gt;B55,"",IF(B53&gt;D72,"",IF(B53=D72,B54,IF(B53&lt;D72,(D72-B53)*B57+B54,B56))))</f>
      </c>
      <c r="G72" s="23">
        <f>IF(ISERR(F72*E72),IF(D72&gt;B55,G71,""),F72*E72)</f>
        <v>1331225.9006984194</v>
      </c>
      <c r="H72" s="22">
        <f>IF(ISERR(G72-G54),"",(G72-G54))</f>
        <v>1165703.2798709488</v>
      </c>
      <c r="I72" s="21">
        <f>IF(ISERR(B52*H72),"",((B52*H72)))</f>
        <v>2937572.265274791</v>
      </c>
    </row>
    <row r="73" spans="1:9" ht="12.75">
      <c r="A73"/>
      <c r="D73" s="25">
        <v>2027</v>
      </c>
      <c r="E73" s="23">
        <f>IF(D73&lt;=B55,B50*EXP(B51*(D73-D51)),"")</f>
      </c>
      <c r="F73" s="24">
        <f>IF(D73&gt;B55,"",IF(B53&gt;D73,"",IF(B53=D73,B54,IF(B53&lt;D73,(D73-B53)*B57+B54,B56))))</f>
      </c>
      <c r="G73" s="23">
        <f>IF(ISERR(F73*E73),IF(D73&gt;B55,G72,""),F73*E73)</f>
        <v>1331225.9006984194</v>
      </c>
      <c r="H73" s="22">
        <f>IF(ISERR(G73-G54),"",(G73-G54))</f>
        <v>1165703.2798709488</v>
      </c>
      <c r="I73" s="21">
        <f>IF(ISERR(B52*H73),"",((B52*H73)))</f>
        <v>2937572.265274791</v>
      </c>
    </row>
    <row r="74" spans="1:9" ht="12.75">
      <c r="A74"/>
      <c r="D74" s="25">
        <v>2028</v>
      </c>
      <c r="E74" s="23">
        <f>IF(D74&lt;=B55,B50*EXP(B51*(D74-D51)),"")</f>
      </c>
      <c r="F74" s="24">
        <f>IF(D74&gt;B55,"",IF(B53&gt;D74,"",IF(B53=D74,B54,IF(B53&lt;D74,(D74-B53)*B57+B54,B56))))</f>
      </c>
      <c r="G74" s="23">
        <f>IF(ISERR(F74*E74),IF(D74&gt;B55,G73,""),F74*E74)</f>
        <v>1331225.9006984194</v>
      </c>
      <c r="H74" s="22">
        <f>IF(ISERR(G74-G54),"",(G74-G54))</f>
        <v>1165703.2798709488</v>
      </c>
      <c r="I74" s="21">
        <f>IF(ISERR(B52*H74),"",((B52*H74)))</f>
        <v>2937572.265274791</v>
      </c>
    </row>
    <row r="75" spans="1:9" ht="12.75">
      <c r="A75"/>
      <c r="D75" s="25">
        <v>2029</v>
      </c>
      <c r="E75" s="23">
        <f>IF(D75&lt;=B55,B50*EXP(B51*(D75-D51)),"")</f>
      </c>
      <c r="F75" s="24">
        <f>IF(D75&gt;B55,"",IF(B53&gt;D75,"",IF(B53=D75,B54,IF(B53&lt;D75,(D75-B53)*B57+B54,B56))))</f>
      </c>
      <c r="G75" s="23">
        <f>IF(ISERR(F75*E75),IF(D75&gt;B55,G74,""),F75*E75)</f>
        <v>1331225.9006984194</v>
      </c>
      <c r="H75" s="22">
        <f>IF(ISERR(G75-G54),"",(G75-G54))</f>
        <v>1165703.2798709488</v>
      </c>
      <c r="I75" s="21">
        <f>IF(ISERR(B52*H75),"",((B52*H75)))</f>
        <v>2937572.265274791</v>
      </c>
    </row>
    <row r="76" spans="1:9" ht="13.5" thickBot="1">
      <c r="A76"/>
      <c r="D76" s="20">
        <v>2030</v>
      </c>
      <c r="E76" s="18">
        <f>IF(D76&lt;=B55,B50*EXP(B51*(D76-D51)),"")</f>
      </c>
      <c r="F76" s="19">
        <f>IF(D76&gt;B55,"",IF(B53&gt;D76,"",IF(B53=D76,B54,IF(B53&lt;D76,(D76-B53)*B57+B54,B56))))</f>
      </c>
      <c r="G76" s="18">
        <f>IF(ISERR(F76*E76),IF(D76&gt;B55,G75,""),F76*E76)</f>
        <v>1331225.9006984194</v>
      </c>
      <c r="H76" s="17">
        <f>IF(ISERR(G76-G54),"",(G76-G54))</f>
        <v>1165703.2798709488</v>
      </c>
      <c r="I76" s="16">
        <f>IF(ISERR(B52*H76),"",((B52*H76)))</f>
        <v>2937572.265274791</v>
      </c>
    </row>
    <row r="77" spans="2:13" ht="12.75">
      <c r="B77" s="63"/>
      <c r="E77" s="64"/>
      <c r="K77" s="63"/>
      <c r="L77" s="63"/>
      <c r="M77" s="63"/>
    </row>
    <row r="78" spans="2:13" ht="12.75">
      <c r="B78" s="63"/>
      <c r="E78" s="64"/>
      <c r="K78" s="63"/>
      <c r="L78" s="63"/>
      <c r="M78" s="63"/>
    </row>
    <row r="79" spans="2:13" ht="12.75">
      <c r="B79" s="67"/>
      <c r="K79" s="63"/>
      <c r="L79" s="63"/>
      <c r="M79" s="63"/>
    </row>
    <row r="80" spans="1:9" s="73" customFormat="1" ht="12" customHeight="1">
      <c r="A80" s="481" t="s">
        <v>95</v>
      </c>
      <c r="B80" s="482"/>
      <c r="C80" s="482"/>
      <c r="D80" s="482"/>
      <c r="E80" s="482"/>
      <c r="F80" s="482"/>
      <c r="G80" s="482"/>
      <c r="H80" s="482"/>
      <c r="I80" s="437"/>
    </row>
    <row r="81" spans="1:9" s="74" customFormat="1" ht="43.5" customHeight="1">
      <c r="A81" s="485" t="s">
        <v>78</v>
      </c>
      <c r="B81" s="456"/>
      <c r="C81" s="456"/>
      <c r="D81" s="456"/>
      <c r="E81" s="456"/>
      <c r="F81" s="456"/>
      <c r="G81" s="456"/>
      <c r="H81" s="456"/>
      <c r="I81" s="75"/>
    </row>
    <row r="82" spans="1:9" s="73" customFormat="1" ht="15.75" customHeight="1">
      <c r="A82" s="472" t="s">
        <v>778</v>
      </c>
      <c r="B82" s="469"/>
      <c r="C82" s="469"/>
      <c r="D82" s="469"/>
      <c r="E82" s="469"/>
      <c r="F82" s="469"/>
      <c r="G82" s="469"/>
      <c r="H82" s="469"/>
      <c r="I82" s="478"/>
    </row>
    <row r="83" spans="1:9" ht="12" customHeight="1">
      <c r="A83" s="479" t="s">
        <v>75</v>
      </c>
      <c r="B83" s="474"/>
      <c r="C83" s="474"/>
      <c r="D83" s="474"/>
      <c r="E83" s="59"/>
      <c r="F83" s="59"/>
      <c r="G83" s="59"/>
      <c r="H83" s="59"/>
      <c r="I83" s="72"/>
    </row>
    <row r="84" ht="15.75" customHeight="1"/>
    <row r="85" spans="1:12" ht="12.75">
      <c r="A85" s="71" t="s">
        <v>952</v>
      </c>
      <c r="B85" s="74"/>
      <c r="C85" s="74"/>
      <c r="D85" s="47" t="s">
        <v>74</v>
      </c>
      <c r="J85" s="63"/>
      <c r="K85" s="63"/>
      <c r="L85" s="63"/>
    </row>
    <row r="86" spans="2:14" ht="13.5" thickBot="1">
      <c r="B86" s="67"/>
      <c r="J86" s="63"/>
      <c r="K86" s="63"/>
      <c r="L86" s="63"/>
      <c r="M86" s="63"/>
      <c r="N86" s="63"/>
    </row>
    <row r="87" spans="1:9" ht="89.25">
      <c r="A87" t="s">
        <v>743</v>
      </c>
      <c r="B87" s="74" t="s">
        <v>489</v>
      </c>
      <c r="D87" s="46" t="s">
        <v>488</v>
      </c>
      <c r="E87" s="45" t="s">
        <v>487</v>
      </c>
      <c r="F87" s="45" t="s">
        <v>486</v>
      </c>
      <c r="G87" s="45" t="s">
        <v>485</v>
      </c>
      <c r="H87" s="45" t="s">
        <v>777</v>
      </c>
      <c r="I87" s="44" t="s">
        <v>528</v>
      </c>
    </row>
    <row r="88" spans="1:9" ht="13.5" thickBot="1">
      <c r="A88" t="s">
        <v>527</v>
      </c>
      <c r="B88" s="58">
        <v>13810000</v>
      </c>
      <c r="D88" s="43"/>
      <c r="E88" s="41" t="s">
        <v>863</v>
      </c>
      <c r="F88" s="42" t="s">
        <v>862</v>
      </c>
      <c r="G88" s="41" t="s">
        <v>861</v>
      </c>
      <c r="H88" s="41" t="s">
        <v>860</v>
      </c>
      <c r="I88" s="40" t="s">
        <v>859</v>
      </c>
    </row>
    <row r="89" spans="1:9" ht="13.5" thickTop="1">
      <c r="A89" t="s">
        <v>526</v>
      </c>
      <c r="B89" s="31">
        <v>0.021</v>
      </c>
      <c r="C89" s="30"/>
      <c r="D89" s="25">
        <v>2005</v>
      </c>
      <c r="E89" s="23">
        <f>IF(D89&lt;=B93,B88*EXP(B89*(D89-D89)),"")</f>
        <v>13810000</v>
      </c>
      <c r="F89" s="24">
        <f>IF(D89&gt;B93,"",IF(B91&gt;D89,"",IF(B91=D89,B92,IF(B91&lt;D89,(D89-B91)*B95+B92,B94))))</f>
      </c>
      <c r="G89" s="23">
        <f>IF(ISERR(F89*E89),IF(D89&gt;B93,G88,""),F89*E89)</f>
      </c>
      <c r="H89" s="39"/>
      <c r="I89" s="38"/>
    </row>
    <row r="90" spans="1:9" ht="12.75">
      <c r="A90" t="s">
        <v>525</v>
      </c>
      <c r="B90" s="37">
        <v>2.99</v>
      </c>
      <c r="D90" s="25">
        <v>2006</v>
      </c>
      <c r="E90" s="23">
        <f>IF(D90&lt;=B93,B88*EXP(B89*(D90-D89)),"")</f>
        <v>14103076.53311427</v>
      </c>
      <c r="F90" s="24">
        <f>IF(D90&gt;B93,"",IF(B91&gt;D90,"",IF(B91=D90,B92,IF(B91&lt;D90,(D90-B91)*B95+B92,B94))))</f>
      </c>
      <c r="G90" s="23">
        <f>IF(ISERR(F90*E90),IF(D90&gt;B93,G89,""),F90*E90)</f>
      </c>
      <c r="H90" s="23"/>
      <c r="I90" s="34"/>
    </row>
    <row r="91" spans="1:9" ht="12.75">
      <c r="A91" t="s">
        <v>524</v>
      </c>
      <c r="B91" s="37">
        <v>2008</v>
      </c>
      <c r="D91" s="25">
        <v>2007</v>
      </c>
      <c r="E91" s="23">
        <f>IF(D91&lt;=B93,B88*EXP(B89*(D91-D89)),"")</f>
        <v>14402372.75154804</v>
      </c>
      <c r="F91" s="24">
        <f>IF(D91&gt;B93,"",IF(B91&gt;D91,"",IF(B91=D91,B92,IF(B91&lt;D91,(D91-B91)*B95+B92,B94))))</f>
      </c>
      <c r="G91" s="23">
        <f>IF(ISERR(F91*E91),IF(D91&gt;B93,G90,""),F91*E91)</f>
      </c>
      <c r="H91" s="23"/>
      <c r="I91" s="34"/>
    </row>
    <row r="92" spans="1:9" s="33" customFormat="1" ht="12.75">
      <c r="A92" s="33" t="s">
        <v>523</v>
      </c>
      <c r="B92" s="36">
        <v>0.04</v>
      </c>
      <c r="C92" s="35"/>
      <c r="D92" s="25">
        <v>2008</v>
      </c>
      <c r="E92" s="23">
        <f>IF(D92&lt;=B93,B88*EXP(B89*(D92-D89)),"")</f>
        <v>14708020.649784327</v>
      </c>
      <c r="F92" s="24">
        <f>IF(D92&gt;B93,"",IF(B91&gt;D92,"",IF(B91=D92,B92,IF(B91&lt;D92,(D92-B91)*B95+B92,B94))))</f>
        <v>0.04</v>
      </c>
      <c r="G92" s="23">
        <f>IF(ISERR(F92*E92),IF(D92&gt;B93,G91,""),F92*E92)</f>
        <v>588320.825991373</v>
      </c>
      <c r="H92" s="23"/>
      <c r="I92" s="34"/>
    </row>
    <row r="93" spans="1:9" ht="12.75">
      <c r="A93" t="s">
        <v>522</v>
      </c>
      <c r="B93" s="32">
        <v>2012</v>
      </c>
      <c r="C93" s="30"/>
      <c r="D93" s="25">
        <v>2009</v>
      </c>
      <c r="E93" s="23">
        <f>IF(D93&lt;=B93,B88*EXP(B89*(D93-D89)),"")</f>
        <v>15020155.02349989</v>
      </c>
      <c r="F93" s="24">
        <f>IF(D93&gt;B93,"",IF(B91&gt;D93,"",IF(B91=D93,B92,IF(B91&lt;D93,(D93-B91)*B95+B92,B94))))</f>
        <v>0.055</v>
      </c>
      <c r="G93" s="23">
        <f>IF(ISERR(F93*E93),IF(D93&gt;B93,G92,""),F93*E93)</f>
        <v>826108.5262924939</v>
      </c>
      <c r="H93" s="22">
        <f>IF(ISERR(G93-G92),"",(G93-G92))</f>
        <v>237787.70030112087</v>
      </c>
      <c r="I93" s="21">
        <f>IF(ISERR(B90*H93),"",((B90*H93)))</f>
        <v>710985.2239003514</v>
      </c>
    </row>
    <row r="94" spans="1:9" ht="12.75">
      <c r="A94" t="s">
        <v>921</v>
      </c>
      <c r="B94" s="31">
        <v>0.1</v>
      </c>
      <c r="C94" s="30"/>
      <c r="D94" s="25">
        <v>2010</v>
      </c>
      <c r="E94" s="23">
        <f>IF(D94&lt;=B93,B88*EXP(B89*(D94-D89)),"")</f>
        <v>15338913.529012289</v>
      </c>
      <c r="F94" s="24">
        <f>IF(D94&gt;B93,"",IF(B91&gt;D94,"",IF(B91=D94,B92,IF(B91&lt;D94,(D94-B91)*B95+B92,B94))))</f>
        <v>0.07</v>
      </c>
      <c r="G94" s="23">
        <f>IF(ISERR(F94*E94),IF(D94&gt;B93,G93,""),F94*E94)</f>
        <v>1073723.9470308602</v>
      </c>
      <c r="H94" s="22">
        <f>IF(ISERR(G94-G92),"",(G94-G92))</f>
        <v>485403.1210394872</v>
      </c>
      <c r="I94" s="21">
        <f>IF(ISERR(B90*H94),"",((B90*H94)))</f>
        <v>1451355.3319080668</v>
      </c>
    </row>
    <row r="95" spans="1:9" ht="12.75">
      <c r="A95" s="29" t="s">
        <v>521</v>
      </c>
      <c r="B95" s="28">
        <f>(B94-B92)/(B93-B91)</f>
        <v>0.015000000000000001</v>
      </c>
      <c r="D95" s="25">
        <v>2011</v>
      </c>
      <c r="E95" s="23">
        <f>IF(D95&lt;=B93,B88*EXP(B89*(D95-D89)),"")</f>
        <v>15664436.743988577</v>
      </c>
      <c r="F95" s="24">
        <f>IF(D95&gt;B93,"",IF(B91&gt;D95,"",IF(B91=D95,B92,IF(B91&lt;D95,(D95-B91)*B95+B92,B94))))</f>
        <v>0.085</v>
      </c>
      <c r="G95" s="23">
        <f>IF(ISERR(F95*E95),IF(D95&gt;B93,G94,""),F95*E95)</f>
        <v>1331477.1232390292</v>
      </c>
      <c r="H95" s="22">
        <f>IF(ISERR(G95-G92),"",(G95-G92))</f>
        <v>743156.2972476562</v>
      </c>
      <c r="I95" s="21">
        <f>IF(ISERR(B90*H95),"",((B90*H95)))</f>
        <v>2222037.328770492</v>
      </c>
    </row>
    <row r="96" spans="1:9" ht="12.75">
      <c r="A96"/>
      <c r="D96" s="25">
        <v>2012</v>
      </c>
      <c r="E96" s="23">
        <f>IF(D96&lt;=B93,B88*EXP(B89*(D96-D89)),"")</f>
        <v>15996868.229442302</v>
      </c>
      <c r="F96" s="24">
        <f>IF(D96&gt;B93,"",IF(B91&gt;D96,"",IF(B91=D96,B92,IF(B91&lt;D96,(D96-B91)*B95+B92,B94))))</f>
        <v>0.1</v>
      </c>
      <c r="G96" s="23">
        <f>IF(ISERR(F96*E96),IF(D96&gt;B93,G95,""),F96*E96)</f>
        <v>1599686.8229442304</v>
      </c>
      <c r="H96" s="22">
        <f>IF(ISERR(G96-G92),"",(G96-G92))</f>
        <v>1011365.9969528574</v>
      </c>
      <c r="I96" s="21">
        <f>IF(ISERR(B90*H96),"",((B90*H96)))</f>
        <v>3023984.330889044</v>
      </c>
    </row>
    <row r="97" spans="1:9" ht="12.75">
      <c r="A97"/>
      <c r="D97" s="25">
        <v>2013</v>
      </c>
      <c r="E97" s="23">
        <f>IF(D97&lt;=B93,B88*EXP(B89*(D97-D89)),"")</f>
      </c>
      <c r="F97" s="24">
        <f>IF(D97&gt;B93,"",IF(B91&gt;D97,"",IF(B91=D97,B92,IF(B91&lt;D97,(D97-B91)*B95+B92,B94))))</f>
      </c>
      <c r="G97" s="23">
        <f>IF(ISERR(F97*E97),IF(D97&gt;B93,G96,""),F97*E97)</f>
        <v>1599686.8229442304</v>
      </c>
      <c r="H97" s="22">
        <f>IF(ISERR(G97-G92),"",(G97-G92))</f>
        <v>1011365.9969528574</v>
      </c>
      <c r="I97" s="21">
        <f>IF(ISERR(B90*H97),"",((B90*H97)))</f>
        <v>3023984.330889044</v>
      </c>
    </row>
    <row r="98" spans="1:9" ht="12.75">
      <c r="A98" t="s">
        <v>520</v>
      </c>
      <c r="B98" s="27">
        <f>VLOOKUP(B93,D89:I114,6,FALSE)</f>
        <v>3023984.330889044</v>
      </c>
      <c r="D98" s="25">
        <v>2014</v>
      </c>
      <c r="E98" s="23">
        <f>IF(D98&lt;=B93,B88*EXP(B89*(D98-D89)),"")</f>
      </c>
      <c r="F98" s="24">
        <f>IF(D98&gt;B93,"",IF(B91&gt;D98,"",IF(B91=D98,B92,IF(B91&lt;D98,(D98-B91)*B95+B92,B94))))</f>
      </c>
      <c r="G98" s="23">
        <f>IF(ISERR(F98*E98),IF(D98&gt;B93,G97,""),F98*E98)</f>
        <v>1599686.8229442304</v>
      </c>
      <c r="H98" s="22">
        <f>IF(ISERR(G98-G92),"",(G98-G92))</f>
        <v>1011365.9969528574</v>
      </c>
      <c r="I98" s="21">
        <f>IF(ISERR(B90*H98),"",((B90*H98)))</f>
        <v>3023984.330889044</v>
      </c>
    </row>
    <row r="99" spans="1:9" ht="12.75">
      <c r="A99" t="s">
        <v>593</v>
      </c>
      <c r="B99" s="27">
        <f>SUM(I93:I114)</f>
        <v>61840080.17147076</v>
      </c>
      <c r="D99" s="25">
        <v>2015</v>
      </c>
      <c r="E99" s="23">
        <f>IF(D99&lt;=B93,B88*EXP(B89*(D99-D89)),"")</f>
      </c>
      <c r="F99" s="24">
        <f>IF(D99&gt;B93,"",IF(B91&gt;D99,"",IF(B91=D99,B92,IF(B91&lt;D99,(D99-B91)*B95+B92,B94))))</f>
      </c>
      <c r="G99" s="23">
        <f>IF(ISERR(F99*E99),IF(D99&gt;B93,G98,""),F99*E99)</f>
        <v>1599686.8229442304</v>
      </c>
      <c r="H99" s="22">
        <f>IF(ISERR(G99-G92),"",(G99-G92))</f>
        <v>1011365.9969528574</v>
      </c>
      <c r="I99" s="21">
        <f>IF(ISERR(B90*H99),"",((B90*H99)))</f>
        <v>3023984.330889044</v>
      </c>
    </row>
    <row r="100" spans="1:9" ht="12.75">
      <c r="A100" t="s">
        <v>1068</v>
      </c>
      <c r="B100" s="26">
        <f>B98/(10^6)</f>
        <v>3.0239843308890437</v>
      </c>
      <c r="D100" s="25">
        <v>2016</v>
      </c>
      <c r="E100" s="23">
        <f>IF(D100&lt;=B93,B88*EXP(B89*(D100-D89)),"")</f>
      </c>
      <c r="F100" s="24">
        <f>IF(D100&gt;B93,"",IF(B91&gt;D100,"",IF(B91=D100,B92,IF(B91&lt;D100,(D100-B91)*B95+B92,B94))))</f>
      </c>
      <c r="G100" s="23">
        <f>IF(ISERR(F100*E100),IF(D100&gt;B93,G99,""),F100*E100)</f>
        <v>1599686.8229442304</v>
      </c>
      <c r="H100" s="22">
        <f>IF(ISERR(G100-G92),"",(G100-G92))</f>
        <v>1011365.9969528574</v>
      </c>
      <c r="I100" s="21">
        <f>IF(ISERR(B90*H100),"",((B90*H100)))</f>
        <v>3023984.330889044</v>
      </c>
    </row>
    <row r="101" spans="1:9" ht="12.75">
      <c r="A101" t="s">
        <v>1067</v>
      </c>
      <c r="B101" s="26">
        <f>B99/(10^6)</f>
        <v>61.84008017147076</v>
      </c>
      <c r="D101" s="25">
        <v>2017</v>
      </c>
      <c r="E101" s="23">
        <f>IF(D101&lt;=B93,B88*EXP(B89*(D101-D89)),"")</f>
      </c>
      <c r="F101" s="24">
        <f>IF(D101&gt;B93,"",IF(B91&gt;D101,"",IF(B91=D101,B92,IF(B91&lt;D101,(D101-B91)*B95+B92,B94))))</f>
      </c>
      <c r="G101" s="23">
        <f>IF(ISERR(F101*E101),IF(D101&gt;B93,G100,""),F101*E101)</f>
        <v>1599686.8229442304</v>
      </c>
      <c r="H101" s="22">
        <f>IF(ISERR(G101-G92),"",(G101-G92))</f>
        <v>1011365.9969528574</v>
      </c>
      <c r="I101" s="21">
        <f>IF(ISERR(B90*H101),"",((B90*H101)))</f>
        <v>3023984.330889044</v>
      </c>
    </row>
    <row r="102" spans="1:9" ht="12.75">
      <c r="A102"/>
      <c r="D102" s="25">
        <v>2018</v>
      </c>
      <c r="E102" s="23">
        <f>IF(D102&lt;=B93,B88*EXP(B89*(D102-D89)),"")</f>
      </c>
      <c r="F102" s="24">
        <f>IF(D102&gt;B93,"",IF(B91&gt;D102,"",IF(B91=D102,B92,IF(B91&lt;D102,(D102-B91)*B95+B92,B94))))</f>
      </c>
      <c r="G102" s="23">
        <f>IF(ISERR(F102*E102),IF(D102&gt;B93,G101,""),F102*E102)</f>
        <v>1599686.8229442304</v>
      </c>
      <c r="H102" s="22">
        <f>IF(ISERR(G102-G92),"",(G102-G92))</f>
        <v>1011365.9969528574</v>
      </c>
      <c r="I102" s="21">
        <f>IF(ISERR(B90*H102),"",((B90*H102)))</f>
        <v>3023984.330889044</v>
      </c>
    </row>
    <row r="103" spans="1:9" ht="12.75">
      <c r="A103"/>
      <c r="D103" s="25">
        <v>2019</v>
      </c>
      <c r="E103" s="23">
        <f>IF(D103&lt;=B93,B88*EXP(B89*(D103-D89)),"")</f>
      </c>
      <c r="F103" s="24">
        <f>IF(D103&gt;B93,"",IF(B91&gt;D103,"",IF(B91=D103,B92,IF(B91&lt;D103,(D103-B91)*B95+B92,B94))))</f>
      </c>
      <c r="G103" s="23">
        <f>IF(ISERR(F103*E103),IF(D103&gt;B93,G102,""),F103*E103)</f>
        <v>1599686.8229442304</v>
      </c>
      <c r="H103" s="22">
        <f>IF(ISERR(G103-G92),"",(G103-G92))</f>
        <v>1011365.9969528574</v>
      </c>
      <c r="I103" s="21">
        <f>IF(ISERR(B90*H103),"",((B90*H103)))</f>
        <v>3023984.330889044</v>
      </c>
    </row>
    <row r="104" spans="1:9" ht="12.75">
      <c r="A104"/>
      <c r="D104" s="25">
        <v>2020</v>
      </c>
      <c r="E104" s="23">
        <f>IF(D104&lt;=B93,B88*EXP(B89*(D104-D89)),"")</f>
      </c>
      <c r="F104" s="24">
        <f>IF(D104&gt;B93,"",IF(B91&gt;D104,"",IF(B91=D104,B92,IF(B91&lt;D104,(D104-B91)*B95+B92,B94))))</f>
      </c>
      <c r="G104" s="23">
        <f>IF(ISERR(F104*E104),IF(D104&gt;B93,G103,""),F104*E104)</f>
        <v>1599686.8229442304</v>
      </c>
      <c r="H104" s="22">
        <f>IF(ISERR(G104-G92),"",(G104-G92))</f>
        <v>1011365.9969528574</v>
      </c>
      <c r="I104" s="21">
        <f>IF(ISERR(B90*H104),"",((B90*H104)))</f>
        <v>3023984.330889044</v>
      </c>
    </row>
    <row r="105" spans="1:9" ht="12.75">
      <c r="A105"/>
      <c r="D105" s="25">
        <v>2021</v>
      </c>
      <c r="E105" s="23">
        <f>IF(D105&lt;=B93,B88*EXP(B89*(D105-D89)),"")</f>
      </c>
      <c r="F105" s="24">
        <f>IF(D105&gt;B93,"",IF(B91&gt;D105,"",IF(B91=D105,B92,IF(B91&lt;D105,(D105-B91)*B95+B92,B94))))</f>
      </c>
      <c r="G105" s="23">
        <f>IF(ISERR(F105*E105),IF(D105&gt;B93,G104,""),F105*E105)</f>
        <v>1599686.8229442304</v>
      </c>
      <c r="H105" s="22">
        <f>IF(ISERR(G105-G92),"",(G105-G92))</f>
        <v>1011365.9969528574</v>
      </c>
      <c r="I105" s="21">
        <f>IF(ISERR(B90*H105),"",((B90*H105)))</f>
        <v>3023984.330889044</v>
      </c>
    </row>
    <row r="106" spans="1:9" ht="12.75">
      <c r="A106"/>
      <c r="D106" s="25">
        <v>2022</v>
      </c>
      <c r="E106" s="23">
        <f>IF(D106&lt;=B93,B88*EXP(B89*(D106-D89)),"")</f>
      </c>
      <c r="F106" s="24">
        <f>IF(D106&gt;B93,"",IF(B91&gt;D106,"",IF(B91=D106,B92,IF(B91&lt;D106,(D106-B91)*B95+B92,B94))))</f>
      </c>
      <c r="G106" s="23">
        <f>IF(ISERR(F106*E106),IF(D106&gt;B93,G105,""),F106*E106)</f>
        <v>1599686.8229442304</v>
      </c>
      <c r="H106" s="22">
        <f>IF(ISERR(G106-G92),"",(G106-G92))</f>
        <v>1011365.9969528574</v>
      </c>
      <c r="I106" s="21">
        <f>IF(ISERR(B90*H106),"",((B90*H106)))</f>
        <v>3023984.330889044</v>
      </c>
    </row>
    <row r="107" spans="1:9" ht="12.75">
      <c r="A107"/>
      <c r="D107" s="25">
        <v>2023</v>
      </c>
      <c r="E107" s="23">
        <f>IF(D107&lt;=B93,B88*EXP(B89*(D107-D89)),"")</f>
      </c>
      <c r="F107" s="24">
        <f>IF(D107&gt;B93,"",IF(B91&gt;D107,"",IF(B91=D107,B92,IF(B91&lt;D107,(D107-B91)*B95+B92,B94))))</f>
      </c>
      <c r="G107" s="23">
        <f>IF(ISERR(F107*E107),IF(D107&gt;B93,G106,""),F107*E107)</f>
        <v>1599686.8229442304</v>
      </c>
      <c r="H107" s="22">
        <f>IF(ISERR(G107-G92),"",(G107-G92))</f>
        <v>1011365.9969528574</v>
      </c>
      <c r="I107" s="21">
        <f>IF(ISERR(B90*H107),"",((B90*H107)))</f>
        <v>3023984.330889044</v>
      </c>
    </row>
    <row r="108" spans="1:9" ht="12.75">
      <c r="A108"/>
      <c r="D108" s="25">
        <v>2024</v>
      </c>
      <c r="E108" s="23">
        <f>IF(D108&lt;=B93,B88*EXP(B89*(D108-D89)),"")</f>
      </c>
      <c r="F108" s="24">
        <f>IF(D108&gt;B93,"",IF(B91&gt;D108,"",IF(B91=D108,B92,IF(B91&lt;D108,(D108-B91)*B95+B92,B94))))</f>
      </c>
      <c r="G108" s="23">
        <f>IF(ISERR(F108*E108),IF(D108&gt;B93,G107,""),F108*E108)</f>
        <v>1599686.8229442304</v>
      </c>
      <c r="H108" s="22">
        <f>IF(ISERR(G108-G92),"",(G108-G92))</f>
        <v>1011365.9969528574</v>
      </c>
      <c r="I108" s="21">
        <f>IF(ISERR(B90*H108),"",((B90*H108)))</f>
        <v>3023984.330889044</v>
      </c>
    </row>
    <row r="109" spans="1:9" ht="12.75">
      <c r="A109"/>
      <c r="D109" s="25">
        <v>2025</v>
      </c>
      <c r="E109" s="23">
        <f>IF(D109&lt;=B93,B88*EXP(B89*(D109-D89)),"")</f>
      </c>
      <c r="F109" s="24">
        <f>IF(D109&gt;B93,"",IF(B91&gt;D109,"",IF(B91=D109,B92,IF(B91&lt;D109,(D109-B91)*B95+B92,B94))))</f>
      </c>
      <c r="G109" s="23">
        <f>IF(ISERR(F109*E109),IF(D109&gt;B93,G108,""),F109*E109)</f>
        <v>1599686.8229442304</v>
      </c>
      <c r="H109" s="22">
        <f>IF(ISERR(G109-G92),"",(G109-G92))</f>
        <v>1011365.9969528574</v>
      </c>
      <c r="I109" s="21">
        <f>IF(ISERR(B90*H109),"",((B90*H109)))</f>
        <v>3023984.330889044</v>
      </c>
    </row>
    <row r="110" spans="1:9" ht="12.75">
      <c r="A110"/>
      <c r="D110" s="25">
        <v>2026</v>
      </c>
      <c r="E110" s="23">
        <f>IF(D110&lt;=B93,B88*EXP(B89*(D110-D89)),"")</f>
      </c>
      <c r="F110" s="24">
        <f>IF(D110&gt;B93,"",IF(B91&gt;D110,"",IF(B91=D110,B92,IF(B91&lt;D110,(D110-B91)*B95+B92,B94))))</f>
      </c>
      <c r="G110" s="23">
        <f>IF(ISERR(F110*E110),IF(D110&gt;B93,G109,""),F110*E110)</f>
        <v>1599686.8229442304</v>
      </c>
      <c r="H110" s="22">
        <f>IF(ISERR(G110-G92),"",(G110-G92))</f>
        <v>1011365.9969528574</v>
      </c>
      <c r="I110" s="21">
        <f>IF(ISERR(B90*H110),"",((B90*H110)))</f>
        <v>3023984.330889044</v>
      </c>
    </row>
    <row r="111" spans="1:9" ht="12.75">
      <c r="A111"/>
      <c r="D111" s="25">
        <v>2027</v>
      </c>
      <c r="E111" s="23">
        <f>IF(D111&lt;=B93,B88*EXP(B89*(D111-D89)),"")</f>
      </c>
      <c r="F111" s="24">
        <f>IF(D111&gt;B93,"",IF(B91&gt;D111,"",IF(B91=D111,B92,IF(B91&lt;D111,(D111-B91)*B95+B92,B94))))</f>
      </c>
      <c r="G111" s="23">
        <f>IF(ISERR(F111*E111),IF(D111&gt;B93,G110,""),F111*E111)</f>
        <v>1599686.8229442304</v>
      </c>
      <c r="H111" s="22">
        <f>IF(ISERR(G111-G92),"",(G111-G92))</f>
        <v>1011365.9969528574</v>
      </c>
      <c r="I111" s="21">
        <f>IF(ISERR(B90*H111),"",((B90*H111)))</f>
        <v>3023984.330889044</v>
      </c>
    </row>
    <row r="112" spans="1:9" ht="12.75">
      <c r="A112"/>
      <c r="D112" s="25">
        <v>2028</v>
      </c>
      <c r="E112" s="23">
        <f>IF(D112&lt;=B93,B88*EXP(B89*(D112-D89)),"")</f>
      </c>
      <c r="F112" s="24">
        <f>IF(D112&gt;B93,"",IF(B91&gt;D112,"",IF(B91=D112,B92,IF(B91&lt;D112,(D112-B91)*B95+B92,B94))))</f>
      </c>
      <c r="G112" s="23">
        <f>IF(ISERR(F112*E112),IF(D112&gt;B93,G111,""),F112*E112)</f>
        <v>1599686.8229442304</v>
      </c>
      <c r="H112" s="22">
        <f>IF(ISERR(G112-G92),"",(G112-G92))</f>
        <v>1011365.9969528574</v>
      </c>
      <c r="I112" s="21">
        <f>IF(ISERR(B90*H112),"",((B90*H112)))</f>
        <v>3023984.330889044</v>
      </c>
    </row>
    <row r="113" spans="1:9" ht="12.75">
      <c r="A113"/>
      <c r="D113" s="25">
        <v>2029</v>
      </c>
      <c r="E113" s="23">
        <f>IF(D113&lt;=B93,B88*EXP(B89*(D113-D89)),"")</f>
      </c>
      <c r="F113" s="24">
        <f>IF(D113&gt;B93,"",IF(B91&gt;D113,"",IF(B91=D113,B92,IF(B91&lt;D113,(D113-B91)*B95+B92,B94))))</f>
      </c>
      <c r="G113" s="23">
        <f>IF(ISERR(F113*E113),IF(D113&gt;B93,G112,""),F113*E113)</f>
        <v>1599686.8229442304</v>
      </c>
      <c r="H113" s="22">
        <f>IF(ISERR(G113-G92),"",(G113-G92))</f>
        <v>1011365.9969528574</v>
      </c>
      <c r="I113" s="21">
        <f>IF(ISERR(B90*H113),"",((B90*H113)))</f>
        <v>3023984.330889044</v>
      </c>
    </row>
    <row r="114" spans="1:9" ht="13.5" thickBot="1">
      <c r="A114"/>
      <c r="D114" s="20">
        <v>2030</v>
      </c>
      <c r="E114" s="18">
        <f>IF(D114&lt;=B93,B88*EXP(B89*(D114-D89)),"")</f>
      </c>
      <c r="F114" s="19">
        <f>IF(D114&gt;B93,"",IF(B91&gt;D114,"",IF(B91=D114,B92,IF(B91&lt;D114,(D114-B91)*B95+B92,B94))))</f>
      </c>
      <c r="G114" s="18">
        <f>IF(ISERR(F114*E114),IF(D114&gt;B93,G113,""),F114*E114)</f>
        <v>1599686.8229442304</v>
      </c>
      <c r="H114" s="17">
        <f>IF(ISERR(G114-G92),"",(G114-G92))</f>
        <v>1011365.9969528574</v>
      </c>
      <c r="I114" s="16">
        <f>IF(ISERR(B90*H114),"",((B90*H114)))</f>
        <v>3023984.330889044</v>
      </c>
    </row>
    <row r="115" spans="2:13" ht="12.75">
      <c r="B115" s="67"/>
      <c r="K115" s="63"/>
      <c r="L115" s="63"/>
      <c r="M115" s="63"/>
    </row>
    <row r="117" spans="1:9" ht="13.5" customHeight="1">
      <c r="A117" s="466" t="s">
        <v>1030</v>
      </c>
      <c r="B117" s="461"/>
      <c r="C117" s="461"/>
      <c r="D117" s="461"/>
      <c r="E117" s="461"/>
      <c r="F117" s="461"/>
      <c r="G117" s="55"/>
      <c r="H117" s="55"/>
      <c r="I117" s="54"/>
    </row>
    <row r="118" spans="1:9" ht="13.5" customHeight="1">
      <c r="A118" s="468" t="s">
        <v>592</v>
      </c>
      <c r="B118" s="463"/>
      <c r="C118" s="463"/>
      <c r="D118" s="463"/>
      <c r="E118" s="463"/>
      <c r="F118" s="463"/>
      <c r="G118" s="52"/>
      <c r="H118" s="52"/>
      <c r="I118" s="51"/>
    </row>
    <row r="119" spans="1:9" ht="13.5" customHeight="1">
      <c r="A119" s="470" t="s">
        <v>591</v>
      </c>
      <c r="B119" s="446"/>
      <c r="C119" s="446"/>
      <c r="D119" s="446"/>
      <c r="E119" s="446"/>
      <c r="F119" s="446"/>
      <c r="G119" s="52"/>
      <c r="H119" s="52"/>
      <c r="I119" s="51"/>
    </row>
    <row r="120" spans="1:9" ht="13.5" customHeight="1">
      <c r="A120" s="473" t="s">
        <v>73</v>
      </c>
      <c r="B120" s="445"/>
      <c r="C120" s="445"/>
      <c r="D120" s="445"/>
      <c r="E120" s="445"/>
      <c r="F120" s="445"/>
      <c r="G120" s="49"/>
      <c r="H120" s="49"/>
      <c r="I120" s="48"/>
    </row>
    <row r="122" spans="1:4" ht="12.75">
      <c r="A122" t="s">
        <v>952</v>
      </c>
      <c r="D122" s="47" t="s">
        <v>72</v>
      </c>
    </row>
    <row r="123" ht="13.5" thickBot="1"/>
    <row r="124" spans="1:9" ht="89.25">
      <c r="A124" t="s">
        <v>743</v>
      </c>
      <c r="B124" s="74" t="s">
        <v>71</v>
      </c>
      <c r="D124" s="46" t="s">
        <v>932</v>
      </c>
      <c r="E124" s="45" t="s">
        <v>70</v>
      </c>
      <c r="F124" s="45" t="s">
        <v>69</v>
      </c>
      <c r="G124" s="45" t="s">
        <v>68</v>
      </c>
      <c r="H124" s="45" t="s">
        <v>777</v>
      </c>
      <c r="I124" s="44" t="s">
        <v>67</v>
      </c>
    </row>
    <row r="125" spans="1:9" ht="13.5" thickBot="1">
      <c r="A125" t="s">
        <v>28</v>
      </c>
      <c r="B125" s="123">
        <v>76330000</v>
      </c>
      <c r="D125" s="43"/>
      <c r="E125" s="41" t="s">
        <v>27</v>
      </c>
      <c r="F125" s="42" t="s">
        <v>26</v>
      </c>
      <c r="G125" s="41" t="s">
        <v>25</v>
      </c>
      <c r="H125" s="41" t="s">
        <v>24</v>
      </c>
      <c r="I125" s="40" t="s">
        <v>23</v>
      </c>
    </row>
    <row r="126" spans="1:9" ht="13.5" thickTop="1">
      <c r="A126" t="s">
        <v>22</v>
      </c>
      <c r="B126" s="119">
        <v>0.028</v>
      </c>
      <c r="C126" s="30"/>
      <c r="D126" s="25">
        <v>2005</v>
      </c>
      <c r="E126" s="23">
        <f>IF(D126&lt;=B130,B125*EXP(B126*(D126-D126)),"")</f>
        <v>76330000</v>
      </c>
      <c r="F126" s="24">
        <f>IF(D126&gt;B130,"",IF(B128&gt;D126,"",IF(B128=D126,B129,IF(B128&lt;D126,(D126-B128)*B132+B129,B131))))</f>
        <v>0.034765548830079915</v>
      </c>
      <c r="G126" s="23">
        <f>IF(ISERR(F126*E126),IF(D126&gt;B130,G125,""),F126*E126)</f>
        <v>2653654.3422</v>
      </c>
      <c r="H126" s="39"/>
      <c r="I126" s="38"/>
    </row>
    <row r="127" spans="1:9" ht="12.75">
      <c r="A127" t="s">
        <v>21</v>
      </c>
      <c r="B127" s="122">
        <v>1.55</v>
      </c>
      <c r="D127" s="25">
        <v>2006</v>
      </c>
      <c r="E127" s="23">
        <f>IF(D127&lt;=B130,B125*EXP(B126*(D127-D126)),"")</f>
        <v>78497442.59188737</v>
      </c>
      <c r="F127" s="24">
        <f>IF(D127&gt;B130,"",IF(B128&gt;D127,"",IF(B128=D127,B129,IF(B128&lt;D127,(D127-B128)*B132+B129,B131))))</f>
        <v>0.0440847561400685</v>
      </c>
      <c r="G127" s="23">
        <f>IF(ISERR(F127*E127),IF(D127&gt;B130,G126,""),F127*E127)</f>
        <v>3460540.6142823813</v>
      </c>
      <c r="H127" s="23"/>
      <c r="I127" s="34"/>
    </row>
    <row r="128" spans="1:9" ht="12.75">
      <c r="A128" t="s">
        <v>20</v>
      </c>
      <c r="B128" s="122">
        <v>2005</v>
      </c>
      <c r="D128" s="25">
        <v>2007</v>
      </c>
      <c r="E128" s="23">
        <f>IF(D128&lt;=B130,B125*EXP(B126*(D128-D126)),"")</f>
        <v>80726431.19961554</v>
      </c>
      <c r="F128" s="24">
        <f>IF(D128&gt;B130,"",IF(B128&gt;D128,"",IF(B128=D128,B129,IF(B128&lt;D128,(D128-B128)*B132+B129,B131))))</f>
        <v>0.05340396345005709</v>
      </c>
      <c r="G128" s="23">
        <f>IF(ISERR(F128*E128),IF(D128&gt;B130,G127,""),F128*E128)</f>
        <v>4311111.381237816</v>
      </c>
      <c r="H128" s="23"/>
      <c r="I128" s="34"/>
    </row>
    <row r="129" spans="1:9" s="33" customFormat="1" ht="12.75">
      <c r="A129" s="33" t="s">
        <v>19</v>
      </c>
      <c r="B129" s="121">
        <f>2653654.3422/E126</f>
        <v>0.034765548830079915</v>
      </c>
      <c r="C129" s="35"/>
      <c r="D129" s="25">
        <v>2008</v>
      </c>
      <c r="E129" s="23">
        <f>IF(D129&lt;=B130,B125*EXP(B126*(D129-D126)),"")</f>
        <v>83018713.4644277</v>
      </c>
      <c r="F129" s="24">
        <f>IF(D129&gt;B130,"",IF(B128&gt;D129,"",IF(B128=D129,B129,IF(B128&lt;D129,(D129-B128)*B132+B129,B131))))</f>
        <v>0.06272317076004566</v>
      </c>
      <c r="G129" s="23">
        <f>IF(ISERR(F129*E129),IF(D129&gt;B130,G128,""),F129*E129)</f>
        <v>5207196.940908601</v>
      </c>
      <c r="H129" s="23"/>
      <c r="I129" s="34"/>
    </row>
    <row r="130" spans="1:9" ht="12.75">
      <c r="A130" t="s">
        <v>18</v>
      </c>
      <c r="B130" s="120">
        <v>2012</v>
      </c>
      <c r="C130" s="30"/>
      <c r="D130" s="25">
        <v>2009</v>
      </c>
      <c r="E130" s="23">
        <f>IF(D130&lt;=B130,B125*EXP(B126*(D130-D126)),"")</f>
        <v>85376086.6530363</v>
      </c>
      <c r="F130" s="24">
        <f>IF(D130&gt;B130,"",IF(B128&gt;D130,"",IF(B128=D130,B129,IF(B128&lt;D130,(D130-B128)*B132+B129,B131))))</f>
        <v>0.07204237807003425</v>
      </c>
      <c r="G130" s="23">
        <f>IF(ISERR(F130*E130),IF(D130&gt;B130,G129,""),F130*E130)</f>
        <v>6150696.312798046</v>
      </c>
      <c r="H130" s="22">
        <f>IF(ISERR(G130-G129),"",(G130-G129))</f>
        <v>943499.371889445</v>
      </c>
      <c r="I130" s="21">
        <f>IF(ISERR(B127*H130),"",((B127*H130)))</f>
        <v>1462424.02642864</v>
      </c>
    </row>
    <row r="131" spans="1:9" ht="12.75">
      <c r="A131" t="s">
        <v>722</v>
      </c>
      <c r="B131" s="119">
        <v>0.1</v>
      </c>
      <c r="C131" s="30"/>
      <c r="D131" s="25">
        <v>2010</v>
      </c>
      <c r="E131" s="23">
        <f>IF(D131&lt;=B130,B125*EXP(B126*(D131-D126)),"")</f>
        <v>87800399.06677216</v>
      </c>
      <c r="F131" s="24">
        <f>IF(D131&gt;B130,"",IF(B128&gt;D131,"",IF(B128=D131,B129,IF(B128&lt;D131,(D131-B128)*B132+B129,B131))))</f>
        <v>0.08136158538002283</v>
      </c>
      <c r="G131" s="23">
        <f>IF(ISERR(F131*E131),IF(D131&gt;B130,G130,""),F131*E131)</f>
        <v>7143579.66507126</v>
      </c>
      <c r="H131" s="22">
        <f>IF(ISERR(G131-G129),"",(G131-G129))</f>
        <v>1936382.7241626596</v>
      </c>
      <c r="I131" s="21">
        <f>IF(ISERR(B127*H131),"",((B127*H131)))</f>
        <v>3001393.2224521223</v>
      </c>
    </row>
    <row r="132" spans="1:9" ht="12.75">
      <c r="A132" s="29" t="s">
        <v>721</v>
      </c>
      <c r="B132" s="28">
        <f>(B131-B129)/(B130-B128)</f>
        <v>0.009319207309988585</v>
      </c>
      <c r="D132" s="25">
        <v>2011</v>
      </c>
      <c r="E132" s="23">
        <f>IF(D132&lt;=B130,B125*EXP(B126*(D132-D126)),"")</f>
        <v>90293551.49074739</v>
      </c>
      <c r="F132" s="24">
        <f>IF(D132&gt;B130,"",IF(B128&gt;D132,"",IF(B128=D132,B129,IF(B128&lt;D132,(D132-B128)*B132+B129,B131))))</f>
        <v>0.09068079269001142</v>
      </c>
      <c r="G132" s="23">
        <f>IF(ISERR(F132*E132),IF(D132&gt;B130,G131,""),F132*E132)</f>
        <v>8187890.823977335</v>
      </c>
      <c r="H132" s="22">
        <f>IF(ISERR(G132-G129),"",(G132-G129))</f>
        <v>2980693.883068735</v>
      </c>
      <c r="I132" s="21">
        <f>IF(ISERR(B127*H132),"",((B127*H132)))</f>
        <v>4620075.518756539</v>
      </c>
    </row>
    <row r="133" spans="1:9" ht="12.75">
      <c r="A133"/>
      <c r="D133" s="25">
        <v>2012</v>
      </c>
      <c r="E133" s="23">
        <f>IF(D133&lt;=B130,B125*EXP(B126*(D133-D126)),"")</f>
        <v>92857498.68416835</v>
      </c>
      <c r="F133" s="24">
        <f>IF(D133&gt;B130,"",IF(B128&gt;D133,"",IF(B128=D133,B129,IF(B128&lt;D133,(D133-B128)*B132+B129,B131))))</f>
        <v>0.1</v>
      </c>
      <c r="G133" s="23">
        <f>IF(ISERR(F133*E133),IF(D133&gt;B130,G132,""),F133*E133)</f>
        <v>9285749.868416836</v>
      </c>
      <c r="H133" s="22">
        <f>IF(ISERR(G133-G129),"",(G133-G129))</f>
        <v>4078552.927508236</v>
      </c>
      <c r="I133" s="21">
        <f>IF(ISERR(B127*H133),"",((B127*H133)))</f>
        <v>6321757.0376377655</v>
      </c>
    </row>
    <row r="134" spans="1:9" ht="12.75">
      <c r="A134"/>
      <c r="D134" s="25">
        <v>2013</v>
      </c>
      <c r="E134" s="23">
        <f>IF(D134&lt;=B130,B125*EXP(B126*(D134-D126)),"")</f>
      </c>
      <c r="F134" s="24">
        <f>IF(D134&gt;B130,"",IF(B128&gt;D134,"",IF(B128=D134,B129,IF(B128&lt;D134,(D134-B128)*B132+B129,B131))))</f>
      </c>
      <c r="G134" s="23">
        <f>IF(ISERR(F134*E134),IF(D134&gt;B130,G133,""),F134*E134)</f>
        <v>9285749.868416836</v>
      </c>
      <c r="H134" s="22">
        <f>IF(ISERR(G134-G129),"",(G134-G129))</f>
        <v>4078552.927508236</v>
      </c>
      <c r="I134" s="21">
        <f>IF(ISERR(B127*H134),"",((B127*H134)))</f>
        <v>6321757.0376377655</v>
      </c>
    </row>
    <row r="135" spans="1:9" ht="12.75">
      <c r="A135" t="s">
        <v>720</v>
      </c>
      <c r="B135" s="27">
        <f>VLOOKUP(B130,D126:I151,6,FALSE)</f>
        <v>6321757.0376377655</v>
      </c>
      <c r="D135" s="25">
        <v>2014</v>
      </c>
      <c r="E135" s="23">
        <f>IF(D135&lt;=B130,B125*EXP(B126*(D135-D126)),"")</f>
      </c>
      <c r="F135" s="24">
        <f>IF(D135&gt;B130,"",IF(B128&gt;D135,"",IF(B128=D135,B129,IF(B128&lt;D135,(D135-B128)*B132+B129,B131))))</f>
      </c>
      <c r="G135" s="23">
        <f>IF(ISERR(F135*E135),IF(D135&gt;B130,G134,""),F135*E135)</f>
        <v>9285749.868416836</v>
      </c>
      <c r="H135" s="22">
        <f>IF(ISERR(G135-G129),"",(G135-G129))</f>
        <v>4078552.927508236</v>
      </c>
      <c r="I135" s="21">
        <f>IF(ISERR(B127*H135),"",((B127*H135)))</f>
        <v>6321757.0376377655</v>
      </c>
    </row>
    <row r="136" spans="1:9" ht="12.75">
      <c r="A136" t="s">
        <v>719</v>
      </c>
      <c r="B136" s="27">
        <f>SUM(I130:I151)</f>
        <v>129197276.48275487</v>
      </c>
      <c r="D136" s="25">
        <v>2015</v>
      </c>
      <c r="E136" s="23">
        <f>IF(D136&lt;=B130,B125*EXP(B126*(D136-D126)),"")</f>
      </c>
      <c r="F136" s="24">
        <f>IF(D136&gt;B130,"",IF(B128&gt;D136,"",IF(B128=D136,B129,IF(B128&lt;D136,(D136-B128)*B132+B129,B131))))</f>
      </c>
      <c r="G136" s="23">
        <f>IF(ISERR(F136*E136),IF(D136&gt;B130,G135,""),F136*E136)</f>
        <v>9285749.868416836</v>
      </c>
      <c r="H136" s="22">
        <f>IF(ISERR(G136-G129),"",(G136-G129))</f>
        <v>4078552.927508236</v>
      </c>
      <c r="I136" s="21">
        <f>IF(ISERR(B127*H136),"",((B127*H136)))</f>
        <v>6321757.0376377655</v>
      </c>
    </row>
    <row r="137" spans="1:9" ht="12.75">
      <c r="A137" t="s">
        <v>718</v>
      </c>
      <c r="B137" s="26">
        <f>B135/(10^6)</f>
        <v>6.321757037637766</v>
      </c>
      <c r="D137" s="25">
        <v>2016</v>
      </c>
      <c r="E137" s="23">
        <f>IF(D137&lt;=B130,B125*EXP(B126*(D137-D126)),"")</f>
      </c>
      <c r="F137" s="24">
        <f>IF(D137&gt;B130,"",IF(B128&gt;D137,"",IF(B128=D137,B129,IF(B128&lt;D137,(D137-B128)*B132+B129,B131))))</f>
      </c>
      <c r="G137" s="23">
        <f>IF(ISERR(F137*E137),IF(D137&gt;B130,G136,""),F137*E137)</f>
        <v>9285749.868416836</v>
      </c>
      <c r="H137" s="22">
        <f>IF(ISERR(G137-G129),"",(G137-G129))</f>
        <v>4078552.927508236</v>
      </c>
      <c r="I137" s="21">
        <f>IF(ISERR(B127*H137),"",((B127*H137)))</f>
        <v>6321757.0376377655</v>
      </c>
    </row>
    <row r="138" spans="1:9" ht="12.75">
      <c r="A138" t="s">
        <v>959</v>
      </c>
      <c r="B138" s="26">
        <f>B136/(10^6)</f>
        <v>129.19727648275486</v>
      </c>
      <c r="D138" s="25">
        <v>2017</v>
      </c>
      <c r="E138" s="23">
        <f>IF(D138&lt;=B130,B125*EXP(B126*(D138-D126)),"")</f>
      </c>
      <c r="F138" s="24">
        <f>IF(D138&gt;B130,"",IF(B128&gt;D138,"",IF(B128=D138,B129,IF(B128&lt;D138,(D138-B128)*B132+B129,B131))))</f>
      </c>
      <c r="G138" s="23">
        <f>IF(ISERR(F138*E138),IF(D138&gt;B130,G137,""),F138*E138)</f>
        <v>9285749.868416836</v>
      </c>
      <c r="H138" s="22">
        <f>IF(ISERR(G138-G129),"",(G138-G129))</f>
        <v>4078552.927508236</v>
      </c>
      <c r="I138" s="21">
        <f>IF(ISERR(B127*H138),"",((B127*H138)))</f>
        <v>6321757.0376377655</v>
      </c>
    </row>
    <row r="139" spans="1:9" ht="12.75">
      <c r="A139"/>
      <c r="D139" s="25">
        <v>2018</v>
      </c>
      <c r="E139" s="23">
        <f>IF(D139&lt;=B130,B125*EXP(B126*(D139-D126)),"")</f>
      </c>
      <c r="F139" s="24">
        <f>IF(D139&gt;B130,"",IF(B128&gt;D139,"",IF(B128=D139,B129,IF(B128&lt;D139,(D139-B128)*B132+B129,B131))))</f>
      </c>
      <c r="G139" s="23">
        <f>IF(ISERR(F139*E139),IF(D139&gt;B130,G138,""),F139*E139)</f>
        <v>9285749.868416836</v>
      </c>
      <c r="H139" s="22">
        <f>IF(ISERR(G139-G129),"",(G139-G129))</f>
        <v>4078552.927508236</v>
      </c>
      <c r="I139" s="21">
        <f>IF(ISERR(B127*H139),"",((B127*H139)))</f>
        <v>6321757.0376377655</v>
      </c>
    </row>
    <row r="140" spans="1:9" ht="12.75">
      <c r="A140"/>
      <c r="D140" s="25">
        <v>2019</v>
      </c>
      <c r="E140" s="23">
        <f>IF(D140&lt;=B130,B125*EXP(B126*(D140-D126)),"")</f>
      </c>
      <c r="F140" s="24">
        <f>IF(D140&gt;B130,"",IF(B128&gt;D140,"",IF(B128=D140,B129,IF(B128&lt;D140,(D140-B128)*B132+B129,B131))))</f>
      </c>
      <c r="G140" s="23">
        <f>IF(ISERR(F140*E140),IF(D140&gt;B130,G139,""),F140*E140)</f>
        <v>9285749.868416836</v>
      </c>
      <c r="H140" s="22">
        <f>IF(ISERR(G140-G129),"",(G140-G129))</f>
        <v>4078552.927508236</v>
      </c>
      <c r="I140" s="21">
        <f>IF(ISERR(B127*H140),"",((B127*H140)))</f>
        <v>6321757.0376377655</v>
      </c>
    </row>
    <row r="141" spans="1:9" ht="12.75">
      <c r="A141"/>
      <c r="D141" s="25">
        <v>2020</v>
      </c>
      <c r="E141" s="23">
        <f>IF(D141&lt;=B130,B125*EXP(B126*(D141-D126)),"")</f>
      </c>
      <c r="F141" s="24">
        <f>IF(D141&gt;B130,"",IF(B128&gt;D141,"",IF(B128=D141,B129,IF(B128&lt;D141,(D141-B128)*B132+B129,B131))))</f>
      </c>
      <c r="G141" s="23">
        <f>IF(ISERR(F141*E141),IF(D141&gt;B130,G140,""),F141*E141)</f>
        <v>9285749.868416836</v>
      </c>
      <c r="H141" s="22">
        <f>IF(ISERR(G141-G129),"",(G141-G129))</f>
        <v>4078552.927508236</v>
      </c>
      <c r="I141" s="21">
        <f>IF(ISERR(B127*H141),"",((B127*H141)))</f>
        <v>6321757.0376377655</v>
      </c>
    </row>
    <row r="142" spans="1:9" ht="12.75">
      <c r="A142"/>
      <c r="D142" s="25">
        <v>2021</v>
      </c>
      <c r="E142" s="23">
        <f>IF(D142&lt;=B130,B125*EXP(B126*(D142-D126)),"")</f>
      </c>
      <c r="F142" s="24">
        <f>IF(D142&gt;B130,"",IF(B128&gt;D142,"",IF(B128=D142,B129,IF(B128&lt;D142,(D142-B128)*B132+B129,B131))))</f>
      </c>
      <c r="G142" s="23">
        <f>IF(ISERR(F142*E142),IF(D142&gt;B130,G141,""),F142*E142)</f>
        <v>9285749.868416836</v>
      </c>
      <c r="H142" s="22">
        <f>IF(ISERR(G142-G129),"",(G142-G129))</f>
        <v>4078552.927508236</v>
      </c>
      <c r="I142" s="21">
        <f>IF(ISERR(B127*H142),"",((B127*H142)))</f>
        <v>6321757.0376377655</v>
      </c>
    </row>
    <row r="143" spans="1:9" ht="12.75">
      <c r="A143"/>
      <c r="D143" s="25">
        <v>2022</v>
      </c>
      <c r="E143" s="23">
        <f>IF(D143&lt;=B130,B125*EXP(B126*(D143-D126)),"")</f>
      </c>
      <c r="F143" s="24">
        <f>IF(D143&gt;B130,"",IF(B128&gt;D143,"",IF(B128=D143,B129,IF(B128&lt;D143,(D143-B128)*B132+B129,B131))))</f>
      </c>
      <c r="G143" s="23">
        <f>IF(ISERR(F143*E143),IF(D143&gt;B130,G142,""),F143*E143)</f>
        <v>9285749.868416836</v>
      </c>
      <c r="H143" s="22">
        <f>IF(ISERR(G143-G129),"",(G143-G129))</f>
        <v>4078552.927508236</v>
      </c>
      <c r="I143" s="21">
        <f>IF(ISERR(B127*H143),"",((B127*H143)))</f>
        <v>6321757.0376377655</v>
      </c>
    </row>
    <row r="144" spans="1:9" ht="12.75">
      <c r="A144"/>
      <c r="D144" s="25">
        <v>2023</v>
      </c>
      <c r="E144" s="23">
        <f>IF(D144&lt;=B130,B125*EXP(B126*(D144-D126)),"")</f>
      </c>
      <c r="F144" s="24">
        <f>IF(D144&gt;B130,"",IF(B128&gt;D144,"",IF(B128=D144,B129,IF(B128&lt;D144,(D144-B128)*B132+B129,B131))))</f>
      </c>
      <c r="G144" s="23">
        <f>IF(ISERR(F144*E144),IF(D144&gt;B130,G143,""),F144*E144)</f>
        <v>9285749.868416836</v>
      </c>
      <c r="H144" s="22">
        <f>IF(ISERR(G144-G129),"",(G144-G129))</f>
        <v>4078552.927508236</v>
      </c>
      <c r="I144" s="21">
        <f>IF(ISERR(B127*H144),"",((B127*H144)))</f>
        <v>6321757.0376377655</v>
      </c>
    </row>
    <row r="145" spans="1:9" ht="12.75">
      <c r="A145"/>
      <c r="D145" s="25">
        <v>2024</v>
      </c>
      <c r="E145" s="23">
        <f>IF(D145&lt;=B130,B125*EXP(B126*(D145-D126)),"")</f>
      </c>
      <c r="F145" s="24">
        <f>IF(D145&gt;B130,"",IF(B128&gt;D145,"",IF(B128=D145,B129,IF(B128&lt;D145,(D145-B128)*B132+B129,B131))))</f>
      </c>
      <c r="G145" s="23">
        <f>IF(ISERR(F145*E145),IF(D145&gt;B130,G144,""),F145*E145)</f>
        <v>9285749.868416836</v>
      </c>
      <c r="H145" s="22">
        <f>IF(ISERR(G145-G129),"",(G145-G129))</f>
        <v>4078552.927508236</v>
      </c>
      <c r="I145" s="21">
        <f>IF(ISERR(B127*H145),"",((B127*H145)))</f>
        <v>6321757.0376377655</v>
      </c>
    </row>
    <row r="146" spans="1:9" ht="12.75">
      <c r="A146"/>
      <c r="D146" s="25">
        <v>2025</v>
      </c>
      <c r="E146" s="23">
        <f>IF(D146&lt;=B130,B125*EXP(B126*(D146-D126)),"")</f>
      </c>
      <c r="F146" s="24">
        <f>IF(D146&gt;B130,"",IF(B128&gt;D146,"",IF(B128=D146,B129,IF(B128&lt;D146,(D146-B128)*B132+B129,B131))))</f>
      </c>
      <c r="G146" s="23">
        <f>IF(ISERR(F146*E146),IF(D146&gt;B130,G145,""),F146*E146)</f>
        <v>9285749.868416836</v>
      </c>
      <c r="H146" s="22">
        <f>IF(ISERR(G146-G129),"",(G146-G129))</f>
        <v>4078552.927508236</v>
      </c>
      <c r="I146" s="21">
        <f>IF(ISERR(B127*H146),"",((B127*H146)))</f>
        <v>6321757.0376377655</v>
      </c>
    </row>
    <row r="147" spans="1:9" ht="12.75">
      <c r="A147"/>
      <c r="D147" s="25">
        <v>2026</v>
      </c>
      <c r="E147" s="23">
        <f>IF(D147&lt;=B130,B125*EXP(B126*(D147-D126)),"")</f>
      </c>
      <c r="F147" s="24">
        <f>IF(D147&gt;B130,"",IF(B128&gt;D147,"",IF(B128=D147,B129,IF(B128&lt;D147,(D147-B128)*B132+B129,B131))))</f>
      </c>
      <c r="G147" s="23">
        <f>IF(ISERR(F147*E147),IF(D147&gt;B130,G146,""),F147*E147)</f>
        <v>9285749.868416836</v>
      </c>
      <c r="H147" s="22">
        <f>IF(ISERR(G147-G129),"",(G147-G129))</f>
        <v>4078552.927508236</v>
      </c>
      <c r="I147" s="21">
        <f>IF(ISERR(B127*H147),"",((B127*H147)))</f>
        <v>6321757.0376377655</v>
      </c>
    </row>
    <row r="148" spans="1:9" ht="12.75">
      <c r="A148"/>
      <c r="D148" s="25">
        <v>2027</v>
      </c>
      <c r="E148" s="23">
        <f>IF(D148&lt;=B130,B125*EXP(B126*(D148-D126)),"")</f>
      </c>
      <c r="F148" s="24">
        <f>IF(D148&gt;B130,"",IF(B128&gt;D148,"",IF(B128=D148,B129,IF(B128&lt;D148,(D148-B128)*B132+B129,B131))))</f>
      </c>
      <c r="G148" s="23">
        <f>IF(ISERR(F148*E148),IF(D148&gt;B130,G147,""),F148*E148)</f>
        <v>9285749.868416836</v>
      </c>
      <c r="H148" s="22">
        <f>IF(ISERR(G148-G129),"",(G148-G129))</f>
        <v>4078552.927508236</v>
      </c>
      <c r="I148" s="21">
        <f>IF(ISERR(B127*H148),"",((B127*H148)))</f>
        <v>6321757.0376377655</v>
      </c>
    </row>
    <row r="149" spans="1:9" ht="12.75">
      <c r="A149"/>
      <c r="D149" s="25">
        <v>2028</v>
      </c>
      <c r="E149" s="23">
        <f>IF(D149&lt;=B130,B125*EXP(B126*(D149-D126)),"")</f>
      </c>
      <c r="F149" s="24">
        <f>IF(D149&gt;B130,"",IF(B128&gt;D149,"",IF(B128=D149,B129,IF(B128&lt;D149,(D149-B128)*B132+B129,B131))))</f>
      </c>
      <c r="G149" s="23">
        <f>IF(ISERR(F149*E149),IF(D149&gt;B130,G148,""),F149*E149)</f>
        <v>9285749.868416836</v>
      </c>
      <c r="H149" s="22">
        <f>IF(ISERR(G149-G129),"",(G149-G129))</f>
        <v>4078552.927508236</v>
      </c>
      <c r="I149" s="21">
        <f>IF(ISERR(B127*H149),"",((B127*H149)))</f>
        <v>6321757.0376377655</v>
      </c>
    </row>
    <row r="150" spans="1:9" ht="12.75">
      <c r="A150"/>
      <c r="D150" s="25">
        <v>2029</v>
      </c>
      <c r="E150" s="23">
        <f>IF(D150&lt;=B130,B125*EXP(B126*(D150-D126)),"")</f>
      </c>
      <c r="F150" s="24">
        <f>IF(D150&gt;B130,"",IF(B128&gt;D150,"",IF(B128=D150,B129,IF(B128&lt;D150,(D150-B128)*B132+B129,B131))))</f>
      </c>
      <c r="G150" s="23">
        <f>IF(ISERR(F150*E150),IF(D150&gt;B130,G149,""),F150*E150)</f>
        <v>9285749.868416836</v>
      </c>
      <c r="H150" s="22">
        <f>IF(ISERR(G150-G129),"",(G150-G129))</f>
        <v>4078552.927508236</v>
      </c>
      <c r="I150" s="21">
        <f>IF(ISERR(B127*H150),"",((B127*H150)))</f>
        <v>6321757.0376377655</v>
      </c>
    </row>
    <row r="151" spans="1:9" ht="13.5" thickBot="1">
      <c r="A151"/>
      <c r="D151" s="20">
        <v>2030</v>
      </c>
      <c r="E151" s="18">
        <f>IF(D151&lt;=B130,B125*EXP(B126*(D151-D126)),"")</f>
      </c>
      <c r="F151" s="19">
        <f>IF(D151&gt;B130,"",IF(B128&gt;D151,"",IF(B128=D151,B129,IF(B128&lt;D151,(D151-B128)*B132+B129,B131))))</f>
      </c>
      <c r="G151" s="18">
        <f>IF(ISERR(F151*E151),IF(D151&gt;B130,G150,""),F151*E151)</f>
        <v>9285749.868416836</v>
      </c>
      <c r="H151" s="17">
        <f>IF(ISERR(G151-G129),"",(G151-G129))</f>
        <v>4078552.927508236</v>
      </c>
      <c r="I151" s="16">
        <f>IF(ISERR(B127*H151),"",((B127*H151)))</f>
        <v>6321757.0376377655</v>
      </c>
    </row>
  </sheetData>
  <mergeCells count="18">
    <mergeCell ref="A119:F119"/>
    <mergeCell ref="A120:F120"/>
    <mergeCell ref="A8:B8"/>
    <mergeCell ref="A83:D83"/>
    <mergeCell ref="A80:I80"/>
    <mergeCell ref="A81:H81"/>
    <mergeCell ref="A82:I82"/>
    <mergeCell ref="A117:F117"/>
    <mergeCell ref="A118:F118"/>
    <mergeCell ref="A44:I44"/>
    <mergeCell ref="A45:I45"/>
    <mergeCell ref="A7:F7"/>
    <mergeCell ref="A42:I42"/>
    <mergeCell ref="A43:H43"/>
    <mergeCell ref="A1:I1"/>
    <mergeCell ref="A4:F4"/>
    <mergeCell ref="A5:F5"/>
    <mergeCell ref="A6:F6"/>
  </mergeCells>
  <hyperlinks>
    <hyperlink ref="E9" r:id="rId1" display="http://www.iea.org/Textbase/stats/balancetable.asp?COUNTRY_CODE=CH"/>
    <hyperlink ref="D39" r:id="rId2" display="http://www.iea.org/Textbase/stats/balancetable.asp?COUNTRY_CODE=CH"/>
    <hyperlink ref="D47" r:id="rId3" display="http://www.iea.org/Textbase/stats/balancetable.asp?COUNTRY_CODE=JO"/>
    <hyperlink ref="D85" r:id="rId4" display="http://www.iea.org/Textbase/stats/balancetable.asp?COUNTRY_CODE=MA"/>
    <hyperlink ref="D122" r:id="rId5" display="http://www.iea.org/Textbase/stats/balancetable.asp?COUNTRY_CODE=PK"/>
    <hyperlink ref="A8" r:id="rId6" display="http://www.ren21.net/wiap/detail.asp?id=17"/>
    <hyperlink ref="A45" r:id="rId7" display="http://www.ren21.net/wiap/detail.asp?id=54"/>
    <hyperlink ref="A83" r:id="rId8" display="http://www.ren21.net/wiap/detail.asp?id=109"/>
    <hyperlink ref="A120" r:id="rId9" display="http://www.ren21.net/wiap/detail.asp?id=98"/>
  </hyperlinks>
  <printOptions/>
  <pageMargins left="0.75" right="0.75" top="1" bottom="1" header="0.5" footer="0.5"/>
  <pageSetup orientation="portrait" paperSize="9"/>
  <drawing r:id="rId10"/>
</worksheet>
</file>

<file path=xl/worksheets/sheet5.xml><?xml version="1.0" encoding="utf-8"?>
<worksheet xmlns="http://schemas.openxmlformats.org/spreadsheetml/2006/main" xmlns:r="http://schemas.openxmlformats.org/officeDocument/2006/relationships">
  <dimension ref="A1:M228"/>
  <sheetViews>
    <sheetView zoomScale="90" zoomScaleNormal="90" workbookViewId="0" topLeftCell="A153">
      <selection activeCell="A153" sqref="A153:F153"/>
    </sheetView>
  </sheetViews>
  <sheetFormatPr defaultColWidth="8.8515625" defaultRowHeight="12.75"/>
  <cols>
    <col min="1" max="1" width="44.00390625" style="15" customWidth="1"/>
    <col min="2" max="2" width="12.7109375" style="0" customWidth="1"/>
    <col min="3" max="4" width="12.8515625" style="0" customWidth="1"/>
    <col min="5" max="5" width="17.8515625" style="0" customWidth="1"/>
    <col min="6" max="8" width="13.28125" style="0" customWidth="1"/>
    <col min="9" max="9" width="10.421875" style="0" customWidth="1"/>
    <col min="10" max="10" width="16.7109375" style="0" customWidth="1"/>
    <col min="11" max="11" width="12.140625" style="0" customWidth="1"/>
    <col min="12" max="12" width="32.421875" style="0" customWidth="1"/>
    <col min="13" max="13" width="18.421875" style="0" customWidth="1"/>
    <col min="14" max="14" width="20.00390625" style="0" customWidth="1"/>
    <col min="15" max="18" width="11.421875" style="0" customWidth="1"/>
    <col min="19" max="19" width="10.421875" style="0" customWidth="1"/>
    <col min="20" max="16384" width="11.421875" style="0" customWidth="1"/>
  </cols>
  <sheetData>
    <row r="1" spans="1:9" ht="21.75" customHeight="1">
      <c r="A1" s="475" t="s">
        <v>1042</v>
      </c>
      <c r="B1" s="476"/>
      <c r="C1" s="476"/>
      <c r="D1" s="476"/>
      <c r="E1" s="476"/>
      <c r="F1" s="476"/>
      <c r="G1" s="476"/>
      <c r="H1" s="476"/>
      <c r="I1" s="476"/>
    </row>
    <row r="2" spans="1:12" ht="12.75">
      <c r="A2" s="67"/>
      <c r="J2" s="63"/>
      <c r="K2" s="63"/>
      <c r="L2" s="63"/>
    </row>
    <row r="3" spans="1:12" s="74" customFormat="1" ht="12.75">
      <c r="A3" s="80"/>
      <c r="B3" s="80"/>
      <c r="C3" s="80"/>
      <c r="D3" s="80"/>
      <c r="E3" s="80"/>
      <c r="F3" s="79"/>
      <c r="G3" s="79"/>
      <c r="H3" s="78"/>
      <c r="J3" s="71"/>
      <c r="K3" s="71"/>
      <c r="L3" s="71"/>
    </row>
    <row r="4" spans="1:12" ht="12.75">
      <c r="A4" s="67"/>
      <c r="J4" s="63"/>
      <c r="K4" s="63"/>
      <c r="L4" s="63"/>
    </row>
    <row r="5" spans="1:9" ht="12.75" customHeight="1">
      <c r="A5" s="466" t="s">
        <v>901</v>
      </c>
      <c r="B5" s="467"/>
      <c r="C5" s="467"/>
      <c r="D5" s="467"/>
      <c r="E5" s="467"/>
      <c r="F5" s="467"/>
      <c r="G5" s="467"/>
      <c r="H5" s="467"/>
      <c r="I5" s="477"/>
    </row>
    <row r="6" spans="1:9" ht="24.75" customHeight="1">
      <c r="A6" s="468" t="s">
        <v>902</v>
      </c>
      <c r="B6" s="469"/>
      <c r="C6" s="469"/>
      <c r="D6" s="469"/>
      <c r="E6" s="469"/>
      <c r="F6" s="469"/>
      <c r="G6" s="469"/>
      <c r="H6" s="469"/>
      <c r="I6" s="478"/>
    </row>
    <row r="7" spans="1:9" ht="19.5" customHeight="1">
      <c r="A7" s="470" t="s">
        <v>783</v>
      </c>
      <c r="B7" s="469"/>
      <c r="C7" s="469"/>
      <c r="D7" s="469"/>
      <c r="E7" s="469"/>
      <c r="F7" s="469"/>
      <c r="G7" s="469"/>
      <c r="H7" s="469"/>
      <c r="I7" s="478"/>
    </row>
    <row r="8" spans="1:9" ht="19.5" customHeight="1">
      <c r="A8" s="444" t="s">
        <v>661</v>
      </c>
      <c r="B8" s="474"/>
      <c r="C8" s="474"/>
      <c r="D8" s="474"/>
      <c r="E8" s="474"/>
      <c r="F8" s="474"/>
      <c r="G8" s="474"/>
      <c r="H8" s="474"/>
      <c r="I8" s="480"/>
    </row>
    <row r="9" ht="12.75">
      <c r="A9"/>
    </row>
    <row r="10" spans="1:7" ht="12.75">
      <c r="A10" s="74" t="s">
        <v>997</v>
      </c>
      <c r="D10" t="s">
        <v>616</v>
      </c>
      <c r="E10" s="62"/>
      <c r="F10" s="62"/>
      <c r="G10" s="62"/>
    </row>
    <row r="11" spans="1:7" ht="13.5" thickBot="1">
      <c r="A11" s="74" t="s">
        <v>615</v>
      </c>
      <c r="B11" s="74"/>
      <c r="C11" s="74"/>
      <c r="D11" s="47" t="s">
        <v>614</v>
      </c>
      <c r="E11" s="62"/>
      <c r="F11" s="62"/>
      <c r="G11" s="62"/>
    </row>
    <row r="12" spans="1:9" ht="89.25">
      <c r="A12" t="s">
        <v>743</v>
      </c>
      <c r="B12" s="74" t="s">
        <v>555</v>
      </c>
      <c r="D12" s="46" t="s">
        <v>932</v>
      </c>
      <c r="E12" s="45" t="s">
        <v>611</v>
      </c>
      <c r="F12" s="45" t="s">
        <v>610</v>
      </c>
      <c r="G12" s="45" t="s">
        <v>485</v>
      </c>
      <c r="H12" s="45" t="s">
        <v>609</v>
      </c>
      <c r="I12" s="44" t="s">
        <v>528</v>
      </c>
    </row>
    <row r="13" spans="1:9" ht="13.5" thickBot="1">
      <c r="A13" t="s">
        <v>44</v>
      </c>
      <c r="B13" s="58">
        <v>288110000</v>
      </c>
      <c r="D13" s="43"/>
      <c r="E13" s="41" t="s">
        <v>863</v>
      </c>
      <c r="F13" s="42" t="s">
        <v>862</v>
      </c>
      <c r="G13" s="41" t="s">
        <v>861</v>
      </c>
      <c r="H13" s="41" t="s">
        <v>860</v>
      </c>
      <c r="I13" s="40" t="s">
        <v>859</v>
      </c>
    </row>
    <row r="14" spans="1:9" ht="13.5" thickTop="1">
      <c r="A14" t="s">
        <v>43</v>
      </c>
      <c r="B14" s="31">
        <v>0.008</v>
      </c>
      <c r="C14" s="30"/>
      <c r="D14" s="25">
        <v>2005</v>
      </c>
      <c r="E14" s="23">
        <f>IF(D14&lt;=B18,B13*EXP(B14*(D14-D14)),"")</f>
        <v>288110000</v>
      </c>
      <c r="F14" s="24">
        <f>IF(D14&gt;B18,"",IF(B16&gt;D14,"",IF(B16=D14,B17,IF(B16&lt;D14,(D14-B16)*B20+B17,B19))))</f>
        <v>0.07911764705882353</v>
      </c>
      <c r="G14" s="23">
        <f>IF(ISERR(F14*E14),IF(D14&gt;B18,G13,""),F14*E14)</f>
        <v>22794585.29411765</v>
      </c>
      <c r="H14" s="39"/>
      <c r="I14" s="38"/>
    </row>
    <row r="15" spans="1:9" ht="12.75">
      <c r="A15" t="s">
        <v>42</v>
      </c>
      <c r="B15" s="37">
        <v>1.441</v>
      </c>
      <c r="D15" s="25">
        <v>2006</v>
      </c>
      <c r="E15" s="23">
        <f>IF(D15&lt;=B18,B13*EXP(B14*(D15-D14)),"")</f>
        <v>290424124.1546362</v>
      </c>
      <c r="F15" s="24">
        <f>IF(D15&gt;B18,"",IF(B16&gt;D15,"",IF(B16=D15,B17,IF(B16&lt;D15,(D15-B16)*B20+B17,B19))))</f>
        <v>0.0871764705882353</v>
      </c>
      <c r="G15" s="23">
        <f>IF(ISERR(F15*E15),IF(D15&gt;B18,G14,""),F15*E15)</f>
        <v>25318150.11748064</v>
      </c>
      <c r="H15" s="23"/>
      <c r="I15" s="34"/>
    </row>
    <row r="16" spans="1:9" ht="12.75">
      <c r="A16" t="s">
        <v>856</v>
      </c>
      <c r="B16" s="37">
        <v>2003</v>
      </c>
      <c r="D16" s="25">
        <v>2007</v>
      </c>
      <c r="E16" s="23">
        <f>IF(D16&lt;=B18,B13*EXP(B14*(D16-D14)),"")</f>
        <v>292756835.55235</v>
      </c>
      <c r="F16" s="24">
        <f>IF(D16&gt;B18,"",IF(B16&gt;D16,"",IF(B16=D16,B17,IF(B16&lt;D16,(D16-B16)*B20+B17,B19))))</f>
        <v>0.09523529411764706</v>
      </c>
      <c r="G16" s="23">
        <f>IF(ISERR(F16*E16),IF(D16&gt;B18,G15,""),F16*E16)</f>
        <v>27880783.338779684</v>
      </c>
      <c r="H16" s="23"/>
      <c r="I16" s="34"/>
    </row>
    <row r="17" spans="1:9" s="33" customFormat="1" ht="12.75">
      <c r="A17" s="33" t="s">
        <v>855</v>
      </c>
      <c r="B17" s="36">
        <v>0.063</v>
      </c>
      <c r="C17" s="35"/>
      <c r="D17" s="25">
        <v>2008</v>
      </c>
      <c r="E17" s="23">
        <f>IF(D17&lt;=B18,B13*EXP(B14*(D17-D14)),"")</f>
        <v>295108283.487467</v>
      </c>
      <c r="F17" s="24">
        <f>IF(D17&gt;B18,"",IF(B16&gt;D17,"",IF(B16=D17,B17,IF(B16&lt;D17,(D17-B16)*B20+B17,B19))))</f>
        <v>0.10329411764705883</v>
      </c>
      <c r="G17" s="23">
        <f>IF(ISERR(F17*E17),IF(D17&gt;B18,G16,""),F17*E17)</f>
        <v>30482949.753176004</v>
      </c>
      <c r="H17" s="23"/>
      <c r="I17" s="34"/>
    </row>
    <row r="18" spans="1:9" ht="12.75">
      <c r="A18" t="s">
        <v>854</v>
      </c>
      <c r="B18" s="32">
        <v>2020</v>
      </c>
      <c r="C18" s="30"/>
      <c r="D18" s="25">
        <v>2009</v>
      </c>
      <c r="E18" s="23">
        <f>IF(D18&lt;=B18,B13*EXP(B14*(D18-D14)),"")</f>
        <v>297478618.45345765</v>
      </c>
      <c r="F18" s="24">
        <f>IF(D18&gt;B18,"",IF(B16&gt;D18,"",IF(B16=D18,B17,IF(B16&lt;D18,(D18-B16)*B20+B17,B19))))</f>
        <v>0.1113529411764706</v>
      </c>
      <c r="G18" s="23">
        <f>IF(ISERR(F18*E18),IF(D18&gt;B18,G17,""),F18*E18)</f>
        <v>33125119.10190561</v>
      </c>
      <c r="H18" s="22">
        <f>IF(ISERR(G18-G17),"",(G18-G17))</f>
        <v>2642169.3487296067</v>
      </c>
      <c r="I18" s="21">
        <f>IF(ISERR(B15*H18),"",((B15*H18)))</f>
        <v>3807366.0315193636</v>
      </c>
    </row>
    <row r="19" spans="1:9" ht="12.75">
      <c r="A19" t="s">
        <v>921</v>
      </c>
      <c r="B19" s="31">
        <v>0.2</v>
      </c>
      <c r="C19" s="30"/>
      <c r="D19" s="25">
        <v>2010</v>
      </c>
      <c r="E19" s="23">
        <f>IF(D19&lt;=B18,B13*EXP(B14*(D19-D14)),"")</f>
        <v>299867992.152569</v>
      </c>
      <c r="F19" s="24">
        <f>IF(D19&gt;B18,"",IF(B16&gt;D19,"",IF(B16=D19,B17,IF(B16&lt;D19,(D19-B16)*B20+B17,B19))))</f>
        <v>0.11941176470588236</v>
      </c>
      <c r="G19" s="23">
        <f>IF(ISERR(F19*E19),IF(D19&gt;B18,G18,""),F19*E19)</f>
        <v>35807766.12174795</v>
      </c>
      <c r="H19" s="22">
        <f>IF(ISERR(G19-G17),"",(G19-G17))</f>
        <v>5324816.368571945</v>
      </c>
      <c r="I19" s="21">
        <f>IF(ISERR(B15*H19),"",((B15*H19)))</f>
        <v>7673060.387112172</v>
      </c>
    </row>
    <row r="20" spans="1:9" ht="12.75">
      <c r="A20" s="29" t="s">
        <v>920</v>
      </c>
      <c r="B20" s="28">
        <f>(B19-B17)/(B18-B16)</f>
        <v>0.008058823529411766</v>
      </c>
      <c r="D20" s="25">
        <v>2011</v>
      </c>
      <c r="E20" s="23">
        <f>IF(D20&lt;=B18,B13*EXP(B14*(D20-D14)),"")</f>
        <v>302276557.5055332</v>
      </c>
      <c r="F20" s="24">
        <f>IF(D20&gt;B18,"",IF(B16&gt;D20,"",IF(B16=D20,B17,IF(B16&lt;D20,(D20-B16)*B20+B17,B19))))</f>
        <v>0.1274705882352941</v>
      </c>
      <c r="G20" s="23">
        <f>IF(ISERR(F20*E20),IF(D20&gt;B18,G19,""),F20*E20)</f>
        <v>38531370.594970025</v>
      </c>
      <c r="H20" s="22">
        <f>IF(ISERR(G20-G17),"",(G20-G17))</f>
        <v>8048420.841794021</v>
      </c>
      <c r="I20" s="21">
        <f>IF(ISERR(B15*H20),"",((B15*H20)))</f>
        <v>11597774.433025185</v>
      </c>
    </row>
    <row r="21" spans="1:9" ht="12.75">
      <c r="A21"/>
      <c r="D21" s="25">
        <v>2012</v>
      </c>
      <c r="E21" s="23">
        <f>IF(D21&lt;=B18,B13*EXP(B14*(D21-D14)),"")</f>
        <v>304704468.6613551</v>
      </c>
      <c r="F21" s="24">
        <f>IF(D21&gt;B18,"",IF(B16&gt;D21,"",IF(B16=D21,B17,IF(B16&lt;D21,(D21-B16)*B20+B17,B19))))</f>
        <v>0.1355294117647059</v>
      </c>
      <c r="G21" s="23">
        <f>IF(ISERR(F21*E21),IF(D21&gt;B18,G20,""),F21*E21)</f>
        <v>41296417.39975072</v>
      </c>
      <c r="H21" s="22">
        <f>IF(ISERR(G21-G17),"",(G21-G17))</f>
        <v>10813467.646574713</v>
      </c>
      <c r="I21" s="21">
        <f>IF(ISERR(B15*H21),"",((B15*H21)))</f>
        <v>15582206.878714163</v>
      </c>
    </row>
    <row r="22" spans="1:9" ht="12.75">
      <c r="A22"/>
      <c r="D22" s="25">
        <v>2013</v>
      </c>
      <c r="E22" s="23">
        <f>IF(D22&lt;=B18,B13*EXP(B14*(D22-D14)),"")</f>
        <v>307151881.00717723</v>
      </c>
      <c r="F22" s="24">
        <f>IF(D22&gt;B18,"",IF(B16&gt;D22,"",IF(B16=D22,B17,IF(B16&lt;D22,(D22-B16)*B20+B17,B19))))</f>
        <v>0.14358823529411766</v>
      </c>
      <c r="G22" s="23">
        <f>IF(ISERR(F22*E22),IF(D22&gt;B18,G21,""),F22*E22)</f>
        <v>44103396.56108939</v>
      </c>
      <c r="H22" s="22">
        <f>IF(ISERR(G22-G17),"",(G22-G17))</f>
        <v>13620446.807913385</v>
      </c>
      <c r="I22" s="21">
        <f>IF(ISERR(B15*H22),"",((B15*H22)))</f>
        <v>19627063.85020319</v>
      </c>
    </row>
    <row r="23" spans="1:9" ht="12.75">
      <c r="A23" t="s">
        <v>41</v>
      </c>
      <c r="B23" s="27">
        <f>VLOOKUP(B18,D14:I39,6,FALSE)</f>
        <v>49693855.98691287</v>
      </c>
      <c r="D23" s="25">
        <v>2014</v>
      </c>
      <c r="E23" s="23">
        <f>IF(D23&lt;=B18,B13*EXP(B14*(D23-D14)),"")</f>
        <v>309618951.17822534</v>
      </c>
      <c r="F23" s="24">
        <f>IF(D23&gt;B18,"",IF(B16&gt;D23,"",IF(B16=D23,B17,IF(B16&lt;D23,(D23-B16)*B20+B17,B19))))</f>
        <v>0.1516470588235294</v>
      </c>
      <c r="G23" s="23">
        <f>IF(ISERR(F23*E23),IF(D23&gt;B18,G22,""),F23*E23)</f>
        <v>46952803.30220382</v>
      </c>
      <c r="H23" s="22">
        <f>IF(ISERR(G23-G17),"",(G23-G17))</f>
        <v>16469853.549027815</v>
      </c>
      <c r="I23" s="21">
        <f>IF(ISERR(B15*H23),"",((B15*H23)))</f>
        <v>23733058.964149084</v>
      </c>
    </row>
    <row r="24" spans="1:9" ht="12.75">
      <c r="A24" t="s">
        <v>593</v>
      </c>
      <c r="B24" s="27">
        <f>SUM(I18:I39)</f>
        <v>811098915.6916846</v>
      </c>
      <c r="D24" s="25">
        <v>2015</v>
      </c>
      <c r="E24" s="23">
        <f>IF(D24&lt;=B18,B13*EXP(B14*(D24-D14)),"")</f>
        <v>312105837.06783235</v>
      </c>
      <c r="F24" s="24">
        <f>IF(D24&gt;B18,"",IF(B16&gt;D24,"",IF(B16=D24,B17,IF(B16&lt;D24,(D24-B16)*B20+B17,B19))))</f>
        <v>0.1597058823529412</v>
      </c>
      <c r="G24" s="23">
        <f>IF(ISERR(F24*E24),IF(D24&gt;B18,G23,""),F24*E24)</f>
        <v>49845138.096421465</v>
      </c>
      <c r="H24" s="22">
        <f>IF(ISERR(G24-G17),"",(G24-G17))</f>
        <v>19362188.34324546</v>
      </c>
      <c r="I24" s="21">
        <f>IF(ISERR(B15*H24),"",((B15*H24)))</f>
        <v>27900913.40261671</v>
      </c>
    </row>
    <row r="25" spans="1:9" ht="12.75">
      <c r="A25" t="s">
        <v>1068</v>
      </c>
      <c r="B25" s="26">
        <f>B23/(10^6)</f>
        <v>49.69385598691287</v>
      </c>
      <c r="D25" s="25">
        <v>2016</v>
      </c>
      <c r="E25" s="23">
        <f>IF(D25&lt;=B18,B13*EXP(B14*(D25-D14)),"")</f>
        <v>314612697.83754396</v>
      </c>
      <c r="F25" s="24">
        <f>IF(D25&gt;B18,"",IF(B16&gt;D25,"",IF(B16=D25,B17,IF(B16&lt;D25,(D25-B16)*B20+B17,B19))))</f>
        <v>0.16776470588235295</v>
      </c>
      <c r="G25" s="23">
        <f>IF(ISERR(F25*E25),IF(D25&gt;B18,G24,""),F25*E25)</f>
        <v>52780906.71956915</v>
      </c>
      <c r="H25" s="22">
        <f>IF(ISERR(G25-G17),"",(G25-G17))</f>
        <v>22297956.966393143</v>
      </c>
      <c r="I25" s="21">
        <f>IF(ISERR(B15*H25),"",((B15*H25)))</f>
        <v>32131355.98857252</v>
      </c>
    </row>
    <row r="26" spans="1:9" ht="12.75">
      <c r="A26" t="s">
        <v>1067</v>
      </c>
      <c r="B26" s="26">
        <f>B24/(10^6)</f>
        <v>811.0989156916846</v>
      </c>
      <c r="D26" s="25">
        <v>2017</v>
      </c>
      <c r="E26" s="23">
        <f>IF(D26&lt;=B18,B13*EXP(B14*(D26-D14)),"")</f>
        <v>317139693.9273052</v>
      </c>
      <c r="F26" s="24">
        <f>IF(D26&gt;B18,"",IF(B16&gt;D26,"",IF(B16=D26,B17,IF(B16&lt;D26,(D26-B16)*B20+B17,B19))))</f>
        <v>0.1758235294117647</v>
      </c>
      <c r="G26" s="23">
        <f>IF(ISERR(F26*E26),IF(D26&gt;B18,G25,""),F26*E26)</f>
        <v>55760620.30286561</v>
      </c>
      <c r="H26" s="22">
        <f>IF(ISERR(G26-G17),"",(G26-G17))</f>
        <v>25277670.549689606</v>
      </c>
      <c r="I26" s="21">
        <f>IF(ISERR(B15*H26),"",((B15*H26)))</f>
        <v>36425123.26210272</v>
      </c>
    </row>
    <row r="27" spans="1:9" ht="12.75">
      <c r="A27"/>
      <c r="D27" s="25">
        <v>2018</v>
      </c>
      <c r="E27" s="23">
        <f>IF(D27&lt;=B18,B13*EXP(B14*(D27-D14)),"")</f>
        <v>319686987.0657285</v>
      </c>
      <c r="F27" s="24">
        <f>IF(D27&gt;B18,"",IF(B16&gt;D27,"",IF(B16=D27,B17,IF(B16&lt;D27,(D27-B16)*B20+B17,B19))))</f>
        <v>0.1838823529411765</v>
      </c>
      <c r="G27" s="23">
        <f>IF(ISERR(F27*E27),IF(D27&gt;B18,G26,""),F27*E27)</f>
        <v>58784795.38632161</v>
      </c>
      <c r="H27" s="22">
        <f>IF(ISERR(G27-G17),"",(G27-G17))</f>
        <v>28301845.633145608</v>
      </c>
      <c r="I27" s="21">
        <f>IF(ISERR(B15*H27),"",((B15*H27)))</f>
        <v>40782959.557362825</v>
      </c>
    </row>
    <row r="28" spans="1:9" ht="12.75">
      <c r="A28" s="452" t="s">
        <v>250</v>
      </c>
      <c r="B28" s="452"/>
      <c r="D28" s="25">
        <v>2019</v>
      </c>
      <c r="E28" s="23">
        <f>IF(D28&lt;=B18,B13*EXP(B14*(D28-D14)),"")</f>
        <v>322254740.28044397</v>
      </c>
      <c r="F28" s="24">
        <f>IF(D28&gt;B18,"",IF(B16&gt;D28,"",IF(B16=D28,B17,IF(B16&lt;D28,(D28-B16)*B20+B17,B19))))</f>
        <v>0.19194117647058825</v>
      </c>
      <c r="G28" s="23">
        <f>IF(ISERR(F28*E28),IF(D28&gt;B18,G27,""),F28*E28)</f>
        <v>61853953.97265228</v>
      </c>
      <c r="H28" s="22">
        <f>IF(ISERR(G28-G17),"",(G28-G17))</f>
        <v>31371004.219476275</v>
      </c>
      <c r="I28" s="21">
        <f>IF(ISERR(B15*H28),"",((B15*H28)))</f>
        <v>45205617.08026531</v>
      </c>
    </row>
    <row r="29" spans="1:9" ht="12.75">
      <c r="A29" s="452"/>
      <c r="B29" s="452"/>
      <c r="D29" s="25">
        <v>2020</v>
      </c>
      <c r="E29" s="23">
        <f>IF(D29&lt;=B18,B13*EXP(B14*(D29-D14)),"")</f>
        <v>324843117.90853393</v>
      </c>
      <c r="F29" s="24">
        <f>IF(D29&gt;B18,"",IF(B16&gt;D29,"",IF(B16=D29,B17,IF(B16&lt;D29,(D29-B16)*B20+B17,B19))))</f>
        <v>0.2</v>
      </c>
      <c r="G29" s="23">
        <f>IF(ISERR(F29*E29),IF(D29&gt;B18,G28,""),F29*E29)</f>
        <v>64968623.58170679</v>
      </c>
      <c r="H29" s="22">
        <f>IF(ISERR(G29-G17),"",(G29-G17))</f>
        <v>34485673.82853079</v>
      </c>
      <c r="I29" s="21">
        <f>IF(ISERR(B15*H29),"",((B15*H29)))</f>
        <v>49693855.98691287</v>
      </c>
    </row>
    <row r="30" spans="1:9" ht="12.75">
      <c r="A30" s="453"/>
      <c r="B30" s="453"/>
      <c r="D30" s="25">
        <v>2021</v>
      </c>
      <c r="E30" s="23">
        <f>IF(D30&lt;=B18,B13*EXP(B14*(D30-D14)),"")</f>
      </c>
      <c r="F30" s="24">
        <f>IF(D30&gt;B18,"",IF(B16&gt;D30,"",IF(B16=D30,B17,IF(B16&lt;D30,(D30-B16)*B20+B17,B19))))</f>
      </c>
      <c r="G30" s="23">
        <f>IF(ISERR(F30*E30),IF(D30&gt;B18,G29,""),F30*E30)</f>
        <v>64968623.58170679</v>
      </c>
      <c r="H30" s="22">
        <f>IF(ISERR(G30-G17),"",(G30-G17))</f>
        <v>34485673.82853079</v>
      </c>
      <c r="I30" s="21">
        <f>IF(ISERR(B15*H30),"",((B15*H30)))</f>
        <v>49693855.98691287</v>
      </c>
    </row>
    <row r="31" spans="1:9" ht="12.75">
      <c r="A31"/>
      <c r="D31" s="25">
        <v>2022</v>
      </c>
      <c r="E31" s="23">
        <f>IF(D31&lt;=B18,B13*EXP(B14*(D31-D14)),"")</f>
      </c>
      <c r="F31" s="24">
        <f>IF(D31&gt;B18,"",IF(B16&gt;D31,"",IF(B16=D31,B17,IF(B16&lt;D31,(D31-B16)*B20+B17,B19))))</f>
      </c>
      <c r="G31" s="23">
        <f>IF(ISERR(F31*E31),IF(D31&gt;B18,G30,""),F31*E31)</f>
        <v>64968623.58170679</v>
      </c>
      <c r="H31" s="22">
        <f>IF(ISERR(G31-G17),"",(G31-G17))</f>
        <v>34485673.82853079</v>
      </c>
      <c r="I31" s="21">
        <f>IF(ISERR(B15*H31),"",((B15*H31)))</f>
        <v>49693855.98691287</v>
      </c>
    </row>
    <row r="32" spans="1:9" ht="12.75">
      <c r="A32"/>
      <c r="D32" s="25">
        <v>2023</v>
      </c>
      <c r="E32" s="23">
        <f>IF(D32&lt;=B18,B13*EXP(B14*(D32-D14)),"")</f>
      </c>
      <c r="F32" s="24">
        <f>IF(D32&gt;B18,"",IF(B16&gt;D32,"",IF(B16=D32,B17,IF(B16&lt;D32,(D32-B16)*B20+B17,B19))))</f>
      </c>
      <c r="G32" s="23">
        <f>IF(ISERR(F32*E32),IF(D32&gt;B18,G31,""),F32*E32)</f>
        <v>64968623.58170679</v>
      </c>
      <c r="H32" s="22">
        <f>IF(ISERR(G32-G17),"",(G32-G17))</f>
        <v>34485673.82853079</v>
      </c>
      <c r="I32" s="21">
        <f>IF(ISERR(B15*H32),"",((B15*H32)))</f>
        <v>49693855.98691287</v>
      </c>
    </row>
    <row r="33" spans="1:9" ht="12.75">
      <c r="A33"/>
      <c r="D33" s="25">
        <v>2024</v>
      </c>
      <c r="E33" s="23">
        <f>IF(D33&lt;=B18,B13*EXP(B14*(D33-D14)),"")</f>
      </c>
      <c r="F33" s="24">
        <f>IF(D33&gt;B18,"",IF(B16&gt;D33,"",IF(B16=D33,B17,IF(B16&lt;D33,(D33-B16)*B20+B17,B19))))</f>
      </c>
      <c r="G33" s="23">
        <f>IF(ISERR(F33*E33),IF(D33&gt;B18,G32,""),F33*E33)</f>
        <v>64968623.58170679</v>
      </c>
      <c r="H33" s="22">
        <f>IF(ISERR(G33-G17),"",(G33-G17))</f>
        <v>34485673.82853079</v>
      </c>
      <c r="I33" s="21">
        <f>IF(ISERR(B15*H33),"",((B15*H33)))</f>
        <v>49693855.98691287</v>
      </c>
    </row>
    <row r="34" spans="1:9" ht="12.75">
      <c r="A34"/>
      <c r="D34" s="25">
        <v>2025</v>
      </c>
      <c r="E34" s="23">
        <f>IF(D34&lt;=B18,B13*EXP(B14*(D34-D14)),"")</f>
      </c>
      <c r="F34" s="24">
        <f>IF(D34&gt;B18,"",IF(B16&gt;D34,"",IF(B16=D34,B17,IF(B16&lt;D34,(D34-B16)*B20+B17,B19))))</f>
      </c>
      <c r="G34" s="23">
        <f>IF(ISERR(F34*E34),IF(D34&gt;B18,G33,""),F34*E34)</f>
        <v>64968623.58170679</v>
      </c>
      <c r="H34" s="22">
        <f>IF(ISERR(G34-G17),"",(G34-G17))</f>
        <v>34485673.82853079</v>
      </c>
      <c r="I34" s="21">
        <f>IF(ISERR(B15*H34),"",((B15*H34)))</f>
        <v>49693855.98691287</v>
      </c>
    </row>
    <row r="35" spans="1:9" ht="12.75">
      <c r="A35"/>
      <c r="D35" s="25">
        <v>2026</v>
      </c>
      <c r="E35" s="23">
        <f>IF(D35&lt;=B18,B13*EXP(B14*(D35-D14)),"")</f>
      </c>
      <c r="F35" s="24">
        <f>IF(D35&gt;B18,"",IF(B16&gt;D35,"",IF(B16=D35,B17,IF(B16&lt;D35,(D35-B16)*B20+B17,B19))))</f>
      </c>
      <c r="G35" s="23">
        <f>IF(ISERR(F35*E35),IF(D35&gt;B18,G34,""),F35*E35)</f>
        <v>64968623.58170679</v>
      </c>
      <c r="H35" s="22">
        <f>IF(ISERR(G35-G17),"",(G35-G17))</f>
        <v>34485673.82853079</v>
      </c>
      <c r="I35" s="21">
        <f>IF(ISERR(B15*H35),"",((B15*H35)))</f>
        <v>49693855.98691287</v>
      </c>
    </row>
    <row r="36" spans="1:9" ht="12.75">
      <c r="A36"/>
      <c r="D36" s="25">
        <v>2027</v>
      </c>
      <c r="E36" s="23">
        <f>IF(D36&lt;=B18,B13*EXP(B14*(D36-D14)),"")</f>
      </c>
      <c r="F36" s="24">
        <f>IF(D36&gt;B18,"",IF(B16&gt;D36,"",IF(B16=D36,B17,IF(B16&lt;D36,(D36-B16)*B20+B17,B19))))</f>
      </c>
      <c r="G36" s="23">
        <f>IF(ISERR(F36*E36),IF(D36&gt;B18,G35,""),F36*E36)</f>
        <v>64968623.58170679</v>
      </c>
      <c r="H36" s="22">
        <f>IF(ISERR(G36-G17),"",(G36-G17))</f>
        <v>34485673.82853079</v>
      </c>
      <c r="I36" s="21">
        <f>IF(ISERR(B15*H36),"",((B15*H36)))</f>
        <v>49693855.98691287</v>
      </c>
    </row>
    <row r="37" spans="1:9" ht="12.75">
      <c r="A37"/>
      <c r="D37" s="25">
        <v>2028</v>
      </c>
      <c r="E37" s="23">
        <f>IF(D37&lt;=B18,B13*EXP(B14*(D37-D14)),"")</f>
      </c>
      <c r="F37" s="24">
        <f>IF(D37&gt;B18,"",IF(B16&gt;D37,"",IF(B16=D37,B17,IF(B16&lt;D37,(D37-B16)*B20+B17,B19))))</f>
      </c>
      <c r="G37" s="23">
        <f>IF(ISERR(F37*E37),IF(D37&gt;B18,G36,""),F37*E37)</f>
        <v>64968623.58170679</v>
      </c>
      <c r="H37" s="22">
        <f>IF(ISERR(G37-G17),"",(G37-G17))</f>
        <v>34485673.82853079</v>
      </c>
      <c r="I37" s="21">
        <f>IF(ISERR(B15*H37),"",((B15*H37)))</f>
        <v>49693855.98691287</v>
      </c>
    </row>
    <row r="38" spans="1:9" ht="12.75">
      <c r="A38"/>
      <c r="D38" s="25">
        <v>2029</v>
      </c>
      <c r="E38" s="23">
        <f>IF(D38&lt;=B18,B13*EXP(B14*(D38-D14)),"")</f>
      </c>
      <c r="F38" s="24">
        <f>IF(D38&gt;B18,"",IF(B16&gt;D38,"",IF(B16=D38,B17,IF(B16&lt;D38,(D38-B16)*B20+B17,B19))))</f>
      </c>
      <c r="G38" s="23">
        <f>IF(ISERR(F38*E38),IF(D38&gt;B18,G37,""),F38*E38)</f>
        <v>64968623.58170679</v>
      </c>
      <c r="H38" s="22">
        <f>IF(ISERR(G38-G17),"",(G38-G17))</f>
        <v>34485673.82853079</v>
      </c>
      <c r="I38" s="21">
        <f>IF(ISERR(B15*H38),"",((B15*H38)))</f>
        <v>49693855.98691287</v>
      </c>
    </row>
    <row r="39" spans="1:9" ht="13.5" thickBot="1">
      <c r="A39"/>
      <c r="D39" s="20">
        <v>2030</v>
      </c>
      <c r="E39" s="18">
        <f>IF(D39&lt;=B18,B13*EXP(B14*(D39-D14)),"")</f>
      </c>
      <c r="F39" s="19">
        <f>IF(D39&gt;B18,"",IF(B16&gt;D39,"",IF(B16=D39,B17,IF(B16&lt;D39,(D39-B16)*B20+B17,B19))))</f>
      </c>
      <c r="G39" s="18">
        <f>IF(ISERR(F39*E39),IF(D39&gt;B18,G38,""),F39*E39)</f>
        <v>64968623.58170679</v>
      </c>
      <c r="H39" s="17">
        <f>IF(ISERR(G39-G17),"",(G39-G17))</f>
        <v>34485673.82853079</v>
      </c>
      <c r="I39" s="16">
        <f>IF(ISERR(B15*H39),"",((B15*H39)))</f>
        <v>49693855.98691287</v>
      </c>
    </row>
    <row r="40" spans="11:13" ht="12.75">
      <c r="K40" s="71"/>
      <c r="L40" s="71"/>
      <c r="M40" s="71"/>
    </row>
    <row r="41" spans="1:12" ht="15.75" customHeight="1">
      <c r="A41" s="466" t="s">
        <v>420</v>
      </c>
      <c r="B41" s="467"/>
      <c r="C41" s="467"/>
      <c r="D41" s="467"/>
      <c r="E41" s="467"/>
      <c r="F41" s="467"/>
      <c r="G41" s="467"/>
      <c r="H41" s="467"/>
      <c r="I41" s="477"/>
      <c r="J41" s="440"/>
      <c r="K41" s="439"/>
      <c r="L41" s="439"/>
    </row>
    <row r="42" spans="1:12" ht="16.5" customHeight="1">
      <c r="A42" s="468" t="s">
        <v>40</v>
      </c>
      <c r="B42" s="469"/>
      <c r="C42" s="469"/>
      <c r="D42" s="469"/>
      <c r="E42" s="469"/>
      <c r="F42" s="469"/>
      <c r="G42" s="469"/>
      <c r="H42" s="469"/>
      <c r="I42" s="478"/>
      <c r="J42" s="440"/>
      <c r="K42" s="439"/>
      <c r="L42" s="439"/>
    </row>
    <row r="43" spans="1:12" ht="24.75" customHeight="1">
      <c r="A43" s="470" t="s">
        <v>598</v>
      </c>
      <c r="B43" s="469"/>
      <c r="C43" s="469"/>
      <c r="D43" s="469"/>
      <c r="E43" s="469"/>
      <c r="F43" s="469"/>
      <c r="G43" s="469"/>
      <c r="H43" s="469"/>
      <c r="I43" s="478"/>
      <c r="J43" s="438"/>
      <c r="K43" s="439"/>
      <c r="L43" s="439"/>
    </row>
    <row r="44" spans="1:12" ht="28.5" customHeight="1">
      <c r="A44" s="470" t="s">
        <v>530</v>
      </c>
      <c r="B44" s="469"/>
      <c r="C44" s="469"/>
      <c r="D44" s="469"/>
      <c r="E44" s="469"/>
      <c r="F44" s="469"/>
      <c r="G44" s="469"/>
      <c r="H44" s="469"/>
      <c r="I44" s="478"/>
      <c r="J44" s="98"/>
      <c r="K44" s="98"/>
      <c r="L44" s="98"/>
    </row>
    <row r="45" spans="1:9" ht="12.75">
      <c r="A45" s="492" t="s">
        <v>362</v>
      </c>
      <c r="B45" s="462"/>
      <c r="C45" s="462"/>
      <c r="D45" s="49"/>
      <c r="E45" s="49"/>
      <c r="F45" s="49"/>
      <c r="G45" s="49"/>
      <c r="H45" s="49"/>
      <c r="I45" s="48"/>
    </row>
    <row r="46" spans="1:7" ht="12.75">
      <c r="A46" s="493" t="s">
        <v>431</v>
      </c>
      <c r="B46" s="493"/>
      <c r="C46" s="493"/>
      <c r="D46" s="74" t="s">
        <v>406</v>
      </c>
      <c r="E46" s="104"/>
      <c r="F46" s="103"/>
      <c r="G46" s="103"/>
    </row>
    <row r="47" spans="1:7" ht="13.5" thickBot="1">
      <c r="A47" s="71" t="s">
        <v>16</v>
      </c>
      <c r="B47" s="71"/>
      <c r="C47" s="71"/>
      <c r="D47" s="47" t="s">
        <v>559</v>
      </c>
      <c r="E47" s="104"/>
      <c r="F47" s="103"/>
      <c r="G47" s="103"/>
    </row>
    <row r="48" spans="1:9" ht="89.25">
      <c r="A48" t="s">
        <v>743</v>
      </c>
      <c r="B48" s="74" t="s">
        <v>557</v>
      </c>
      <c r="D48" s="46" t="s">
        <v>932</v>
      </c>
      <c r="E48" s="45" t="s">
        <v>611</v>
      </c>
      <c r="F48" s="45" t="s">
        <v>610</v>
      </c>
      <c r="G48" s="45" t="s">
        <v>485</v>
      </c>
      <c r="H48" s="45" t="s">
        <v>609</v>
      </c>
      <c r="I48" s="44" t="s">
        <v>528</v>
      </c>
    </row>
    <row r="49" spans="1:9" ht="13.5" thickBot="1">
      <c r="A49" t="s">
        <v>44</v>
      </c>
      <c r="B49" s="58">
        <v>165990000</v>
      </c>
      <c r="D49" s="43"/>
      <c r="E49" s="41" t="s">
        <v>863</v>
      </c>
      <c r="F49" s="42" t="s">
        <v>862</v>
      </c>
      <c r="G49" s="41" t="s">
        <v>861</v>
      </c>
      <c r="H49" s="41" t="s">
        <v>860</v>
      </c>
      <c r="I49" s="40" t="s">
        <v>859</v>
      </c>
    </row>
    <row r="50" spans="1:9" ht="13.5" thickTop="1">
      <c r="A50" t="s">
        <v>43</v>
      </c>
      <c r="B50" s="31">
        <v>0.008</v>
      </c>
      <c r="C50" s="30"/>
      <c r="D50" s="25">
        <v>2005</v>
      </c>
      <c r="E50" s="23">
        <f>IF(D50&lt;=B54,B49*EXP(B50*(D50-D50)),"")</f>
        <v>165990000</v>
      </c>
      <c r="F50" s="24">
        <f>IF(D50&gt;B54,"",IF(B52&gt;D50,"",IF(B52=D50,B53,IF(B52&lt;D50,(D50-B52)*B56+B53,B55))))</f>
      </c>
      <c r="G50" s="23">
        <f>IF(ISERR(F50*E50),IF(D50&gt;B54,G49,""),F50*E50)</f>
      </c>
      <c r="H50" s="39"/>
      <c r="I50" s="38"/>
    </row>
    <row r="51" spans="1:9" ht="12.75">
      <c r="A51" t="s">
        <v>42</v>
      </c>
      <c r="B51" s="37">
        <v>2.332</v>
      </c>
      <c r="D51" s="25">
        <v>2006</v>
      </c>
      <c r="E51" s="23">
        <f>IF(D51&lt;=B54,B49*EXP(B50*(D51-D50)),"")</f>
        <v>167323245.87285435</v>
      </c>
      <c r="F51" s="24">
        <f>IF(D51&gt;B54,"",IF(B52&gt;D51,"",IF(B52=D51,B53,IF(B52&lt;D51,(D51-B52)*B56+B53,B55))))</f>
        <v>0.065</v>
      </c>
      <c r="G51" s="23">
        <f>IF(ISERR(F51*E51),IF(D51&gt;B54,G50,""),F51*E51)</f>
        <v>10876010.981735533</v>
      </c>
      <c r="H51" s="23"/>
      <c r="I51" s="34"/>
    </row>
    <row r="52" spans="1:9" ht="12.75">
      <c r="A52" t="s">
        <v>856</v>
      </c>
      <c r="B52" s="37">
        <v>2006</v>
      </c>
      <c r="D52" s="25">
        <v>2007</v>
      </c>
      <c r="E52" s="23">
        <f>IF(D52&lt;=B54,B49*EXP(B50*(D52-D50)),"")</f>
        <v>168667200.4905577</v>
      </c>
      <c r="F52" s="24">
        <f>IF(D52&gt;B54,"",IF(B52&gt;D52,"",IF(B52=D52,B53,IF(B52&lt;D52,(D52-B52)*B56+B53,B55))))</f>
        <v>0.07875</v>
      </c>
      <c r="G52" s="23">
        <f>IF(ISERR(F52*E52),IF(D52&gt;B54,G51,""),F52*E52)</f>
        <v>13282542.038631419</v>
      </c>
      <c r="H52" s="23"/>
      <c r="I52" s="34"/>
    </row>
    <row r="53" spans="1:9" s="33" customFormat="1" ht="12.75">
      <c r="A53" s="33" t="s">
        <v>855</v>
      </c>
      <c r="B53" s="36">
        <v>0.065</v>
      </c>
      <c r="C53" s="35"/>
      <c r="D53" s="25">
        <v>2008</v>
      </c>
      <c r="E53" s="23">
        <f>IF(D53&lt;=B54,B49*EXP(B50*(D53-D50)),"")</f>
        <v>170021949.86666426</v>
      </c>
      <c r="F53" s="24">
        <f>IF(D53&gt;B54,"",IF(B52&gt;D53,"",IF(B52=D53,B53,IF(B52&lt;D53,(D53-B52)*B56+B53,B55))))</f>
        <v>0.0925</v>
      </c>
      <c r="G53" s="23">
        <f>IF(ISERR(F53*E53),IF(D53&gt;B54,G52,""),F53*E53)</f>
        <v>15727030.362666443</v>
      </c>
      <c r="H53" s="23"/>
      <c r="I53" s="34"/>
    </row>
    <row r="54" spans="1:9" ht="12.75">
      <c r="A54" t="s">
        <v>854</v>
      </c>
      <c r="B54" s="32">
        <v>2010</v>
      </c>
      <c r="C54" s="30"/>
      <c r="D54" s="25">
        <v>2009</v>
      </c>
      <c r="E54" s="23">
        <f>IF(D54&lt;=B54,B49*EXP(B50*(D54-D50)),"")</f>
        <v>171387580.7055966</v>
      </c>
      <c r="F54" s="24">
        <f>IF(D54&gt;B54,"",IF(B52&gt;D54,"",IF(B52=D54,B53,IF(B52&lt;D54,(D54-B52)*B56+B53,B55))))</f>
        <v>0.10625</v>
      </c>
      <c r="G54" s="23">
        <f>IF(ISERR(F54*E54),IF(D54&gt;B54,G53,""),F54*E54)</f>
        <v>18209930.44996964</v>
      </c>
      <c r="H54" s="22">
        <f>IF(ISERR(G54-G53),"",(G54-G53))</f>
        <v>2482900.087303195</v>
      </c>
      <c r="I54" s="21">
        <f>IF(ISERR(B51*H54),"",((B51*H54)))</f>
        <v>5790123.00359105</v>
      </c>
    </row>
    <row r="55" spans="1:9" ht="12.75">
      <c r="A55" t="s">
        <v>921</v>
      </c>
      <c r="B55" s="31">
        <v>0.12</v>
      </c>
      <c r="C55" s="30"/>
      <c r="D55" s="25">
        <v>2010</v>
      </c>
      <c r="E55" s="23">
        <f>IF(D55&lt;=B54,B49*EXP(B50*(D55-D50)),"")</f>
        <v>172764180.4081945</v>
      </c>
      <c r="F55" s="24">
        <f>IF(D55&gt;B54,"",IF(B52&gt;D55,"",IF(B52=D55,B53,IF(B52&lt;D55,(D55-B52)*B56+B53,B55))))</f>
        <v>0.12</v>
      </c>
      <c r="G55" s="23">
        <f>IF(ISERR(F55*E55),IF(D55&gt;B54,G54,""),F55*E55)</f>
        <v>20731701.64898334</v>
      </c>
      <c r="H55" s="22">
        <f>IF(ISERR(G55-G53),"",(G55-G53))</f>
        <v>5004671.286316898</v>
      </c>
      <c r="I55" s="21">
        <f>IF(ISERR(B51*H55),"",((B51*H55)))</f>
        <v>11670893.439691005</v>
      </c>
    </row>
    <row r="56" spans="1:9" ht="12.75">
      <c r="A56" s="29" t="s">
        <v>920</v>
      </c>
      <c r="B56" s="28">
        <f>(B55-B53)/(B54-B52)</f>
        <v>0.013749999999999998</v>
      </c>
      <c r="D56" s="25">
        <v>2011</v>
      </c>
      <c r="E56" s="23">
        <f>IF(D56&lt;=B54,B49*EXP(B50*(D56-D50)),"")</f>
      </c>
      <c r="F56" s="24">
        <f>IF(D56&gt;B54,"",IF(B52&gt;D56,"",IF(B52=D56,B53,IF(B52&lt;D56,(D56-B52)*B56+B53,B55))))</f>
      </c>
      <c r="G56" s="23">
        <f>IF(ISERR(F56*E56),IF(D56&gt;B54,G55,""),F56*E56)</f>
        <v>20731701.64898334</v>
      </c>
      <c r="H56" s="22">
        <f>IF(ISERR(G56-G53),"",(G56-G53))</f>
        <v>5004671.286316898</v>
      </c>
      <c r="I56" s="21">
        <f>IF(ISERR(B51*H56),"",((B51*H56)))</f>
        <v>11670893.439691005</v>
      </c>
    </row>
    <row r="57" spans="1:9" ht="12.75">
      <c r="A57"/>
      <c r="D57" s="25">
        <v>2012</v>
      </c>
      <c r="E57" s="23">
        <f>IF(D57&lt;=B54,B49*EXP(B50*(D57-D50)),"")</f>
      </c>
      <c r="F57" s="24">
        <f>IF(D57&gt;B54,"",IF(B52&gt;D57,"",IF(B52=D57,B53,IF(B52&lt;D57,(D57-B52)*B56+B53,B55))))</f>
      </c>
      <c r="G57" s="23">
        <f>IF(ISERR(F57*E57),IF(D57&gt;B54,G56,""),F57*E57)</f>
        <v>20731701.64898334</v>
      </c>
      <c r="H57" s="22">
        <f>IF(ISERR(G57-G53),"",(G57-G53))</f>
        <v>5004671.286316898</v>
      </c>
      <c r="I57" s="21">
        <f>IF(ISERR(B51*H57),"",((B51*H57)))</f>
        <v>11670893.439691005</v>
      </c>
    </row>
    <row r="58" spans="1:9" ht="12.75">
      <c r="A58"/>
      <c r="D58" s="25">
        <v>2013</v>
      </c>
      <c r="E58" s="23">
        <f>IF(D58&lt;=B54,B49*EXP(B50*(D58-D50)),"")</f>
      </c>
      <c r="F58" s="24">
        <f>IF(D58&gt;B54,"",IF(B52&gt;D58,"",IF(B52=D58,B53,IF(B52&lt;D58,(D58-B52)*B56+B53,B55))))</f>
      </c>
      <c r="G58" s="23">
        <f>IF(ISERR(F58*E58),IF(D58&gt;B54,G57,""),F58*E58)</f>
        <v>20731701.64898334</v>
      </c>
      <c r="H58" s="22">
        <f>IF(ISERR(G58-G53),"",(G58-G53))</f>
        <v>5004671.286316898</v>
      </c>
      <c r="I58" s="21">
        <f>IF(ISERR(B51*H58),"",((B51*H58)))</f>
        <v>11670893.439691005</v>
      </c>
    </row>
    <row r="59" spans="1:9" ht="12.75">
      <c r="A59" t="s">
        <v>41</v>
      </c>
      <c r="B59" s="27">
        <f>VLOOKUP(B54,D50:I75,6,FALSE)</f>
        <v>11670893.439691005</v>
      </c>
      <c r="D59" s="25">
        <v>2014</v>
      </c>
      <c r="E59" s="23">
        <f>IF(D59&lt;=B54,B49*EXP(B50*(D59-D50)),"")</f>
      </c>
      <c r="F59" s="24">
        <f>IF(D59&gt;B54,"",IF(B52&gt;D59,"",IF(B52=D59,B53,IF(B52&lt;D59,(D59-B52)*B56+B53,B55))))</f>
      </c>
      <c r="G59" s="23">
        <f>IF(ISERR(F59*E59),IF(D59&gt;B54,G58,""),F59*E59)</f>
        <v>20731701.64898334</v>
      </c>
      <c r="H59" s="22">
        <f>IF(ISERR(G59-G53),"",(G59-G53))</f>
        <v>5004671.286316898</v>
      </c>
      <c r="I59" s="21">
        <f>IF(ISERR(B51*H59),"",((B51*H59)))</f>
        <v>11670893.439691005</v>
      </c>
    </row>
    <row r="60" spans="1:9" ht="12.75">
      <c r="A60" t="s">
        <v>593</v>
      </c>
      <c r="B60" s="27">
        <f>SUM(I54:I75)</f>
        <v>250878885.23710218</v>
      </c>
      <c r="D60" s="25">
        <v>2015</v>
      </c>
      <c r="E60" s="23">
        <f>IF(D60&lt;=B54,B49*EXP(B50*(D60-D50)),"")</f>
      </c>
      <c r="F60" s="24">
        <f>IF(D60&gt;B54,"",IF(B52&gt;D60,"",IF(B52=D60,B53,IF(B52&lt;D60,(D60-B52)*B56+B53,B55))))</f>
      </c>
      <c r="G60" s="23">
        <f>IF(ISERR(F60*E60),IF(D60&gt;B54,G59,""),F60*E60)</f>
        <v>20731701.64898334</v>
      </c>
      <c r="H60" s="22">
        <f>IF(ISERR(G60-G53),"",(G60-G53))</f>
        <v>5004671.286316898</v>
      </c>
      <c r="I60" s="21">
        <f>IF(ISERR(B51*H60),"",((B51*H60)))</f>
        <v>11670893.439691005</v>
      </c>
    </row>
    <row r="61" spans="1:9" ht="12.75">
      <c r="A61" t="s">
        <v>1068</v>
      </c>
      <c r="B61" s="26">
        <f>B59/(10^6)</f>
        <v>11.670893439691005</v>
      </c>
      <c r="D61" s="25">
        <v>2016</v>
      </c>
      <c r="E61" s="23">
        <f>IF(D61&lt;=B54,B49*EXP(B50*(D61-D50)),"")</f>
      </c>
      <c r="F61" s="24">
        <f>IF(D61&gt;B54,"",IF(B52&gt;D61,"",IF(B52=D61,B53,IF(B52&lt;D61,(D61-B52)*B56+B53,B55))))</f>
      </c>
      <c r="G61" s="23">
        <f>IF(ISERR(F61*E61),IF(D61&gt;B54,G60,""),F61*E61)</f>
        <v>20731701.64898334</v>
      </c>
      <c r="H61" s="22">
        <f>IF(ISERR(G61-G53),"",(G61-G53))</f>
        <v>5004671.286316898</v>
      </c>
      <c r="I61" s="21">
        <f>IF(ISERR(B51*H61),"",((B51*H61)))</f>
        <v>11670893.439691005</v>
      </c>
    </row>
    <row r="62" spans="1:9" ht="12.75">
      <c r="A62" t="s">
        <v>1067</v>
      </c>
      <c r="B62" s="26">
        <f>B60/(10^6)</f>
        <v>250.87888523710217</v>
      </c>
      <c r="D62" s="25">
        <v>2017</v>
      </c>
      <c r="E62" s="23">
        <f>IF(D62&lt;=B54,B49*EXP(B50*(D62-D50)),"")</f>
      </c>
      <c r="F62" s="24">
        <f>IF(D62&gt;B54,"",IF(B52&gt;D62,"",IF(B52=D62,B53,IF(B52&lt;D62,(D62-B52)*B56+B53,B55))))</f>
      </c>
      <c r="G62" s="23">
        <f>IF(ISERR(F62*E62),IF(D62&gt;B54,G61,""),F62*E62)</f>
        <v>20731701.64898334</v>
      </c>
      <c r="H62" s="22">
        <f>IF(ISERR(G62-G53),"",(G62-G53))</f>
        <v>5004671.286316898</v>
      </c>
      <c r="I62" s="21">
        <f>IF(ISERR(B51*H62),"",((B51*H62)))</f>
        <v>11670893.439691005</v>
      </c>
    </row>
    <row r="63" spans="1:9" ht="12.75">
      <c r="A63"/>
      <c r="D63" s="25">
        <v>2018</v>
      </c>
      <c r="E63" s="23">
        <f>IF(D63&lt;=B54,B49*EXP(B50*(D63-D50)),"")</f>
      </c>
      <c r="F63" s="24">
        <f>IF(D63&gt;B54,"",IF(B52&gt;D63,"",IF(B52=D63,B53,IF(B52&lt;D63,(D63-B52)*B56+B53,B55))))</f>
      </c>
      <c r="G63" s="23">
        <f>IF(ISERR(F63*E63),IF(D63&gt;B54,G62,""),F63*E63)</f>
        <v>20731701.64898334</v>
      </c>
      <c r="H63" s="22">
        <f>IF(ISERR(G63-G53),"",(G63-G53))</f>
        <v>5004671.286316898</v>
      </c>
      <c r="I63" s="21">
        <f>IF(ISERR(B51*H63),"",((B51*H63)))</f>
        <v>11670893.439691005</v>
      </c>
    </row>
    <row r="64" spans="1:9" ht="12.75">
      <c r="A64" s="452" t="s">
        <v>784</v>
      </c>
      <c r="B64" s="452"/>
      <c r="D64" s="25">
        <v>2019</v>
      </c>
      <c r="E64" s="23">
        <f>IF(D64&lt;=B54,B49*EXP(B50*(D64-D50)),"")</f>
      </c>
      <c r="F64" s="24">
        <f>IF(D64&gt;B54,"",IF(B52&gt;D64,"",IF(B52=D64,B53,IF(B52&lt;D64,(D64-B52)*B56+B53,B55))))</f>
      </c>
      <c r="G64" s="23">
        <f>IF(ISERR(F64*E64),IF(D64&gt;B54,G63,""),F64*E64)</f>
        <v>20731701.64898334</v>
      </c>
      <c r="H64" s="22">
        <f>IF(ISERR(G64-G53),"",(G64-G53))</f>
        <v>5004671.286316898</v>
      </c>
      <c r="I64" s="21">
        <f>IF(ISERR(B51*H64),"",((B51*H64)))</f>
        <v>11670893.439691005</v>
      </c>
    </row>
    <row r="65" spans="1:9" ht="12.75">
      <c r="A65" s="452"/>
      <c r="B65" s="452"/>
      <c r="D65" s="25">
        <v>2020</v>
      </c>
      <c r="E65" s="23">
        <f>IF(D65&lt;=B54,B49*EXP(B50*(D65-D50)),"")</f>
      </c>
      <c r="F65" s="24">
        <f>IF(D65&gt;B54,"",IF(B52&gt;D65,"",IF(B52=D65,B53,IF(B52&lt;D65,(D65-B52)*B56+B53,B55))))</f>
      </c>
      <c r="G65" s="23">
        <f>IF(ISERR(F65*E65),IF(D65&gt;B54,G64,""),F65*E65)</f>
        <v>20731701.64898334</v>
      </c>
      <c r="H65" s="22">
        <f>IF(ISERR(G65-G53),"",(G65-G53))</f>
        <v>5004671.286316898</v>
      </c>
      <c r="I65" s="21">
        <f>IF(ISERR(B51*H65),"",((B51*H65)))</f>
        <v>11670893.439691005</v>
      </c>
    </row>
    <row r="66" spans="1:9" ht="12.75">
      <c r="A66" s="453"/>
      <c r="B66" s="453"/>
      <c r="D66" s="25">
        <v>2021</v>
      </c>
      <c r="E66" s="23">
        <f>IF(D66&lt;=B54,B49*EXP(B50*(D66-D50)),"")</f>
      </c>
      <c r="F66" s="24">
        <f>IF(D66&gt;B54,"",IF(B52&gt;D66,"",IF(B52=D66,B53,IF(B52&lt;D66,(D66-B52)*B56+B53,B55))))</f>
      </c>
      <c r="G66" s="23">
        <f>IF(ISERR(F66*E66),IF(D66&gt;B54,G65,""),F66*E66)</f>
        <v>20731701.64898334</v>
      </c>
      <c r="H66" s="22">
        <f>IF(ISERR(G66-G53),"",(G66-G53))</f>
        <v>5004671.286316898</v>
      </c>
      <c r="I66" s="21">
        <f>IF(ISERR(B51*H66),"",((B51*H66)))</f>
        <v>11670893.439691005</v>
      </c>
    </row>
    <row r="67" spans="1:9" ht="12.75">
      <c r="A67"/>
      <c r="D67" s="25">
        <v>2022</v>
      </c>
      <c r="E67" s="23">
        <f>IF(D67&lt;=B54,B49*EXP(B50*(D67-D50)),"")</f>
      </c>
      <c r="F67" s="24">
        <f>IF(D67&gt;B54,"",IF(B52&gt;D67,"",IF(B52=D67,B53,IF(B52&lt;D67,(D67-B52)*B56+B53,B55))))</f>
      </c>
      <c r="G67" s="23">
        <f>IF(ISERR(F67*E67),IF(D67&gt;B54,G66,""),F67*E67)</f>
        <v>20731701.64898334</v>
      </c>
      <c r="H67" s="22">
        <f>IF(ISERR(G67-G53),"",(G67-G53))</f>
        <v>5004671.286316898</v>
      </c>
      <c r="I67" s="21">
        <f>IF(ISERR(B51*H67),"",((B51*H67)))</f>
        <v>11670893.439691005</v>
      </c>
    </row>
    <row r="68" spans="1:9" ht="12.75">
      <c r="A68"/>
      <c r="D68" s="25">
        <v>2023</v>
      </c>
      <c r="E68" s="23">
        <f>IF(D68&lt;=B54,B49*EXP(B50*(D68-D50)),"")</f>
      </c>
      <c r="F68" s="24">
        <f>IF(D68&gt;B54,"",IF(B52&gt;D68,"",IF(B52=D68,B53,IF(B52&lt;D68,(D68-B52)*B56+B53,B55))))</f>
      </c>
      <c r="G68" s="23">
        <f>IF(ISERR(F68*E68),IF(D68&gt;B54,G67,""),F68*E68)</f>
        <v>20731701.64898334</v>
      </c>
      <c r="H68" s="22">
        <f>IF(ISERR(G68-G53),"",(G68-G53))</f>
        <v>5004671.286316898</v>
      </c>
      <c r="I68" s="21">
        <f>IF(ISERR(B51*H68),"",((B51*H68)))</f>
        <v>11670893.439691005</v>
      </c>
    </row>
    <row r="69" spans="1:9" ht="12.75">
      <c r="A69"/>
      <c r="D69" s="25">
        <v>2024</v>
      </c>
      <c r="E69" s="23">
        <f>IF(D69&lt;=B54,B49*EXP(B50*(D69-D50)),"")</f>
      </c>
      <c r="F69" s="24">
        <f>IF(D69&gt;B54,"",IF(B52&gt;D69,"",IF(B52=D69,B53,IF(B52&lt;D69,(D69-B52)*B56+B53,B55))))</f>
      </c>
      <c r="G69" s="23">
        <f>IF(ISERR(F69*E69),IF(D69&gt;B54,G68,""),F69*E69)</f>
        <v>20731701.64898334</v>
      </c>
      <c r="H69" s="22">
        <f>IF(ISERR(G69-G53),"",(G69-G53))</f>
        <v>5004671.286316898</v>
      </c>
      <c r="I69" s="21">
        <f>IF(ISERR(B51*H69),"",((B51*H69)))</f>
        <v>11670893.439691005</v>
      </c>
    </row>
    <row r="70" spans="1:9" ht="12.75">
      <c r="A70"/>
      <c r="D70" s="25">
        <v>2025</v>
      </c>
      <c r="E70" s="23">
        <f>IF(D70&lt;=B54,B49*EXP(B50*(D70-D50)),"")</f>
      </c>
      <c r="F70" s="24">
        <f>IF(D70&gt;B54,"",IF(B52&gt;D70,"",IF(B52=D70,B53,IF(B52&lt;D70,(D70-B52)*B56+B53,B55))))</f>
      </c>
      <c r="G70" s="23">
        <f>IF(ISERR(F70*E70),IF(D70&gt;B54,G69,""),F70*E70)</f>
        <v>20731701.64898334</v>
      </c>
      <c r="H70" s="22">
        <f>IF(ISERR(G70-G53),"",(G70-G53))</f>
        <v>5004671.286316898</v>
      </c>
      <c r="I70" s="21">
        <f>IF(ISERR(B51*H70),"",((B51*H70)))</f>
        <v>11670893.439691005</v>
      </c>
    </row>
    <row r="71" spans="1:9" ht="12.75">
      <c r="A71"/>
      <c r="D71" s="25">
        <v>2026</v>
      </c>
      <c r="E71" s="23">
        <f>IF(D71&lt;=B54,B49*EXP(B50*(D71-D50)),"")</f>
      </c>
      <c r="F71" s="24">
        <f>IF(D71&gt;B54,"",IF(B52&gt;D71,"",IF(B52=D71,B53,IF(B52&lt;D71,(D71-B52)*B56+B53,B55))))</f>
      </c>
      <c r="G71" s="23">
        <f>IF(ISERR(F71*E71),IF(D71&gt;B54,G70,""),F71*E71)</f>
        <v>20731701.64898334</v>
      </c>
      <c r="H71" s="22">
        <f>IF(ISERR(G71-G53),"",(G71-G53))</f>
        <v>5004671.286316898</v>
      </c>
      <c r="I71" s="21">
        <f>IF(ISERR(B51*H71),"",((B51*H71)))</f>
        <v>11670893.439691005</v>
      </c>
    </row>
    <row r="72" spans="1:9" ht="12.75">
      <c r="A72"/>
      <c r="D72" s="25">
        <v>2027</v>
      </c>
      <c r="E72" s="23">
        <f>IF(D72&lt;=B54,B49*EXP(B50*(D72-D50)),"")</f>
      </c>
      <c r="F72" s="24">
        <f>IF(D72&gt;B54,"",IF(B52&gt;D72,"",IF(B52=D72,B53,IF(B52&lt;D72,(D72-B52)*B56+B53,B55))))</f>
      </c>
      <c r="G72" s="23">
        <f>IF(ISERR(F72*E72),IF(D72&gt;B54,G71,""),F72*E72)</f>
        <v>20731701.64898334</v>
      </c>
      <c r="H72" s="22">
        <f>IF(ISERR(G72-G53),"",(G72-G53))</f>
        <v>5004671.286316898</v>
      </c>
      <c r="I72" s="21">
        <f>IF(ISERR(B51*H72),"",((B51*H72)))</f>
        <v>11670893.439691005</v>
      </c>
    </row>
    <row r="73" spans="1:9" ht="12.75">
      <c r="A73"/>
      <c r="D73" s="25">
        <v>2028</v>
      </c>
      <c r="E73" s="23">
        <f>IF(D73&lt;=B54,B49*EXP(B50*(D73-D50)),"")</f>
      </c>
      <c r="F73" s="24">
        <f>IF(D73&gt;B54,"",IF(B52&gt;D73,"",IF(B52=D73,B53,IF(B52&lt;D73,(D73-B52)*B56+B53,B55))))</f>
      </c>
      <c r="G73" s="23">
        <f>IF(ISERR(F73*E73),IF(D73&gt;B54,G72,""),F73*E73)</f>
        <v>20731701.64898334</v>
      </c>
      <c r="H73" s="22">
        <f>IF(ISERR(G73-G53),"",(G73-G53))</f>
        <v>5004671.286316898</v>
      </c>
      <c r="I73" s="21">
        <f>IF(ISERR(B51*H73),"",((B51*H73)))</f>
        <v>11670893.439691005</v>
      </c>
    </row>
    <row r="74" spans="1:9" ht="12.75">
      <c r="A74"/>
      <c r="D74" s="25">
        <v>2029</v>
      </c>
      <c r="E74" s="23">
        <f>IF(D74&lt;=B54,B49*EXP(B50*(D74-D50)),"")</f>
      </c>
      <c r="F74" s="24">
        <f>IF(D74&gt;B54,"",IF(B52&gt;D74,"",IF(B52=D74,B53,IF(B52&lt;D74,(D74-B52)*B56+B53,B55))))</f>
      </c>
      <c r="G74" s="23">
        <f>IF(ISERR(F74*E74),IF(D74&gt;B54,G73,""),F74*E74)</f>
        <v>20731701.64898334</v>
      </c>
      <c r="H74" s="22">
        <f>IF(ISERR(G74-G53),"",(G74-G53))</f>
        <v>5004671.286316898</v>
      </c>
      <c r="I74" s="21">
        <f>IF(ISERR(B51*H74),"",((B51*H74)))</f>
        <v>11670893.439691005</v>
      </c>
    </row>
    <row r="75" spans="1:9" ht="13.5" thickBot="1">
      <c r="A75"/>
      <c r="D75" s="20">
        <v>2030</v>
      </c>
      <c r="E75" s="18">
        <f>IF(D75&lt;=B54,B49*EXP(B50*(D75-D50)),"")</f>
      </c>
      <c r="F75" s="19">
        <f>IF(D75&gt;B54,"",IF(B52&gt;D75,"",IF(B52=D75,B53,IF(B52&lt;D75,(D75-B52)*B56+B53,B55))))</f>
      </c>
      <c r="G75" s="18">
        <f>IF(ISERR(F75*E75),IF(D75&gt;B54,G74,""),F75*E75)</f>
        <v>20731701.64898334</v>
      </c>
      <c r="H75" s="17">
        <f>IF(ISERR(G75-G53),"",(G75-G53))</f>
        <v>5004671.286316898</v>
      </c>
      <c r="I75" s="16">
        <f>IF(ISERR(B51*H75),"",((B51*H75)))</f>
        <v>11670893.439691005</v>
      </c>
    </row>
    <row r="76" spans="2:13" ht="12.75">
      <c r="B76" s="67"/>
      <c r="K76" s="63"/>
      <c r="L76" s="63"/>
      <c r="M76" s="63"/>
    </row>
    <row r="77" spans="2:13" ht="12.75">
      <c r="B77" s="67"/>
      <c r="K77" s="63"/>
      <c r="L77" s="63"/>
      <c r="M77" s="63"/>
    </row>
    <row r="78" spans="1:9" ht="12.75" customHeight="1">
      <c r="A78" s="466" t="s">
        <v>429</v>
      </c>
      <c r="B78" s="461"/>
      <c r="C78" s="461"/>
      <c r="D78" s="461"/>
      <c r="E78" s="461"/>
      <c r="F78" s="461"/>
      <c r="G78" s="55"/>
      <c r="H78" s="55"/>
      <c r="I78" s="54"/>
    </row>
    <row r="79" spans="1:9" ht="12.75" customHeight="1">
      <c r="A79" s="468" t="s">
        <v>14</v>
      </c>
      <c r="B79" s="463"/>
      <c r="C79" s="463"/>
      <c r="D79" s="463"/>
      <c r="E79" s="463"/>
      <c r="F79" s="463"/>
      <c r="G79" s="52"/>
      <c r="H79" s="52"/>
      <c r="I79" s="51"/>
    </row>
    <row r="80" spans="1:9" ht="39" customHeight="1">
      <c r="A80" s="470" t="s">
        <v>13</v>
      </c>
      <c r="B80" s="446"/>
      <c r="C80" s="446"/>
      <c r="D80" s="446"/>
      <c r="E80" s="446"/>
      <c r="F80" s="446"/>
      <c r="G80" s="52"/>
      <c r="H80" s="52"/>
      <c r="I80" s="51"/>
    </row>
    <row r="81" spans="1:9" ht="36" customHeight="1">
      <c r="A81" s="470" t="s">
        <v>1</v>
      </c>
      <c r="B81" s="446"/>
      <c r="C81" s="446"/>
      <c r="D81" s="446"/>
      <c r="E81" s="446"/>
      <c r="F81" s="446"/>
      <c r="G81" s="52"/>
      <c r="H81" s="52"/>
      <c r="I81" s="51"/>
    </row>
    <row r="82" spans="1:9" ht="12.75">
      <c r="A82" s="492" t="s">
        <v>364</v>
      </c>
      <c r="B82" s="462"/>
      <c r="C82" s="462"/>
      <c r="D82" s="49"/>
      <c r="E82" s="49"/>
      <c r="F82" s="49"/>
      <c r="G82" s="49"/>
      <c r="H82" s="49"/>
      <c r="I82" s="48"/>
    </row>
    <row r="83" spans="1:4" ht="12.75">
      <c r="A83" t="s">
        <v>952</v>
      </c>
      <c r="D83" s="64" t="s">
        <v>399</v>
      </c>
    </row>
    <row r="84" spans="1:12" ht="12.75">
      <c r="A84" s="116" t="s">
        <v>16</v>
      </c>
      <c r="D84" s="47" t="s">
        <v>553</v>
      </c>
      <c r="J84" s="63"/>
      <c r="K84" s="63"/>
      <c r="L84" s="63"/>
    </row>
    <row r="85" spans="2:13" ht="13.5" thickBot="1">
      <c r="B85" s="116"/>
      <c r="E85" s="47"/>
      <c r="K85" s="63"/>
      <c r="L85" s="63"/>
      <c r="M85" s="63"/>
    </row>
    <row r="86" spans="1:9" ht="89.25">
      <c r="A86" t="s">
        <v>743</v>
      </c>
      <c r="B86" s="74" t="s">
        <v>456</v>
      </c>
      <c r="D86" s="46" t="s">
        <v>932</v>
      </c>
      <c r="E86" s="45" t="s">
        <v>611</v>
      </c>
      <c r="F86" s="45" t="s">
        <v>610</v>
      </c>
      <c r="G86" s="45" t="s">
        <v>485</v>
      </c>
      <c r="H86" s="45" t="s">
        <v>609</v>
      </c>
      <c r="I86" s="44" t="s">
        <v>528</v>
      </c>
    </row>
    <row r="87" spans="1:9" ht="13.5" thickBot="1">
      <c r="A87" t="s">
        <v>44</v>
      </c>
      <c r="B87" s="123">
        <v>8320000</v>
      </c>
      <c r="D87" s="43"/>
      <c r="E87" s="41" t="s">
        <v>863</v>
      </c>
      <c r="F87" s="42" t="s">
        <v>862</v>
      </c>
      <c r="G87" s="41" t="s">
        <v>861</v>
      </c>
      <c r="H87" s="41" t="s">
        <v>860</v>
      </c>
      <c r="I87" s="40" t="s">
        <v>859</v>
      </c>
    </row>
    <row r="88" spans="1:9" ht="13.5" thickTop="1">
      <c r="A88" t="s">
        <v>43</v>
      </c>
      <c r="B88" s="119">
        <v>0.014</v>
      </c>
      <c r="C88" s="30"/>
      <c r="D88" s="25">
        <v>2005</v>
      </c>
      <c r="E88" s="23">
        <f>IF(D88&lt;=B92,B87*EXP(B88*(D88-D88)),"")</f>
        <v>8320000</v>
      </c>
      <c r="F88" s="24">
        <f>IF(D88&gt;B92,"",IF(B90&gt;D88,"",IF(B90=D88,B91,IF(B90&lt;D88,(D88-B90)*B94+B91,B93))))</f>
      </c>
      <c r="G88" s="23">
        <f>IF(ISERR(F88*E88),IF(D88&gt;B92,G87,""),F88*E88)</f>
      </c>
      <c r="H88" s="39"/>
      <c r="I88" s="38"/>
    </row>
    <row r="89" spans="1:9" ht="12.75">
      <c r="A89" t="s">
        <v>42</v>
      </c>
      <c r="B89" s="122">
        <v>1.676</v>
      </c>
      <c r="D89" s="25">
        <v>2006</v>
      </c>
      <c r="E89" s="23">
        <f>IF(D89&lt;=B92,B87*EXP(B88*(D89-D88)),"")</f>
        <v>8437299.178368255</v>
      </c>
      <c r="F89" s="24">
        <f>IF(D89&gt;B92,"",IF(B90&gt;D89,"",IF(B90=D89,B91,IF(B90&lt;D89,(D89-B90)*B94+B91,B93))))</f>
        <v>0.095</v>
      </c>
      <c r="G89" s="23">
        <f>IF(ISERR(F89*E89),IF(D89&gt;B92,G88,""),F89*E89)</f>
        <v>801543.4219449842</v>
      </c>
      <c r="H89" s="23"/>
      <c r="I89" s="34"/>
    </row>
    <row r="90" spans="1:9" ht="12.75">
      <c r="A90" t="s">
        <v>856</v>
      </c>
      <c r="B90" s="122">
        <v>2006</v>
      </c>
      <c r="D90" s="25">
        <v>2007</v>
      </c>
      <c r="E90" s="23">
        <f>IF(D90&lt;=B92,B87*EXP(B88*(D90-D88)),"")</f>
        <v>8556252.094386257</v>
      </c>
      <c r="F90" s="24">
        <f>IF(D90&gt;B92,"",IF(B90&gt;D90,"",IF(B90=D90,B91,IF(B90&lt;D90,(D90-B90)*B94+B91,B93))))</f>
        <v>0.10052631578947369</v>
      </c>
      <c r="G90" s="23">
        <f>IF(ISERR(F90*E90),IF(D90&gt;B92,G89,""),F90*E90)</f>
        <v>860128.5000146185</v>
      </c>
      <c r="H90" s="23"/>
      <c r="I90" s="34"/>
    </row>
    <row r="91" spans="1:9" s="33" customFormat="1" ht="12.75">
      <c r="A91" s="33" t="s">
        <v>855</v>
      </c>
      <c r="B91" s="121">
        <v>0.095</v>
      </c>
      <c r="C91" s="35"/>
      <c r="D91" s="25">
        <v>2008</v>
      </c>
      <c r="E91" s="23">
        <f>IF(D91&lt;=B92,B87*EXP(B88*(D91-D88)),"")</f>
        <v>8676882.06320635</v>
      </c>
      <c r="F91" s="24">
        <f>IF(D91&gt;B92,"",IF(B90&gt;D91,"",IF(B90=D91,B91,IF(B90&lt;D91,(D91-B90)*B94+B91,B93))))</f>
        <v>0.10605263157894737</v>
      </c>
      <c r="G91" s="23">
        <f>IF(ISERR(F91*E91),IF(D91&gt;B92,G90,""),F91*E91)</f>
        <v>920206.1767031999</v>
      </c>
      <c r="H91" s="23"/>
      <c r="I91" s="34"/>
    </row>
    <row r="92" spans="1:9" ht="12.75">
      <c r="A92" t="s">
        <v>854</v>
      </c>
      <c r="B92" s="120">
        <v>2025</v>
      </c>
      <c r="C92" s="30"/>
      <c r="D92" s="25">
        <v>2009</v>
      </c>
      <c r="E92" s="23">
        <f>IF(D92&lt;=B92,B87*EXP(B88*(D92-D88)),"")</f>
        <v>8799212.728688605</v>
      </c>
      <c r="F92" s="24">
        <f>IF(D92&gt;B92,"",IF(B90&gt;D92,"",IF(B90=D92,B91,IF(B90&lt;D92,(D92-B90)*B94+B91,B93))))</f>
        <v>0.11157894736842106</v>
      </c>
      <c r="G92" s="23">
        <f>IF(ISERR(F92*E92),IF(D92&gt;B92,G91,""),F92*E92)</f>
        <v>981806.8939378865</v>
      </c>
      <c r="H92" s="22">
        <f>IF(ISERR(G92-G91),"",(G92-G91))</f>
        <v>61600.7172346866</v>
      </c>
      <c r="I92" s="21">
        <f>IF(ISERR(B89*H92),"",((B89*H92)))</f>
        <v>103242.80208533474</v>
      </c>
    </row>
    <row r="93" spans="1:9" ht="12.75">
      <c r="A93" t="s">
        <v>921</v>
      </c>
      <c r="B93" s="119">
        <v>0.2</v>
      </c>
      <c r="C93" s="30"/>
      <c r="D93" s="25">
        <v>2010</v>
      </c>
      <c r="E93" s="23">
        <f>IF(D93&lt;=B92,B87*EXP(B88*(D93-D88)),"")</f>
        <v>8923268.068035081</v>
      </c>
      <c r="F93" s="24">
        <f>IF(D93&gt;B92,"",IF(B90&gt;D93,"",IF(B90=D93,B91,IF(B90&lt;D93,(D93-B90)*B94+B91,B93))))</f>
        <v>0.11710526315789474</v>
      </c>
      <c r="G93" s="23">
        <f>IF(ISERR(F93*E93),IF(D93&gt;B92,G92,""),F93*E93)</f>
        <v>1044961.6553356871</v>
      </c>
      <c r="H93" s="22">
        <f>IF(ISERR(G93-G91),"",(G93-G91))</f>
        <v>124755.47863248724</v>
      </c>
      <c r="I93" s="21">
        <f>IF(ISERR(B89*H93),"",((B89*H93)))</f>
        <v>209090.1821880486</v>
      </c>
    </row>
    <row r="94" spans="1:9" ht="12.75">
      <c r="A94" s="29" t="s">
        <v>920</v>
      </c>
      <c r="B94" s="28">
        <f>(B93-B91)/(B92-B90)</f>
        <v>0.005526315789473685</v>
      </c>
      <c r="D94" s="25">
        <v>2011</v>
      </c>
      <c r="E94" s="23">
        <f>IF(D94&lt;=B92,B87*EXP(B88*(D94-D88)),"")</f>
        <v>9049072.396489434</v>
      </c>
      <c r="F94" s="24">
        <f>IF(D94&gt;B92,"",IF(B90&gt;D94,"",IF(B90=D94,B91,IF(B90&lt;D94,(D94-B90)*B94+B91,B93))))</f>
        <v>0.12263157894736842</v>
      </c>
      <c r="G94" s="23">
        <f>IF(ISERR(F94*E94),IF(D94&gt;B92,G93,""),F94*E94)</f>
        <v>1109702.0359905465</v>
      </c>
      <c r="H94" s="22">
        <f>IF(ISERR(G94-G91),"",(G94-G91))</f>
        <v>189495.8592873466</v>
      </c>
      <c r="I94" s="21">
        <f>IF(ISERR(B89*H94),"",((B89*H94)))</f>
        <v>317595.0601655929</v>
      </c>
    </row>
    <row r="95" spans="1:9" ht="12.75">
      <c r="A95"/>
      <c r="D95" s="25">
        <v>2012</v>
      </c>
      <c r="E95" s="23">
        <f>IF(D95&lt;=B92,B87*EXP(B88*(D95-D88)),"")</f>
        <v>9176650.372102784</v>
      </c>
      <c r="F95" s="24">
        <f>IF(D95&gt;B92,"",IF(B90&gt;D95,"",IF(B90=D95,B91,IF(B90&lt;D95,(D95-B90)*B94+B91,B93))))</f>
        <v>0.1281578947368421</v>
      </c>
      <c r="G95" s="23">
        <f>IF(ISERR(F95*E95),IF(D95&gt;B92,G94,""),F95*E95)</f>
        <v>1176060.1924247516</v>
      </c>
      <c r="H95" s="22">
        <f>IF(ISERR(G95-G91),"",(G95-G91))</f>
        <v>255854.01572155172</v>
      </c>
      <c r="I95" s="21">
        <f>IF(ISERR(B89*H95),"",((B89*H95)))</f>
        <v>428811.33034932066</v>
      </c>
    </row>
    <row r="96" spans="1:9" ht="12.75">
      <c r="A96"/>
      <c r="D96" s="25">
        <v>2013</v>
      </c>
      <c r="E96" s="23">
        <f>IF(D96&lt;=B92,B87*EXP(B88*(D96-D88)),"")</f>
        <v>9306027.000566777</v>
      </c>
      <c r="F96" s="24">
        <f>IF(D96&gt;B92,"",IF(B90&gt;D96,"",IF(B90=D96,B91,IF(B90&lt;D96,(D96-B90)*B94+B91,B93))))</f>
        <v>0.1336842105263158</v>
      </c>
      <c r="G96" s="23">
        <f>IF(ISERR(F96*E96),IF(D96&gt;B92,G95,""),F96*E96)</f>
        <v>1244068.872707348</v>
      </c>
      <c r="H96" s="22">
        <f>IF(ISERR(G96-G91),"",(G96-G91))</f>
        <v>323862.6960041482</v>
      </c>
      <c r="I96" s="21">
        <f>IF(ISERR(B89*H96),"",((B89*H96)))</f>
        <v>542793.8785029524</v>
      </c>
    </row>
    <row r="97" spans="1:9" ht="12.75">
      <c r="A97" t="s">
        <v>41</v>
      </c>
      <c r="B97" s="27">
        <f>VLOOKUP(B92,D88:I113,6,FALSE)</f>
        <v>2147763.548800071</v>
      </c>
      <c r="D97" s="25">
        <v>2014</v>
      </c>
      <c r="E97" s="23">
        <f>IF(D97&lt;=B92,B87*EXP(B88*(D97-D88)),"")</f>
        <v>9437227.64011477</v>
      </c>
      <c r="F97" s="24">
        <f>IF(D97&gt;B92,"",IF(B90&gt;D97,"",IF(B90=D97,B91,IF(B90&lt;D97,(D97-B90)*B94+B91,B93))))</f>
        <v>0.13921052631578948</v>
      </c>
      <c r="G97" s="23">
        <f>IF(ISERR(F97*E97),IF(D97&gt;B92,G96,""),F97*E97)</f>
        <v>1313761.426742293</v>
      </c>
      <c r="H97" s="22">
        <f>IF(ISERR(G97-G91),"",(G97-G91))</f>
        <v>393555.2500390931</v>
      </c>
      <c r="I97" s="21">
        <f>IF(ISERR(B89*H97),"",((B89*H97)))</f>
        <v>659598.59906552</v>
      </c>
    </row>
    <row r="98" spans="1:9" ht="12.75">
      <c r="A98" t="s">
        <v>593</v>
      </c>
      <c r="B98" s="27">
        <f>SUM(I92:I113)</f>
        <v>28830910.258942775</v>
      </c>
      <c r="D98" s="25">
        <v>2015</v>
      </c>
      <c r="E98" s="23">
        <f>IF(D98&lt;=B92,B87*EXP(B88*(D98-D88)),"")</f>
        <v>9570278.006492132</v>
      </c>
      <c r="F98" s="24">
        <f>IF(D98&gt;B92,"",IF(B90&gt;D98,"",IF(B90=D98,B91,IF(B90&lt;D98,(D98-B90)*B94+B91,B93))))</f>
        <v>0.14473684210526316</v>
      </c>
      <c r="G98" s="23">
        <f>IF(ISERR(F98*E98),IF(D98&gt;B92,G97,""),F98*E98)</f>
        <v>1385171.8167291244</v>
      </c>
      <c r="H98" s="22">
        <f>IF(ISERR(G98-G91),"",(G98-G91))</f>
        <v>464965.64002592454</v>
      </c>
      <c r="I98" s="21">
        <f>IF(ISERR(B89*H98),"",((B89*H98)))</f>
        <v>779282.4126834495</v>
      </c>
    </row>
    <row r="99" spans="1:9" ht="12.75">
      <c r="A99" t="s">
        <v>1068</v>
      </c>
      <c r="B99" s="26">
        <f>B97/(10^6)</f>
        <v>2.1477635488000706</v>
      </c>
      <c r="D99" s="25">
        <v>2016</v>
      </c>
      <c r="E99" s="23">
        <f>IF(D99&lt;=B92,B87*EXP(B88*(D99-D88)),"")</f>
        <v>9705204.177996617</v>
      </c>
      <c r="F99" s="24">
        <f>IF(D99&gt;B92,"",IF(B90&gt;D99,"",IF(B90=D99,B91,IF(B90&lt;D99,(D99-B90)*B94+B91,B93))))</f>
        <v>0.15026315789473685</v>
      </c>
      <c r="G99" s="23">
        <f>IF(ISERR(F99*E99),IF(D99&gt;B92,G98,""),F99*E99)</f>
        <v>1458334.6277989654</v>
      </c>
      <c r="H99" s="22">
        <f>IF(ISERR(G99-G91),"",(G99-G91))</f>
        <v>538128.4510957656</v>
      </c>
      <c r="I99" s="21">
        <f>IF(ISERR(B89*H99),"",((B89*H99)))</f>
        <v>901903.284036503</v>
      </c>
    </row>
    <row r="100" spans="1:9" ht="12.75">
      <c r="A100" t="s">
        <v>1067</v>
      </c>
      <c r="B100" s="26">
        <f>B98/(10^6)</f>
        <v>28.830910258942776</v>
      </c>
      <c r="D100" s="25">
        <v>2017</v>
      </c>
      <c r="E100" s="23">
        <f>IF(D100&lt;=B92,B87*EXP(B88*(D100-D88)),"")</f>
        <v>9842032.600589786</v>
      </c>
      <c r="F100" s="24">
        <f>IF(D100&gt;B92,"",IF(B90&gt;D100,"",IF(B90=D100,B91,IF(B90&lt;D100,(D100-B90)*B94+B91,B93))))</f>
        <v>0.15578947368421053</v>
      </c>
      <c r="G100" s="23">
        <f>IF(ISERR(F100*E100),IF(D100&gt;B92,G99,""),F100*E100)</f>
        <v>1533285.0788287246</v>
      </c>
      <c r="H100" s="22">
        <f>IF(ISERR(G100-G91),"",(G100-G91))</f>
        <v>613078.9021255247</v>
      </c>
      <c r="I100" s="21">
        <f>IF(ISERR(B89*H100),"",((B89*H100)))</f>
        <v>1027520.2399623793</v>
      </c>
    </row>
    <row r="101" spans="1:9" ht="12.75">
      <c r="A101"/>
      <c r="D101" s="25">
        <v>2018</v>
      </c>
      <c r="E101" s="23">
        <f>IF(D101&lt;=B92,B87*EXP(B88*(D101-D88)),"")</f>
        <v>9980790.093080504</v>
      </c>
      <c r="F101" s="24">
        <f>IF(D101&gt;B92,"",IF(B90&gt;D101,"",IF(B90=D101,B91,IF(B90&lt;D101,(D101-B90)*B94+B91,B93))))</f>
        <v>0.16131578947368422</v>
      </c>
      <c r="G101" s="23">
        <f>IF(ISERR(F101*E101),IF(D101&gt;B92,G100,""),F101*E101)</f>
        <v>1610059.0334364076</v>
      </c>
      <c r="H101" s="22">
        <f>IF(ISERR(G101-G91),"",(G101-G91))</f>
        <v>689852.8567332077</v>
      </c>
      <c r="I101" s="21">
        <f>IF(ISERR(B89*H101),"",((B89*H101)))</f>
        <v>1156193.387884856</v>
      </c>
    </row>
    <row r="102" spans="1:9" ht="12.75">
      <c r="A102" s="452" t="s">
        <v>784</v>
      </c>
      <c r="B102" s="452"/>
      <c r="D102" s="25">
        <v>2019</v>
      </c>
      <c r="E102" s="23">
        <f>IF(D102&lt;=B92,B87*EXP(B88*(D102-D88)),"")</f>
        <v>10121503.85238151</v>
      </c>
      <c r="F102" s="24">
        <f>IF(D102&gt;B92,"",IF(B90&gt;D102,"",IF(B90=D102,B91,IF(B90&lt;D102,(D102-B90)*B94+B91,B93))))</f>
        <v>0.1668421052631579</v>
      </c>
      <c r="G102" s="23">
        <f>IF(ISERR(F102*E102),IF(D102&gt;B92,G101,""),F102*E102)</f>
        <v>1688693.0111604943</v>
      </c>
      <c r="H102" s="22">
        <f>IF(ISERR(G102-G91),"",(G102-G91))</f>
        <v>768486.8344572944</v>
      </c>
      <c r="I102" s="21">
        <f>IF(ISERR(B89*H102),"",((B89*H102)))</f>
        <v>1287983.9345504255</v>
      </c>
    </row>
    <row r="103" spans="1:9" ht="12.75">
      <c r="A103" s="452"/>
      <c r="B103" s="452"/>
      <c r="D103" s="25">
        <v>2020</v>
      </c>
      <c r="E103" s="23">
        <f>IF(D103&lt;=B92,B87*EXP(B88*(D103-D88)),"")</f>
        <v>10264201.458840104</v>
      </c>
      <c r="F103" s="24">
        <f>IF(D103&gt;B92,"",IF(B90&gt;D103,"",IF(B90=D103,B91,IF(B90&lt;D103,(D103-B90)*B94+B91,B93))))</f>
        <v>0.1723684210526316</v>
      </c>
      <c r="G103" s="23">
        <f>IF(ISERR(F103*E103),IF(D103&gt;B92,G102,""),F103*E103)</f>
        <v>1769224.1988263864</v>
      </c>
      <c r="H103" s="22">
        <f>IF(ISERR(G103-G91),"",(G103-G91))</f>
        <v>849018.0221231865</v>
      </c>
      <c r="I103" s="21">
        <f>IF(ISERR(B89*H103),"",((B89*H103)))</f>
        <v>1422954.2050784605</v>
      </c>
    </row>
    <row r="104" spans="1:9" ht="12.75">
      <c r="A104" s="453"/>
      <c r="B104" s="453"/>
      <c r="D104" s="25">
        <v>2021</v>
      </c>
      <c r="E104" s="23">
        <f>IF(D104&lt;=B92,B87*EXP(B88*(D104-D88)),"")</f>
        <v>10408910.881643975</v>
      </c>
      <c r="F104" s="24">
        <f>IF(D104&gt;B92,"",IF(B90&gt;D104,"",IF(B90=D104,B91,IF(B90&lt;D104,(D104-B90)*B94+B91,B93))))</f>
        <v>0.17789473684210527</v>
      </c>
      <c r="G104" s="23">
        <f>IF(ISERR(F104*E104),IF(D104&gt;B92,G103,""),F104*E104)</f>
        <v>1851690.462102981</v>
      </c>
      <c r="H104" s="22">
        <f>IF(ISERR(G104-G91),"",(G104-G91))</f>
        <v>931484.2853997812</v>
      </c>
      <c r="I104" s="21">
        <f>IF(ISERR(B89*H104),"",((B89*H104)))</f>
        <v>1561167.6623300333</v>
      </c>
    </row>
    <row r="105" spans="1:9" ht="12.75">
      <c r="A105"/>
      <c r="D105" s="25">
        <v>2022</v>
      </c>
      <c r="E105" s="23">
        <f>IF(D105&lt;=B92,B87*EXP(B88*(D105-D88)),"")</f>
        <v>10555660.484303258</v>
      </c>
      <c r="F105" s="24">
        <f>IF(D105&gt;B92,"",IF(B90&gt;D105,"",IF(B90=D105,B91,IF(B90&lt;D105,(D105-B90)*B94+B91,B93))))</f>
        <v>0.18342105263157896</v>
      </c>
      <c r="G105" s="23">
        <f>IF(ISERR(F105*E105),IF(D105&gt;B92,G104,""),F105*E105)</f>
        <v>1936130.3572524663</v>
      </c>
      <c r="H105" s="22">
        <f>IF(ISERR(G105-G91),"",(G105-G91))</f>
        <v>1015924.1805492664</v>
      </c>
      <c r="I105" s="21">
        <f>IF(ISERR(B89*H105),"",((B89*H105)))</f>
        <v>1702688.9266005703</v>
      </c>
    </row>
    <row r="106" spans="1:9" ht="12.75">
      <c r="A106"/>
      <c r="D106" s="25">
        <v>2023</v>
      </c>
      <c r="E106" s="23">
        <f>IF(D106&lt;=B92,B87*EXP(B88*(D106-D88)),"")</f>
        <v>10704479.030209875</v>
      </c>
      <c r="F106" s="24">
        <f>IF(D106&gt;B92,"",IF(B90&gt;D106,"",IF(B90=D106,B91,IF(B90&lt;D106,(D106-B90)*B94+B91,B93))))</f>
        <v>0.18894736842105264</v>
      </c>
      <c r="G106" s="23">
        <f>IF(ISERR(F106*E106),IF(D106&gt;B92,G105,""),F106*E106)</f>
        <v>2022583.1430764976</v>
      </c>
      <c r="H106" s="22">
        <f>IF(ISERR(G106-G91),"",(G106-G91))</f>
        <v>1102376.9663732979</v>
      </c>
      <c r="I106" s="21">
        <f>IF(ISERR(B89*H106),"",((B89*H106)))</f>
        <v>1847583.7956416472</v>
      </c>
    </row>
    <row r="107" spans="1:9" ht="12.75">
      <c r="A107"/>
      <c r="D107" s="25">
        <v>2024</v>
      </c>
      <c r="E107" s="23">
        <f>IF(D107&lt;=B92,B87*EXP(B88*(D107-D88)),"")</f>
        <v>10855395.68827524</v>
      </c>
      <c r="F107" s="24">
        <f>IF(D107&gt;B92,"",IF(B90&gt;D107,"",IF(B90=D107,B91,IF(B90&lt;D107,(D107-B90)*B94+B91,B93))))</f>
        <v>0.19447368421052633</v>
      </c>
      <c r="G107" s="23">
        <f>IF(ISERR(F107*E107),IF(D107&gt;B92,G106,""),F107*E107)</f>
        <v>2111088.7930619484</v>
      </c>
      <c r="H107" s="22">
        <f>IF(ISERR(G107-G91),"",(G107-G91))</f>
        <v>1190882.6163587486</v>
      </c>
      <c r="I107" s="21">
        <f>IF(ISERR(B89*H107),"",((B89*H107)))</f>
        <v>1995919.2650172627</v>
      </c>
    </row>
    <row r="108" spans="1:9" ht="12.75">
      <c r="A108"/>
      <c r="D108" s="25">
        <v>2025</v>
      </c>
      <c r="E108" s="23">
        <f>IF(D108&lt;=B92,B87*EXP(B88*(D108-D88)),"")</f>
        <v>11008440.038647475</v>
      </c>
      <c r="F108" s="24">
        <f>IF(D108&gt;B92,"",IF(B90&gt;D108,"",IF(B90=D108,B91,IF(B90&lt;D108,(D108-B90)*B94+B91,B93))))</f>
        <v>0.2</v>
      </c>
      <c r="G108" s="23">
        <f>IF(ISERR(F108*E108),IF(D108&gt;B92,G107,""),F108*E108)</f>
        <v>2201688.007729495</v>
      </c>
      <c r="H108" s="22">
        <f>IF(ISERR(G108-G91),"",(G108-G91))</f>
        <v>1281481.8310262952</v>
      </c>
      <c r="I108" s="21">
        <f>IF(ISERR(B89*H108),"",((B89*H108)))</f>
        <v>2147763.548800071</v>
      </c>
    </row>
    <row r="109" spans="1:9" ht="12.75">
      <c r="A109"/>
      <c r="D109" s="25">
        <v>2026</v>
      </c>
      <c r="E109" s="23">
        <f>IF(D109&lt;=B92,B87*EXP(B88*(D109-D88)),"")</f>
      </c>
      <c r="F109" s="24">
        <f>IF(D109&gt;B92,"",IF(B90&gt;D109,"",IF(B90=D109,B91,IF(B90&lt;D109,(D109-B90)*B94+B91,B93))))</f>
      </c>
      <c r="G109" s="23">
        <f>IF(ISERR(F109*E109),IF(D109&gt;B92,G108,""),F109*E109)</f>
        <v>2201688.007729495</v>
      </c>
      <c r="H109" s="22">
        <f>IF(ISERR(G109-G91),"",(G109-G91))</f>
        <v>1281481.8310262952</v>
      </c>
      <c r="I109" s="21">
        <f>IF(ISERR(B89*H109),"",((B89*H109)))</f>
        <v>2147763.548800071</v>
      </c>
    </row>
    <row r="110" spans="1:9" ht="12.75">
      <c r="A110"/>
      <c r="D110" s="25">
        <v>2027</v>
      </c>
      <c r="E110" s="23">
        <f>IF(D110&lt;=B92,B87*EXP(B88*(D110-D88)),"")</f>
      </c>
      <c r="F110" s="24">
        <f>IF(D110&gt;B92,"",IF(B90&gt;D110,"",IF(B90=D110,B91,IF(B90&lt;D110,(D110-B90)*B94+B91,B93))))</f>
      </c>
      <c r="G110" s="23">
        <f>IF(ISERR(F110*E110),IF(D110&gt;B92,G109,""),F110*E110)</f>
        <v>2201688.007729495</v>
      </c>
      <c r="H110" s="22">
        <f>IF(ISERR(G110-G91),"",(G110-G91))</f>
        <v>1281481.8310262952</v>
      </c>
      <c r="I110" s="21">
        <f>IF(ISERR(B89*H110),"",((B89*H110)))</f>
        <v>2147763.548800071</v>
      </c>
    </row>
    <row r="111" spans="1:9" ht="12.75">
      <c r="A111"/>
      <c r="D111" s="25">
        <v>2028</v>
      </c>
      <c r="E111" s="23">
        <f>IF(D111&lt;=B92,B87*EXP(B88*(D111-D88)),"")</f>
      </c>
      <c r="F111" s="24">
        <f>IF(D111&gt;B92,"",IF(B90&gt;D111,"",IF(B90=D111,B91,IF(B90&lt;D111,(D111-B90)*B94+B91,B93))))</f>
      </c>
      <c r="G111" s="23">
        <f>IF(ISERR(F111*E111),IF(D111&gt;B92,G110,""),F111*E111)</f>
        <v>2201688.007729495</v>
      </c>
      <c r="H111" s="22">
        <f>IF(ISERR(G111-G91),"",(G111-G91))</f>
        <v>1281481.8310262952</v>
      </c>
      <c r="I111" s="21">
        <f>IF(ISERR(B89*H111),"",((B89*H111)))</f>
        <v>2147763.548800071</v>
      </c>
    </row>
    <row r="112" spans="1:9" ht="12.75">
      <c r="A112"/>
      <c r="D112" s="25">
        <v>2029</v>
      </c>
      <c r="E112" s="23">
        <f>IF(D112&lt;=B92,B87*EXP(B88*(D112-D88)),"")</f>
      </c>
      <c r="F112" s="24">
        <f>IF(D112&gt;B92,"",IF(B90&gt;D112,"",IF(B90=D112,B91,IF(B90&lt;D112,(D112-B90)*B94+B91,B93))))</f>
      </c>
      <c r="G112" s="23">
        <f>IF(ISERR(F112*E112),IF(D112&gt;B92,G111,""),F112*E112)</f>
        <v>2201688.007729495</v>
      </c>
      <c r="H112" s="22">
        <f>IF(ISERR(G112-G91),"",(G112-G91))</f>
        <v>1281481.8310262952</v>
      </c>
      <c r="I112" s="21">
        <f>IF(ISERR(B89*H112),"",((B89*H112)))</f>
        <v>2147763.548800071</v>
      </c>
    </row>
    <row r="113" spans="1:9" ht="13.5" thickBot="1">
      <c r="A113"/>
      <c r="D113" s="20">
        <v>2030</v>
      </c>
      <c r="E113" s="18">
        <f>IF(D113&lt;=B92,B87*EXP(B88*(D113-D88)),"")</f>
      </c>
      <c r="F113" s="19">
        <f>IF(D113&gt;B92,"",IF(B90&gt;D113,"",IF(B90=D113,B91,IF(B90&lt;D113,(D113-B90)*B94+B91,B93))))</f>
      </c>
      <c r="G113" s="18">
        <f>IF(ISERR(F113*E113),IF(D113&gt;B92,G112,""),F113*E113)</f>
        <v>2201688.007729495</v>
      </c>
      <c r="H113" s="17">
        <f>IF(ISERR(G113-G91),"",(G113-G91))</f>
        <v>1281481.8310262952</v>
      </c>
      <c r="I113" s="16">
        <f>IF(ISERR(B89*H113),"",((B89*H113)))</f>
        <v>2147763.548800071</v>
      </c>
    </row>
    <row r="115" spans="6:8" ht="12.75">
      <c r="F115" s="62"/>
      <c r="G115" s="62"/>
      <c r="H115" s="62"/>
    </row>
    <row r="116" spans="1:9" ht="12.75" customHeight="1">
      <c r="A116" s="481" t="s">
        <v>449</v>
      </c>
      <c r="B116" s="482"/>
      <c r="C116" s="482"/>
      <c r="D116" s="482"/>
      <c r="E116" s="482"/>
      <c r="F116" s="482"/>
      <c r="G116" s="55"/>
      <c r="H116" s="55"/>
      <c r="I116" s="54"/>
    </row>
    <row r="117" spans="1:9" ht="12.75">
      <c r="A117" s="488" t="s">
        <v>448</v>
      </c>
      <c r="B117" s="471"/>
      <c r="C117" s="471"/>
      <c r="D117" s="471"/>
      <c r="E117" s="471"/>
      <c r="F117" s="471"/>
      <c r="G117" s="52"/>
      <c r="H117" s="52"/>
      <c r="I117" s="51"/>
    </row>
    <row r="118" spans="1:9" ht="12.75">
      <c r="A118" s="472" t="s">
        <v>447</v>
      </c>
      <c r="B118" s="469"/>
      <c r="C118" s="469"/>
      <c r="D118" s="469"/>
      <c r="E118" s="469"/>
      <c r="F118" s="469"/>
      <c r="G118" s="52"/>
      <c r="H118" s="52"/>
      <c r="I118" s="51"/>
    </row>
    <row r="119" spans="1:9" ht="12" customHeight="1">
      <c r="A119" s="472" t="s">
        <v>446</v>
      </c>
      <c r="B119" s="469"/>
      <c r="C119" s="469"/>
      <c r="D119" s="469"/>
      <c r="E119" s="469"/>
      <c r="F119" s="469"/>
      <c r="G119" s="52"/>
      <c r="H119" s="52"/>
      <c r="I119" s="51"/>
    </row>
    <row r="120" spans="1:9" ht="12.75">
      <c r="A120" s="459" t="s">
        <v>519</v>
      </c>
      <c r="B120" s="462"/>
      <c r="C120" s="462"/>
      <c r="D120" s="49"/>
      <c r="E120" s="49"/>
      <c r="F120" s="49"/>
      <c r="G120" s="49"/>
      <c r="H120" s="49"/>
      <c r="I120" s="48"/>
    </row>
    <row r="121" spans="1:8" ht="12.75">
      <c r="A121" s="493" t="s">
        <v>952</v>
      </c>
      <c r="B121" s="493"/>
      <c r="C121" s="493"/>
      <c r="D121" s="494" t="s">
        <v>17</v>
      </c>
      <c r="E121" s="494"/>
      <c r="F121" s="494"/>
      <c r="G121" s="494"/>
      <c r="H121" s="494"/>
    </row>
    <row r="122" spans="1:8" ht="13.5" thickBot="1">
      <c r="A122" s="74" t="s">
        <v>16</v>
      </c>
      <c r="B122" s="74"/>
      <c r="C122" s="74"/>
      <c r="D122" s="47" t="s">
        <v>92</v>
      </c>
      <c r="E122" s="125"/>
      <c r="F122" s="125"/>
      <c r="G122" s="125"/>
      <c r="H122" s="74"/>
    </row>
    <row r="123" spans="1:9" ht="89.25">
      <c r="A123" t="s">
        <v>972</v>
      </c>
      <c r="B123" s="74" t="s">
        <v>91</v>
      </c>
      <c r="D123" s="46" t="s">
        <v>971</v>
      </c>
      <c r="E123" s="45" t="s">
        <v>59</v>
      </c>
      <c r="F123" s="45" t="s">
        <v>58</v>
      </c>
      <c r="G123" s="45" t="s">
        <v>57</v>
      </c>
      <c r="H123" s="45" t="s">
        <v>56</v>
      </c>
      <c r="I123" s="44" t="s">
        <v>49</v>
      </c>
    </row>
    <row r="124" spans="1:9" ht="13.5" thickBot="1">
      <c r="A124" t="s">
        <v>48</v>
      </c>
      <c r="B124" s="58">
        <v>58970000</v>
      </c>
      <c r="D124" s="43"/>
      <c r="E124" s="41" t="s">
        <v>47</v>
      </c>
      <c r="F124" s="42" t="s">
        <v>46</v>
      </c>
      <c r="G124" s="41" t="s">
        <v>45</v>
      </c>
      <c r="H124" s="41" t="s">
        <v>885</v>
      </c>
      <c r="I124" s="40" t="s">
        <v>884</v>
      </c>
    </row>
    <row r="125" spans="1:9" ht="13.5" thickTop="1">
      <c r="A125" t="s">
        <v>726</v>
      </c>
      <c r="B125" s="31">
        <v>0.008</v>
      </c>
      <c r="C125" s="30"/>
      <c r="D125" s="25">
        <v>2005</v>
      </c>
      <c r="E125" s="23">
        <f>IF(D125&lt;=B129,B124*EXP(B125*(D125-D125)),"")</f>
        <v>58970000</v>
      </c>
      <c r="F125" s="24">
        <f>IF(D125&gt;B129,"",IF(B127&gt;D125,"",IF(B127=D125,B128,IF(B127&lt;D125,(D125-B127)*B131+B128,B130))))</f>
      </c>
      <c r="G125" s="23">
        <f>IF(ISERR(F125*E125),IF(D125&gt;B129,G124,""),F125*E125)</f>
      </c>
      <c r="H125" s="39"/>
      <c r="I125" s="38"/>
    </row>
    <row r="126" spans="1:9" ht="12.75">
      <c r="A126" t="s">
        <v>39</v>
      </c>
      <c r="B126" s="37">
        <v>0.997</v>
      </c>
      <c r="D126" s="25">
        <v>2006</v>
      </c>
      <c r="E126" s="23">
        <f>IF(D126&lt;=B129,B124*EXP(B125*(D126-D125)),"")</f>
        <v>59443652.082187004</v>
      </c>
      <c r="F126" s="24">
        <f>IF(D126&gt;B129,"",IF(B127&gt;D126,"",IF(B127=D126,B128,IF(B127&lt;D126,(D126-B127)*B131+B128,B130))))</f>
        <v>0.2913</v>
      </c>
      <c r="G126" s="23">
        <f>IF(ISERR(F126*E126),IF(D126&gt;B129,G125,""),F126*E126)</f>
        <v>17315935.851541076</v>
      </c>
      <c r="H126" s="23"/>
      <c r="I126" s="34"/>
    </row>
    <row r="127" spans="1:9" ht="12.75">
      <c r="A127" t="s">
        <v>966</v>
      </c>
      <c r="B127" s="37">
        <v>2006</v>
      </c>
      <c r="D127" s="25">
        <v>2007</v>
      </c>
      <c r="E127" s="23">
        <f>IF(D127&lt;=B129,B124*EXP(B125*(D127-D125)),"")</f>
        <v>59921108.578397416</v>
      </c>
      <c r="F127" s="24">
        <f>IF(D127&gt;B129,"",IF(B127&gt;D127,"",IF(B127=D127,B128,IF(B127&lt;D127,(D127-B127)*B131+B128,B130))))</f>
        <v>0.3054928571428571</v>
      </c>
      <c r="G127" s="23">
        <f>IF(ISERR(F127*E127),IF(D127&gt;B129,G126,""),F127*E127)</f>
        <v>18305470.66278199</v>
      </c>
      <c r="H127" s="23"/>
      <c r="I127" s="34"/>
    </row>
    <row r="128" spans="1:9" s="33" customFormat="1" ht="12.75">
      <c r="A128" s="33" t="s">
        <v>453</v>
      </c>
      <c r="B128" s="36">
        <v>0.2913</v>
      </c>
      <c r="C128" s="35"/>
      <c r="D128" s="25">
        <v>2008</v>
      </c>
      <c r="E128" s="23">
        <f>IF(D128&lt;=B129,B124*EXP(B125*(D128-D125)),"")</f>
        <v>60402400.04600995</v>
      </c>
      <c r="F128" s="24">
        <f>IF(D128&gt;B129,"",IF(B127&gt;D128,"",IF(B127=D128,B128,IF(B127&lt;D128,(D128-B127)*B131+B128,B130))))</f>
        <v>0.3196857142857143</v>
      </c>
      <c r="G128" s="23">
        <f>IF(ISERR(F128*E128),IF(D128&gt;B129,G127,""),F128*E128)</f>
        <v>19309784.403280154</v>
      </c>
      <c r="H128" s="23"/>
      <c r="I128" s="34"/>
    </row>
    <row r="129" spans="1:9" ht="12.75">
      <c r="A129" t="s">
        <v>964</v>
      </c>
      <c r="B129" s="32">
        <v>2020</v>
      </c>
      <c r="C129" s="30"/>
      <c r="D129" s="25">
        <v>2009</v>
      </c>
      <c r="E129" s="23">
        <f>IF(D129&lt;=B129,B124*EXP(B125*(D129-D125)),"")</f>
        <v>60887557.287842825</v>
      </c>
      <c r="F129" s="24">
        <f>IF(D129&gt;B129,"",IF(B127&gt;D129,"",IF(B127=D129,B128,IF(B127&lt;D129,(D129-B127)*B131+B128,B130))))</f>
        <v>0.3338785714285714</v>
      </c>
      <c r="G129" s="23">
        <f>IF(ISERR(F129*E129),IF(D129&gt;B129,G128,""),F129*E129)</f>
        <v>20329050.645040266</v>
      </c>
      <c r="H129" s="22">
        <f>IF(ISERR(G129-G128),"",(G129-G128))</f>
        <v>1019266.2417601123</v>
      </c>
      <c r="I129" s="21">
        <f>IF(ISERR(B126*H129),"",((B126*H129)))</f>
        <v>1016208.443034832</v>
      </c>
    </row>
    <row r="130" spans="1:9" ht="12.75">
      <c r="A130" t="s">
        <v>529</v>
      </c>
      <c r="B130" s="31">
        <v>0.49</v>
      </c>
      <c r="C130" s="30"/>
      <c r="D130" s="25">
        <v>2010</v>
      </c>
      <c r="E130" s="23">
        <f>IF(D130&lt;=B129,B124*EXP(B125*(D130-D125)),"")</f>
        <v>61376611.354125135</v>
      </c>
      <c r="F130" s="24">
        <f>IF(D130&gt;B129,"",IF(B127&gt;D130,"",IF(B127=D130,B128,IF(B127&lt;D130,(D130-B127)*B131+B128,B130))))</f>
        <v>0.3480714285714286</v>
      </c>
      <c r="G130" s="23">
        <f>IF(ISERR(F130*E130),IF(D130&gt;B129,G129,""),F130*E130)</f>
        <v>21363444.7949037</v>
      </c>
      <c r="H130" s="22">
        <f>IF(ISERR(G130-G128),"",(G130-G128))</f>
        <v>2053660.3916235454</v>
      </c>
      <c r="I130" s="21">
        <f>IF(ISERR(B126*H130),"",((B126*H130)))</f>
        <v>2047499.4104486748</v>
      </c>
    </row>
    <row r="131" spans="1:9" ht="12.75">
      <c r="A131" s="29" t="s">
        <v>533</v>
      </c>
      <c r="B131" s="28">
        <f>(B130-B128)/(B129-B127)</f>
        <v>0.014192857142857142</v>
      </c>
      <c r="D131" s="25">
        <v>2011</v>
      </c>
      <c r="E131" s="23">
        <f>IF(D131&lt;=B129,B124*EXP(B125*(D131-D125)),"")</f>
        <v>61869593.544484034</v>
      </c>
      <c r="F131" s="24">
        <f>IF(D131&gt;B129,"",IF(B127&gt;D131,"",IF(B127=D131,B128,IF(B127&lt;D131,(D131-B127)*B131+B128,B130))))</f>
        <v>0.3622642857142857</v>
      </c>
      <c r="G131" s="23">
        <f>IF(ISERR(F131*E131),IF(D131&gt;B129,G130,""),F131*E131)</f>
        <v>22413144.11282569</v>
      </c>
      <c r="H131" s="22">
        <f>IF(ISERR(G131-G128),"",(G131-G128))</f>
        <v>3103359.709545538</v>
      </c>
      <c r="I131" s="21">
        <f>IF(ISERR(B126*H131),"",((B126*H131)))</f>
        <v>3094049.6304169013</v>
      </c>
    </row>
    <row r="132" spans="1:9" ht="12.75">
      <c r="A132"/>
      <c r="D132" s="25">
        <v>2012</v>
      </c>
      <c r="E132" s="23">
        <f>IF(D132&lt;=B129,B124*EXP(B125*(D132-D125)),"")</f>
        <v>62366535.40994796</v>
      </c>
      <c r="F132" s="24">
        <f>IF(D132&gt;B129,"",IF(B127&gt;D132,"",IF(B127=D132,B128,IF(B127&lt;D132,(D132-B127)*B131+B128,B130))))</f>
        <v>0.3764571428571428</v>
      </c>
      <c r="G132" s="23">
        <f>IF(ISERR(F132*E132),IF(D132&gt;B129,G131,""),F132*E132)</f>
        <v>23478327.730327837</v>
      </c>
      <c r="H132" s="22">
        <f>IF(ISERR(G132-G128),"",(G132-G128))</f>
        <v>4168543.3270476833</v>
      </c>
      <c r="I132" s="21">
        <f>IF(ISERR(B126*H132),"",((B126*H132)))</f>
        <v>4156037.6970665404</v>
      </c>
    </row>
    <row r="133" spans="1:9" ht="12.75">
      <c r="A133"/>
      <c r="D133" s="25">
        <v>2013</v>
      </c>
      <c r="E133" s="23">
        <f>IF(D133&lt;=B129,B124*EXP(B125*(D133-D125)),"")</f>
        <v>62867468.75496596</v>
      </c>
      <c r="F133" s="24">
        <f>IF(D133&gt;B129,"",IF(B127&gt;D133,"",IF(B127=D133,B128,IF(B127&lt;D133,(D133-B127)*B131+B128,B130))))</f>
        <v>0.39065</v>
      </c>
      <c r="G133" s="23">
        <f>IF(ISERR(F133*E133),IF(D133&gt;B129,G132,""),F133*E133)</f>
        <v>24559176.669127453</v>
      </c>
      <c r="H133" s="22">
        <f>IF(ISERR(G133-G128),"",(G133-G128))</f>
        <v>5249392.265847299</v>
      </c>
      <c r="I133" s="21">
        <f>IF(ISERR(B126*H133),"",((B126*H133)))</f>
        <v>5233644.089049757</v>
      </c>
    </row>
    <row r="134" spans="1:9" ht="12.75">
      <c r="A134" t="s">
        <v>532</v>
      </c>
      <c r="B134" s="27">
        <f>VLOOKUP(B129,D125:I150,6,FALSE)</f>
        <v>13229766.646044897</v>
      </c>
      <c r="D134" s="25">
        <v>2014</v>
      </c>
      <c r="E134" s="23">
        <f>IF(D134&lt;=B129,B124*EXP(B125*(D134-D125)),"")</f>
        <v>63372425.639443085</v>
      </c>
      <c r="F134" s="24">
        <f>IF(D134&gt;B129,"",IF(B127&gt;D134,"",IF(B127=D134,B128,IF(B127&lt;D134,(D134-B127)*B131+B128,B130))))</f>
        <v>0.40484285714285717</v>
      </c>
      <c r="G134" s="23">
        <f>IF(ISERR(F134*E134),IF(D134&gt;B129,G133,""),F134*E134)</f>
        <v>25655873.859945394</v>
      </c>
      <c r="H134" s="22">
        <f>IF(ISERR(G134-G128),"",(G134-G128))</f>
        <v>6346089.45666524</v>
      </c>
      <c r="I134" s="21">
        <f>IF(ISERR(B126*H134),"",((B126*H134)))</f>
        <v>6327051.188295244</v>
      </c>
    </row>
    <row r="135" spans="1:9" ht="12.75">
      <c r="A135" t="s">
        <v>531</v>
      </c>
      <c r="B135" s="27">
        <f>SUM(I129:I150)</f>
        <v>216004321.2943626</v>
      </c>
      <c r="D135" s="25">
        <v>2015</v>
      </c>
      <c r="E135" s="23">
        <f>IF(D135&lt;=B129,B124*EXP(B125*(D135-D125)),"")</f>
        <v>63881438.38079231</v>
      </c>
      <c r="F135" s="24">
        <f>IF(D135&gt;B129,"",IF(B127&gt;D135,"",IF(B127=D135,B128,IF(B127&lt;D135,(D135-B127)*B131+B128,B130))))</f>
        <v>0.4190357142857143</v>
      </c>
      <c r="G135" s="23">
        <f>IF(ISERR(F135*E135),IF(D135&gt;B129,G134,""),F135*E135)</f>
        <v>26768604.16149415</v>
      </c>
      <c r="H135" s="22">
        <f>IF(ISERR(G135-G128),"",(G135-G128))</f>
        <v>7458819.758213997</v>
      </c>
      <c r="I135" s="21">
        <f>IF(ISERR(B126*H135),"",((B126*H135)))</f>
        <v>7436443.298939355</v>
      </c>
    </row>
    <row r="136" spans="1:9" ht="12.75">
      <c r="A136" t="s">
        <v>1044</v>
      </c>
      <c r="B136" s="26">
        <f>B134/(10^6)</f>
        <v>13.229766646044897</v>
      </c>
      <c r="D136" s="25">
        <v>2016</v>
      </c>
      <c r="E136" s="23">
        <f>IF(D136&lt;=B129,B124*EXP(B125*(D136-D125)),"")</f>
        <v>64394539.55600281</v>
      </c>
      <c r="F136" s="24">
        <f>IF(D136&gt;B129,"",IF(B127&gt;D136,"",IF(B127=D136,B128,IF(B127&lt;D136,(D136-B127)*B131+B128,B130))))</f>
        <v>0.4332285714285714</v>
      </c>
      <c r="G136" s="23">
        <f>IF(ISERR(F136*E136),IF(D136&gt;B129,G135,""),F136*E136)</f>
        <v>27897554.37964773</v>
      </c>
      <c r="H136" s="22">
        <f>IF(ISERR(G136-G128),"",(G136-G128))</f>
        <v>8587769.976367578</v>
      </c>
      <c r="I136" s="21">
        <f>IF(ISERR(B126*H136),"",((B126*H136)))</f>
        <v>8562006.666438475</v>
      </c>
    </row>
    <row r="137" spans="1:9" ht="12.75">
      <c r="A137" t="s">
        <v>1043</v>
      </c>
      <c r="B137" s="26">
        <f>B135/(10^6)</f>
        <v>216.0043212943626</v>
      </c>
      <c r="D137" s="25">
        <v>2017</v>
      </c>
      <c r="E137" s="23">
        <f>IF(D137&lt;=B129,B124*EXP(B125*(D137-D125)),"")</f>
        <v>64911762.00372493</v>
      </c>
      <c r="F137" s="24">
        <f>IF(D137&gt;B129,"",IF(B127&gt;D137,"",IF(B127=D137,B128,IF(B127&lt;D137,(D137-B127)*B131+B128,B130))))</f>
        <v>0.4474214285714286</v>
      </c>
      <c r="G137" s="23">
        <f>IF(ISERR(F137*E137),IF(D137&gt;B129,G136,""),F137*E137)</f>
        <v>29042913.286795188</v>
      </c>
      <c r="H137" s="22">
        <f>IF(ISERR(G137-G128),"",(G137-G128))</f>
        <v>9733128.883515034</v>
      </c>
      <c r="I137" s="21">
        <f>IF(ISERR(B126*H137),"",((B126*H137)))</f>
        <v>9703929.496864488</v>
      </c>
    </row>
    <row r="138" spans="1:9" ht="12.75">
      <c r="A138"/>
      <c r="D138" s="25">
        <v>2018</v>
      </c>
      <c r="E138" s="23">
        <f>IF(D138&lt;=B129,B124*EXP(B125*(D138-D125)),"")</f>
        <v>65433138.8263719</v>
      </c>
      <c r="F138" s="24">
        <f>IF(D138&gt;B129,"",IF(B127&gt;D138,"",IF(B127=D138,B128,IF(B127&lt;D138,(D138-B127)*B131+B128,B130))))</f>
        <v>0.4616142857142857</v>
      </c>
      <c r="G138" s="23">
        <f>IF(ISERR(F138*E138),IF(D138&gt;B129,G137,""),F138*E138)</f>
        <v>30204871.64137936</v>
      </c>
      <c r="H138" s="22">
        <f>IF(ISERR(G138-G128),"",(G138-G128))</f>
        <v>10895087.238099206</v>
      </c>
      <c r="I138" s="21">
        <f>IF(ISERR(B126*H138),"",((B126*H138)))</f>
        <v>10862401.976384908</v>
      </c>
    </row>
    <row r="139" spans="1:9" ht="12.75">
      <c r="A139"/>
      <c r="D139" s="25">
        <v>2019</v>
      </c>
      <c r="E139" s="23">
        <f>IF(D139&lt;=B129,B124*EXP(B125*(D139-D125)),"")</f>
        <v>65958703.39223831</v>
      </c>
      <c r="F139" s="24">
        <f>IF(D139&gt;B129,"",IF(B127&gt;D139,"",IF(B127=D139,B128,IF(B127&lt;D139,(D139-B127)*B131+B128,B130))))</f>
        <v>0.4758071428571429</v>
      </c>
      <c r="G139" s="23">
        <f>IF(ISERR(F139*E139),IF(D139&gt;B129,G138,""),F139*E139)</f>
        <v>31383622.207622647</v>
      </c>
      <c r="H139" s="22">
        <f>IF(ISERR(G139-G128),"",(G139-G128))</f>
        <v>12073837.804342493</v>
      </c>
      <c r="I139" s="21">
        <f>IF(ISERR(B126*H139),"",((B126*H139)))</f>
        <v>12037616.290929466</v>
      </c>
    </row>
    <row r="140" spans="1:9" ht="12.75">
      <c r="A140"/>
      <c r="D140" s="25">
        <v>2020</v>
      </c>
      <c r="E140" s="23">
        <f>IF(D140&lt;=B129,B124*EXP(B125*(D140-D125)),"")</f>
        <v>66488489.337635785</v>
      </c>
      <c r="F140" s="24">
        <f>IF(D140&gt;B129,"",IF(B127&gt;D140,"",IF(B127=D140,B128,IF(B127&lt;D140,(D140-B127)*B131+B128,B130))))</f>
        <v>0.49</v>
      </c>
      <c r="G140" s="23">
        <f>IF(ISERR(F140*E140),IF(D140&gt;B129,G139,""),F140*E140)</f>
        <v>32579359.775441535</v>
      </c>
      <c r="H140" s="22">
        <f>IF(ISERR(G140-G128),"",(G140-G128))</f>
        <v>13269575.372161381</v>
      </c>
      <c r="I140" s="21">
        <f>IF(ISERR(B126*H140),"",((B126*H140)))</f>
        <v>13229766.646044897</v>
      </c>
    </row>
    <row r="141" spans="1:9" ht="12.75">
      <c r="A141"/>
      <c r="D141" s="25">
        <v>2021</v>
      </c>
      <c r="E141" s="23">
        <f>IF(D141&lt;=B129,B124*EXP(B125*(D141-D125)),"")</f>
      </c>
      <c r="F141" s="24">
        <f>IF(D141&gt;B129,"",IF(B127&gt;D141,"",IF(B127=D141,B128,IF(B127&lt;D141,(D141-B127)*B131+B128,B130))))</f>
      </c>
      <c r="G141" s="23">
        <f>IF(ISERR(F141*E141),IF(D141&gt;B129,G140,""),F141*E141)</f>
        <v>32579359.775441535</v>
      </c>
      <c r="H141" s="22">
        <f>IF(ISERR(G141-G128),"",(G141-G128))</f>
        <v>13269575.372161381</v>
      </c>
      <c r="I141" s="21">
        <f>IF(ISERR(B126*H141),"",((B126*H141)))</f>
        <v>13229766.646044897</v>
      </c>
    </row>
    <row r="142" spans="1:9" ht="12.75">
      <c r="A142"/>
      <c r="D142" s="25">
        <v>2022</v>
      </c>
      <c r="E142" s="23">
        <f>IF(D142&lt;=B129,B124*EXP(B125*(D142-D125)),"")</f>
      </c>
      <c r="F142" s="24">
        <f>IF(D142&gt;B129,"",IF(B127&gt;D142,"",IF(B127=D142,B128,IF(B127&lt;D142,(D142-B127)*B131+B128,B130))))</f>
      </c>
      <c r="G142" s="23">
        <f>IF(ISERR(F142*E142),IF(D142&gt;B129,G141,""),F142*E142)</f>
        <v>32579359.775441535</v>
      </c>
      <c r="H142" s="22">
        <f>IF(ISERR(G142-G128),"",(G142-G128))</f>
        <v>13269575.372161381</v>
      </c>
      <c r="I142" s="21">
        <f>IF(ISERR(B126*H142),"",((B126*H142)))</f>
        <v>13229766.646044897</v>
      </c>
    </row>
    <row r="143" spans="1:9" ht="12.75">
      <c r="A143"/>
      <c r="D143" s="25">
        <v>2023</v>
      </c>
      <c r="E143" s="23">
        <f>IF(D143&lt;=B129,B124*EXP(B125*(D143-D125)),"")</f>
      </c>
      <c r="F143" s="24">
        <f>IF(D143&gt;B129,"",IF(B127&gt;D143,"",IF(B127=D143,B128,IF(B127&lt;D143,(D143-B127)*B131+B128,B130))))</f>
      </c>
      <c r="G143" s="23">
        <f>IF(ISERR(F143*E143),IF(D143&gt;B129,G142,""),F143*E143)</f>
        <v>32579359.775441535</v>
      </c>
      <c r="H143" s="22">
        <f>IF(ISERR(G143-G128),"",(G143-G128))</f>
        <v>13269575.372161381</v>
      </c>
      <c r="I143" s="21">
        <f>IF(ISERR(B126*H143),"",((B126*H143)))</f>
        <v>13229766.646044897</v>
      </c>
    </row>
    <row r="144" spans="1:9" ht="12.75">
      <c r="A144"/>
      <c r="D144" s="25">
        <v>2024</v>
      </c>
      <c r="E144" s="23">
        <f>IF(D144&lt;=B129,B124*EXP(B125*(D144-D125)),"")</f>
      </c>
      <c r="F144" s="24">
        <f>IF(D144&gt;B129,"",IF(B127&gt;D144,"",IF(B127=D144,B128,IF(B127&lt;D144,(D144-B127)*B131+B128,B130))))</f>
      </c>
      <c r="G144" s="23">
        <f>IF(ISERR(F144*E144),IF(D144&gt;B129,G143,""),F144*E144)</f>
        <v>32579359.775441535</v>
      </c>
      <c r="H144" s="22">
        <f>IF(ISERR(G144-G128),"",(G144-G128))</f>
        <v>13269575.372161381</v>
      </c>
      <c r="I144" s="21">
        <f>IF(ISERR(B126*H144),"",((B126*H144)))</f>
        <v>13229766.646044897</v>
      </c>
    </row>
    <row r="145" spans="1:9" ht="12.75">
      <c r="A145"/>
      <c r="D145" s="25">
        <v>2025</v>
      </c>
      <c r="E145" s="23">
        <f>IF(D145&lt;=B129,B124*EXP(B125*(D145-D125)),"")</f>
      </c>
      <c r="F145" s="24">
        <f>IF(D145&gt;B129,"",IF(B127&gt;D145,"",IF(B127=D145,B128,IF(B127&lt;D145,(D145-B127)*B131+B128,B130))))</f>
      </c>
      <c r="G145" s="23">
        <f>IF(ISERR(F145*E145),IF(D145&gt;B129,G144,""),F145*E145)</f>
        <v>32579359.775441535</v>
      </c>
      <c r="H145" s="22">
        <f>IF(ISERR(G145-G128),"",(G145-G128))</f>
        <v>13269575.372161381</v>
      </c>
      <c r="I145" s="21">
        <f>IF(ISERR(B126*H145),"",((B126*H145)))</f>
        <v>13229766.646044897</v>
      </c>
    </row>
    <row r="146" spans="1:9" ht="12.75">
      <c r="A146"/>
      <c r="D146" s="25">
        <v>2026</v>
      </c>
      <c r="E146" s="23">
        <f>IF(D146&lt;=B129,B124*EXP(B125*(D146-D125)),"")</f>
      </c>
      <c r="F146" s="24">
        <f>IF(D146&gt;B129,"",IF(B127&gt;D146,"",IF(B127=D146,B128,IF(B127&lt;D146,(D146-B127)*B131+B128,B130))))</f>
      </c>
      <c r="G146" s="23">
        <f>IF(ISERR(F146*E146),IF(D146&gt;B129,G145,""),F146*E146)</f>
        <v>32579359.775441535</v>
      </c>
      <c r="H146" s="22">
        <f>IF(ISERR(G146-G128),"",(G146-G128))</f>
        <v>13269575.372161381</v>
      </c>
      <c r="I146" s="21">
        <f>IF(ISERR(B126*H146),"",((B126*H146)))</f>
        <v>13229766.646044897</v>
      </c>
    </row>
    <row r="147" spans="1:9" ht="12.75">
      <c r="A147"/>
      <c r="D147" s="25">
        <v>2027</v>
      </c>
      <c r="E147" s="23">
        <f>IF(D147&lt;=B129,B124*EXP(B125*(D147-D125)),"")</f>
      </c>
      <c r="F147" s="24">
        <f>IF(D147&gt;B129,"",IF(B127&gt;D147,"",IF(B127=D147,B128,IF(B127&lt;D147,(D147-B127)*B131+B128,B130))))</f>
      </c>
      <c r="G147" s="23">
        <f>IF(ISERR(F147*E147),IF(D147&gt;B129,G146,""),F147*E147)</f>
        <v>32579359.775441535</v>
      </c>
      <c r="H147" s="22">
        <f>IF(ISERR(G147-G128),"",(G147-G128))</f>
        <v>13269575.372161381</v>
      </c>
      <c r="I147" s="21">
        <f>IF(ISERR(B126*H147),"",((B126*H147)))</f>
        <v>13229766.646044897</v>
      </c>
    </row>
    <row r="148" spans="1:9" ht="12.75">
      <c r="A148"/>
      <c r="D148" s="25">
        <v>2028</v>
      </c>
      <c r="E148" s="23">
        <f>IF(D148&lt;=B129,B124*EXP(B125*(D148-D125)),"")</f>
      </c>
      <c r="F148" s="24">
        <f>IF(D148&gt;B129,"",IF(B127&gt;D148,"",IF(B127=D148,B128,IF(B127&lt;D148,(D148-B127)*B131+B128,B130))))</f>
      </c>
      <c r="G148" s="23">
        <f>IF(ISERR(F148*E148),IF(D148&gt;B129,G147,""),F148*E148)</f>
        <v>32579359.775441535</v>
      </c>
      <c r="H148" s="22">
        <f>IF(ISERR(G148-G128),"",(G148-G128))</f>
        <v>13269575.372161381</v>
      </c>
      <c r="I148" s="21">
        <f>IF(ISERR(B126*H148),"",((B126*H148)))</f>
        <v>13229766.646044897</v>
      </c>
    </row>
    <row r="149" spans="1:9" ht="12.75">
      <c r="A149"/>
      <c r="D149" s="25">
        <v>2029</v>
      </c>
      <c r="E149" s="23">
        <f>IF(D149&lt;=B129,B124*EXP(B125*(D149-D125)),"")</f>
      </c>
      <c r="F149" s="24">
        <f>IF(D149&gt;B129,"",IF(B127&gt;D149,"",IF(B127=D149,B128,IF(B127&lt;D149,(D149-B127)*B131+B128,B130))))</f>
      </c>
      <c r="G149" s="23">
        <f>IF(ISERR(F149*E149),IF(D149&gt;B129,G148,""),F149*E149)</f>
        <v>32579359.775441535</v>
      </c>
      <c r="H149" s="22">
        <f>IF(ISERR(G149-G128),"",(G149-G128))</f>
        <v>13269575.372161381</v>
      </c>
      <c r="I149" s="21">
        <f>IF(ISERR(B126*H149),"",((B126*H149)))</f>
        <v>13229766.646044897</v>
      </c>
    </row>
    <row r="150" spans="1:9" ht="13.5" thickBot="1">
      <c r="A150"/>
      <c r="D150" s="20">
        <v>2030</v>
      </c>
      <c r="E150" s="18">
        <f>IF(D150&lt;=B129,B124*EXP(B125*(D150-D125)),"")</f>
      </c>
      <c r="F150" s="19">
        <f>IF(D150&gt;B129,"",IF(B127&gt;D150,"",IF(B127=D150,B128,IF(B127&lt;D150,(D150-B127)*B131+B128,B130))))</f>
      </c>
      <c r="G150" s="18">
        <f>IF(ISERR(F150*E150),IF(D150&gt;B129,G149,""),F150*E150)</f>
        <v>32579359.775441535</v>
      </c>
      <c r="H150" s="17">
        <f>IF(ISERR(G150-G128),"",(G150-G128))</f>
        <v>13269575.372161381</v>
      </c>
      <c r="I150" s="16">
        <f>IF(ISERR(B126*H150),"",((B126*H150)))</f>
        <v>13229766.646044897</v>
      </c>
    </row>
    <row r="153" spans="1:9" ht="12.75" customHeight="1">
      <c r="A153" s="466" t="s">
        <v>90</v>
      </c>
      <c r="B153" s="467"/>
      <c r="C153" s="467"/>
      <c r="D153" s="467"/>
      <c r="E153" s="467"/>
      <c r="F153" s="467"/>
      <c r="G153" s="55"/>
      <c r="H153" s="55"/>
      <c r="I153" s="54"/>
    </row>
    <row r="154" spans="1:9" ht="12.75">
      <c r="A154" s="468" t="s">
        <v>89</v>
      </c>
      <c r="B154" s="471"/>
      <c r="C154" s="471"/>
      <c r="D154" s="471"/>
      <c r="E154" s="471"/>
      <c r="F154" s="471"/>
      <c r="G154" s="52"/>
      <c r="H154" s="52"/>
      <c r="I154" s="51"/>
    </row>
    <row r="155" spans="1:9" ht="24" customHeight="1">
      <c r="A155" s="470" t="s">
        <v>88</v>
      </c>
      <c r="B155" s="469"/>
      <c r="C155" s="469"/>
      <c r="D155" s="469"/>
      <c r="E155" s="469"/>
      <c r="F155" s="469"/>
      <c r="G155" s="52"/>
      <c r="H155" s="52"/>
      <c r="I155" s="51"/>
    </row>
    <row r="156" spans="1:9" ht="24" customHeight="1">
      <c r="A156" s="473" t="s">
        <v>589</v>
      </c>
      <c r="B156" s="474"/>
      <c r="C156" s="474"/>
      <c r="D156" s="474"/>
      <c r="E156" s="474"/>
      <c r="F156" s="474"/>
      <c r="G156" s="49"/>
      <c r="H156" s="49"/>
      <c r="I156" s="48"/>
    </row>
    <row r="158" spans="1:4" ht="12.75">
      <c r="A158" t="s">
        <v>952</v>
      </c>
      <c r="D158" t="s">
        <v>587</v>
      </c>
    </row>
    <row r="159" spans="1:4" ht="13.5" thickBot="1">
      <c r="A159" s="74" t="s">
        <v>588</v>
      </c>
      <c r="D159" s="64" t="s">
        <v>587</v>
      </c>
    </row>
    <row r="160" spans="1:9" ht="89.25">
      <c r="A160" t="s">
        <v>972</v>
      </c>
      <c r="B160" s="74" t="s">
        <v>15</v>
      </c>
      <c r="D160" s="46" t="s">
        <v>971</v>
      </c>
      <c r="E160" s="45" t="s">
        <v>59</v>
      </c>
      <c r="F160" s="45" t="s">
        <v>58</v>
      </c>
      <c r="G160" s="45" t="s">
        <v>57</v>
      </c>
      <c r="H160" s="45" t="s">
        <v>56</v>
      </c>
      <c r="I160" s="44" t="s">
        <v>49</v>
      </c>
    </row>
    <row r="161" spans="1:9" ht="13.5" thickBot="1">
      <c r="A161" t="s">
        <v>48</v>
      </c>
      <c r="B161" s="58">
        <v>1060000</v>
      </c>
      <c r="D161" s="43"/>
      <c r="E161" s="41" t="s">
        <v>47</v>
      </c>
      <c r="F161" s="42" t="s">
        <v>46</v>
      </c>
      <c r="G161" s="41" t="s">
        <v>45</v>
      </c>
      <c r="H161" s="41" t="s">
        <v>885</v>
      </c>
      <c r="I161" s="40" t="s">
        <v>884</v>
      </c>
    </row>
    <row r="162" spans="1:9" ht="13.5" thickTop="1">
      <c r="A162" t="s">
        <v>726</v>
      </c>
      <c r="B162" s="31">
        <v>0.021</v>
      </c>
      <c r="C162" s="30"/>
      <c r="D162" s="25">
        <v>2005</v>
      </c>
      <c r="E162" s="23">
        <f>IF(D162&lt;=B166,B161*EXP(B162*(D162-D162)),"")</f>
        <v>1060000</v>
      </c>
      <c r="F162" s="24">
        <f>IF(D162&gt;B166,"",IF(B164&gt;D162,"",IF(B164=D162,B165,IF(B164&lt;D162,(D162-B164)*B168+B165,B167))))</f>
      </c>
      <c r="G162" s="23">
        <f>IF(ISERR(F162*E162),IF(D162&gt;B166,G161,""),F162*E162)</f>
      </c>
      <c r="H162" s="39"/>
      <c r="I162" s="38"/>
    </row>
    <row r="163" spans="1:9" ht="12.75">
      <c r="A163" t="s">
        <v>39</v>
      </c>
      <c r="B163" s="37">
        <v>1.531</v>
      </c>
      <c r="D163" s="25">
        <v>2006</v>
      </c>
      <c r="E163" s="23">
        <f>IF(D163&lt;=B166,B161*EXP(B162*(D163-D162)),"")</f>
        <v>1082495.3747357803</v>
      </c>
      <c r="F163" s="24">
        <f>IF(D163&gt;B166,"",IF(B164&gt;D163,"",IF(B164=D163,B165,IF(B164&lt;D163,(D163-B164)*B168+B165,B167))))</f>
      </c>
      <c r="G163" s="23">
        <f>IF(ISERR(F163*E163),IF(D163&gt;B166,G162,""),F163*E163)</f>
      </c>
      <c r="H163" s="23"/>
      <c r="I163" s="34"/>
    </row>
    <row r="164" spans="1:9" ht="12.75">
      <c r="A164" t="s">
        <v>966</v>
      </c>
      <c r="B164" s="37">
        <v>2007</v>
      </c>
      <c r="D164" s="25">
        <v>2007</v>
      </c>
      <c r="E164" s="23">
        <f>IF(D164&lt;=B166,B161*EXP(B162*(D164-D162)),"")</f>
        <v>1105468.147475809</v>
      </c>
      <c r="F164" s="24">
        <f>IF(D164&gt;B166,"",IF(B164&gt;D164,"",IF(B164=D164,B165,IF(B164&lt;D164,(D164-B164)*B168+B165,B167))))</f>
        <v>0.04</v>
      </c>
      <c r="G164" s="23">
        <f>IF(ISERR(F164*E164),IF(D164&gt;B166,G163,""),F164*E164)</f>
        <v>44218.72589903237</v>
      </c>
      <c r="H164" s="23"/>
      <c r="I164" s="34"/>
    </row>
    <row r="165" spans="1:9" s="33" customFormat="1" ht="12.75">
      <c r="A165" s="33" t="s">
        <v>453</v>
      </c>
      <c r="B165" s="36">
        <v>0.04</v>
      </c>
      <c r="C165" s="35"/>
      <c r="D165" s="25">
        <v>2008</v>
      </c>
      <c r="E165" s="23">
        <f>IF(D165&lt;=B166,B161*EXP(B162*(D165-D162)),"")</f>
        <v>1128928.4495851838</v>
      </c>
      <c r="F165" s="24">
        <f>IF(D165&gt;B166,"",IF(B164&gt;D165,"",IF(B164=D165,B165,IF(B164&lt;D165,(D165-B164)*B168+B165,B167))))</f>
        <v>0.097</v>
      </c>
      <c r="G165" s="23">
        <f>IF(ISERR(F165*E165),IF(D165&gt;B166,G164,""),F165*E165)</f>
        <v>109506.05960976283</v>
      </c>
      <c r="H165" s="23"/>
      <c r="I165" s="34"/>
    </row>
    <row r="166" spans="1:9" ht="12.75">
      <c r="A166" t="s">
        <v>964</v>
      </c>
      <c r="B166" s="32">
        <v>2017</v>
      </c>
      <c r="C166" s="30"/>
      <c r="D166" s="25">
        <v>2009</v>
      </c>
      <c r="E166" s="23">
        <f>IF(D166&lt;=B166,B161*EXP(B162*(D166-D162)),"")</f>
        <v>1152886.6274373557</v>
      </c>
      <c r="F166" s="24">
        <f>IF(D166&gt;B166,"",IF(B164&gt;D166,"",IF(B164=D166,B165,IF(B164&lt;D166,(D166-B164)*B168+B165,B167))))</f>
        <v>0.154</v>
      </c>
      <c r="G166" s="23">
        <f>IF(ISERR(F166*E166),IF(D166&gt;B166,G165,""),F166*E166)</f>
        <v>177544.54062535276</v>
      </c>
      <c r="H166" s="22">
        <f>IF(ISERR(G166-G165),"",(G166-G165))</f>
        <v>68038.48101558993</v>
      </c>
      <c r="I166" s="21">
        <f>IF(ISERR(B163*H166),"",((B163*H166)))</f>
        <v>104166.91443486819</v>
      </c>
    </row>
    <row r="167" spans="1:9" ht="12.75">
      <c r="A167" t="s">
        <v>529</v>
      </c>
      <c r="B167" s="31">
        <v>0.61</v>
      </c>
      <c r="C167" s="30"/>
      <c r="D167" s="25">
        <v>2010</v>
      </c>
      <c r="E167" s="23">
        <f>IF(D167&lt;=B166,B161*EXP(B162*(D167-D162)),"")</f>
        <v>1177353.2469770475</v>
      </c>
      <c r="F167" s="24">
        <f>IF(D167&gt;B166,"",IF(B164&gt;D167,"",IF(B164=D167,B165,IF(B164&lt;D167,(D167-B164)*B168+B165,B167))))</f>
        <v>0.211</v>
      </c>
      <c r="G167" s="23">
        <f>IF(ISERR(F167*E167),IF(D167&gt;B166,G166,""),F167*E167)</f>
        <v>248421.53511215703</v>
      </c>
      <c r="H167" s="22">
        <f>IF(ISERR(G167-G165),"",(G167-G165))</f>
        <v>138915.4755023942</v>
      </c>
      <c r="I167" s="21">
        <f>IF(ISERR(B163*H167),"",((B163*H167)))</f>
        <v>212679.59299416552</v>
      </c>
    </row>
    <row r="168" spans="1:9" ht="12.75">
      <c r="A168" s="29" t="s">
        <v>533</v>
      </c>
      <c r="B168" s="28">
        <f>(B167-B165)/(B166-B164)</f>
        <v>0.056999999999999995</v>
      </c>
      <c r="D168" s="25">
        <v>2011</v>
      </c>
      <c r="E168" s="23">
        <f>IF(D168&lt;=B166,B161*EXP(B162*(D168-D162)),"")</f>
        <v>1202339.0983800066</v>
      </c>
      <c r="F168" s="24">
        <f>IF(D168&gt;B166,"",IF(B164&gt;D168,"",IF(B164=D168,B165,IF(B164&lt;D168,(D168-B164)*B168+B165,B167))))</f>
        <v>0.26799999999999996</v>
      </c>
      <c r="G168" s="23">
        <f>IF(ISERR(F168*E168),IF(D168&gt;B166,G167,""),F168*E168)</f>
        <v>322226.87836584175</v>
      </c>
      <c r="H168" s="22">
        <f>IF(ISERR(G168-G165),"",(G168-G165))</f>
        <v>212720.81875607892</v>
      </c>
      <c r="I168" s="21">
        <f>IF(ISERR(B163*H168),"",((B163*H168)))</f>
        <v>325675.5735155568</v>
      </c>
    </row>
    <row r="169" spans="1:9" ht="12.75">
      <c r="A169"/>
      <c r="D169" s="25">
        <v>2012</v>
      </c>
      <c r="E169" s="23">
        <f>IF(D169&lt;=B166,B161*EXP(B162*(D169-D162)),"")</f>
        <v>1227855.2008116466</v>
      </c>
      <c r="F169" s="24">
        <f>IF(D169&gt;B166,"",IF(B164&gt;D169,"",IF(B164=D169,B165,IF(B164&lt;D169,(D169-B164)*B168+B165,B167))))</f>
        <v>0.32499999999999996</v>
      </c>
      <c r="G169" s="23">
        <f>IF(ISERR(F169*E169),IF(D169&gt;B166,G168,""),F169*E169)</f>
        <v>399052.94026378513</v>
      </c>
      <c r="H169" s="22">
        <f>IF(ISERR(G169-G165),"",(G169-G165))</f>
        <v>289546.88065402233</v>
      </c>
      <c r="I169" s="21">
        <f>IF(ISERR(B163*H169),"",((B163*H169)))</f>
        <v>443296.2742813082</v>
      </c>
    </row>
    <row r="170" spans="1:9" ht="12.75">
      <c r="A170"/>
      <c r="D170" s="25">
        <v>2013</v>
      </c>
      <c r="E170" s="23">
        <f>IF(D170&lt;=B166,B161*EXP(B162*(D170-D162)),"")</f>
        <v>1253912.8072866793</v>
      </c>
      <c r="F170" s="24">
        <f>IF(D170&gt;B166,"",IF(B164&gt;D170,"",IF(B164=D170,B165,IF(B164&lt;D170,(D170-B164)*B168+B165,B167))))</f>
        <v>0.38199999999999995</v>
      </c>
      <c r="G170" s="23">
        <f>IF(ISERR(F170*E170),IF(D170&gt;B166,G169,""),F170*E170)</f>
        <v>478994.6923835114</v>
      </c>
      <c r="H170" s="22">
        <f>IF(ISERR(G170-G165),"",(G170-G165))</f>
        <v>369488.6327737486</v>
      </c>
      <c r="I170" s="21">
        <f>IF(ISERR(B163*H170),"",((B163*H170)))</f>
        <v>565687.0967766091</v>
      </c>
    </row>
    <row r="171" spans="1:9" ht="12.75">
      <c r="A171" t="s">
        <v>532</v>
      </c>
      <c r="B171" s="27">
        <f>VLOOKUP(B166,D162:I187,6,FALSE)</f>
        <v>1106005.0222289795</v>
      </c>
      <c r="D171" s="25">
        <v>2014</v>
      </c>
      <c r="E171" s="23">
        <f>IF(D171&lt;=B166,B161*EXP(B162*(D171-D162)),"")</f>
        <v>1280523.409631876</v>
      </c>
      <c r="F171" s="24">
        <f>IF(D171&gt;B166,"",IF(B164&gt;D171,"",IF(B164=D171,B165,IF(B164&lt;D171,(D171-B164)*B168+B165,B167))))</f>
        <v>0.43899999999999995</v>
      </c>
      <c r="G171" s="23">
        <f>IF(ISERR(F171*E171),IF(D171&gt;B166,G170,""),F171*E171)</f>
        <v>562149.7768283935</v>
      </c>
      <c r="H171" s="22">
        <f>IF(ISERR(G171-G165),"",(G171-G165))</f>
        <v>452643.7172186306</v>
      </c>
      <c r="I171" s="21">
        <f>IF(ISERR(B163*H171),"",((B163*H171)))</f>
        <v>692997.5310617234</v>
      </c>
    </row>
    <row r="172" spans="1:9" ht="12.75">
      <c r="A172" t="s">
        <v>531</v>
      </c>
      <c r="B172" s="27">
        <f>SUM(I166:I187)</f>
        <v>19616950.847258933</v>
      </c>
      <c r="D172" s="25">
        <v>2015</v>
      </c>
      <c r="E172" s="23">
        <f>IF(D172&lt;=B166,B161*EXP(B162*(D172-D162)),"")</f>
        <v>1307698.7435541477</v>
      </c>
      <c r="F172" s="24">
        <f>IF(D172&gt;B166,"",IF(B164&gt;D172,"",IF(B164=D172,B165,IF(B164&lt;D172,(D172-B164)*B168+B165,B167))))</f>
        <v>0.49599999999999994</v>
      </c>
      <c r="G172" s="23">
        <f>IF(ISERR(F172*E172),IF(D172&gt;B166,G171,""),F172*E172)</f>
        <v>648618.5768028571</v>
      </c>
      <c r="H172" s="22">
        <f>IF(ISERR(G172-G165),"",(G172-G165))</f>
        <v>539112.5171930942</v>
      </c>
      <c r="I172" s="21">
        <f>IF(ISERR(B163*H172),"",((B163*H172)))</f>
        <v>825381.2638226273</v>
      </c>
    </row>
    <row r="173" spans="1:9" ht="12.75">
      <c r="A173" t="s">
        <v>1044</v>
      </c>
      <c r="B173" s="26">
        <f>B171/(10^6)</f>
        <v>1.1060050222289795</v>
      </c>
      <c r="D173" s="25">
        <v>2016</v>
      </c>
      <c r="E173" s="23">
        <f>IF(D173&lt;=B166,B161*EXP(B162*(D173-D162)),"")</f>
        <v>1335450.7938161853</v>
      </c>
      <c r="F173" s="24">
        <f>IF(D173&gt;B166,"",IF(B164&gt;D173,"",IF(B164=D173,B165,IF(B164&lt;D173,(D173-B164)*B168+B165,B167))))</f>
        <v>0.5529999999999999</v>
      </c>
      <c r="G173" s="23">
        <f>IF(ISERR(F173*E173),IF(D173&gt;B166,G172,""),F173*E173)</f>
        <v>738504.2889803504</v>
      </c>
      <c r="H173" s="22">
        <f>IF(ISERR(G173-G165),"",(G173-G165))</f>
        <v>628998.2293705875</v>
      </c>
      <c r="I173" s="21">
        <f>IF(ISERR(B163*H173),"",((B163*H173)))</f>
        <v>962996.2891663695</v>
      </c>
    </row>
    <row r="174" spans="1:9" ht="12.75">
      <c r="A174" t="s">
        <v>1043</v>
      </c>
      <c r="B174" s="26">
        <f>B172/(10^6)</f>
        <v>19.616950847258934</v>
      </c>
      <c r="D174" s="25">
        <v>2017</v>
      </c>
      <c r="E174" s="23">
        <f>IF(D174&lt;=B166,B161*EXP(B162*(D174-D162)),"")</f>
        <v>1363791.799521931</v>
      </c>
      <c r="F174" s="24">
        <f>IF(D174&gt;B166,"",IF(B164&gt;D174,"",IF(B164=D174,B165,IF(B164&lt;D174,(D174-B164)*B168+B165,B167))))</f>
        <v>0.61</v>
      </c>
      <c r="G174" s="23">
        <f>IF(ISERR(F174*E174),IF(D174&gt;B166,G173,""),F174*E174)</f>
        <v>831912.9977083779</v>
      </c>
      <c r="H174" s="22">
        <f>IF(ISERR(G174-G165),"",(G174-G165))</f>
        <v>722406.938098615</v>
      </c>
      <c r="I174" s="21">
        <f>IF(ISERR(B163*H174),"",((B163*H174)))</f>
        <v>1106005.0222289795</v>
      </c>
    </row>
    <row r="175" spans="1:9" ht="12.75">
      <c r="A175"/>
      <c r="B175" s="124"/>
      <c r="D175" s="25">
        <v>2018</v>
      </c>
      <c r="E175" s="23">
        <f>IF(D175&lt;=B166,B161*EXP(B162*(D175-D162)),"")</f>
      </c>
      <c r="F175" s="24">
        <f>IF(D175&gt;B166,"",IF(B164&gt;D175,"",IF(B164=D175,B165,IF(B164&lt;D175,(D175-B164)*B168+B165,B167))))</f>
      </c>
      <c r="G175" s="23">
        <f>IF(ISERR(F175*E175),IF(D175&gt;B166,G174,""),F175*E175)</f>
        <v>831912.9977083779</v>
      </c>
      <c r="H175" s="22">
        <f>IF(ISERR(G175-G165),"",(G175-G165))</f>
        <v>722406.938098615</v>
      </c>
      <c r="I175" s="21">
        <f>IF(ISERR(B163*H175),"",((B163*H175)))</f>
        <v>1106005.0222289795</v>
      </c>
    </row>
    <row r="176" spans="1:9" ht="12.75">
      <c r="A176"/>
      <c r="D176" s="25">
        <v>2019</v>
      </c>
      <c r="E176" s="23">
        <f>IF(D176&lt;=B166,B161*EXP(B162*(D176-D162)),"")</f>
      </c>
      <c r="F176" s="24">
        <f>IF(D176&gt;B166,"",IF(B164&gt;D176,"",IF(B164=D176,B165,IF(B164&lt;D176,(D176-B164)*B168+B165,B167))))</f>
      </c>
      <c r="G176" s="23">
        <f>IF(ISERR(F176*E176),IF(D176&gt;B166,G175,""),F176*E176)</f>
        <v>831912.9977083779</v>
      </c>
      <c r="H176" s="22">
        <f>IF(ISERR(G176-G165),"",(G176-G165))</f>
        <v>722406.938098615</v>
      </c>
      <c r="I176" s="21">
        <f>IF(ISERR(B163*H176),"",((B163*H176)))</f>
        <v>1106005.0222289795</v>
      </c>
    </row>
    <row r="177" spans="1:9" ht="12.75">
      <c r="A177"/>
      <c r="D177" s="25">
        <v>2020</v>
      </c>
      <c r="E177" s="23">
        <f>IF(D177&lt;=B166,B161*EXP(B162*(D177-D162)),"")</f>
      </c>
      <c r="F177" s="24">
        <f>IF(D177&gt;B166,"",IF(B164&gt;D177,"",IF(B164=D177,B165,IF(B164&lt;D177,(D177-B164)*B168+B165,B167))))</f>
      </c>
      <c r="G177" s="23">
        <f>IF(ISERR(F177*E177),IF(D177&gt;B166,G176,""),F177*E177)</f>
        <v>831912.9977083779</v>
      </c>
      <c r="H177" s="22">
        <f>IF(ISERR(G177-G165),"",(G177-G165))</f>
        <v>722406.938098615</v>
      </c>
      <c r="I177" s="21">
        <f>IF(ISERR(B163*H177),"",((B163*H177)))</f>
        <v>1106005.0222289795</v>
      </c>
    </row>
    <row r="178" spans="1:9" ht="12.75">
      <c r="A178"/>
      <c r="D178" s="25">
        <v>2021</v>
      </c>
      <c r="E178" s="23">
        <f>IF(D178&lt;=B166,B161*EXP(B162*(D178-D162)),"")</f>
      </c>
      <c r="F178" s="24">
        <f>IF(D178&gt;B166,"",IF(B164&gt;D178,"",IF(B164=D178,B165,IF(B164&lt;D178,(D178-B164)*B168+B165,B167))))</f>
      </c>
      <c r="G178" s="23">
        <f>IF(ISERR(F178*E178),IF(D178&gt;B166,G177,""),F178*E178)</f>
        <v>831912.9977083779</v>
      </c>
      <c r="H178" s="22">
        <f>IF(ISERR(G178-G165),"",(G178-G165))</f>
        <v>722406.938098615</v>
      </c>
      <c r="I178" s="21">
        <f>IF(ISERR(B163*H178),"",((B163*H178)))</f>
        <v>1106005.0222289795</v>
      </c>
    </row>
    <row r="179" spans="1:9" ht="12.75">
      <c r="A179"/>
      <c r="D179" s="25">
        <v>2022</v>
      </c>
      <c r="E179" s="23">
        <f>IF(D179&lt;=B166,B161*EXP(B162*(D179-D162)),"")</f>
      </c>
      <c r="F179" s="24">
        <f>IF(D179&gt;B166,"",IF(B164&gt;D179,"",IF(B164=D179,B165,IF(B164&lt;D179,(D179-B164)*B168+B165,B167))))</f>
      </c>
      <c r="G179" s="23">
        <f>IF(ISERR(F179*E179),IF(D179&gt;B166,G178,""),F179*E179)</f>
        <v>831912.9977083779</v>
      </c>
      <c r="H179" s="22">
        <f>IF(ISERR(G179-G165),"",(G179-G165))</f>
        <v>722406.938098615</v>
      </c>
      <c r="I179" s="21">
        <f>IF(ISERR(B163*H179),"",((B163*H179)))</f>
        <v>1106005.0222289795</v>
      </c>
    </row>
    <row r="180" spans="1:9" ht="12.75">
      <c r="A180"/>
      <c r="D180" s="25">
        <v>2023</v>
      </c>
      <c r="E180" s="23">
        <f>IF(D180&lt;=B166,B161*EXP(B162*(D180-D162)),"")</f>
      </c>
      <c r="F180" s="24">
        <f>IF(D180&gt;B166,"",IF(B164&gt;D180,"",IF(B164=D180,B165,IF(B164&lt;D180,(D180-B164)*B168+B165,B167))))</f>
      </c>
      <c r="G180" s="23">
        <f>IF(ISERR(F180*E180),IF(D180&gt;B166,G179,""),F180*E180)</f>
        <v>831912.9977083779</v>
      </c>
      <c r="H180" s="22">
        <f>IF(ISERR(G180-G165),"",(G180-G165))</f>
        <v>722406.938098615</v>
      </c>
      <c r="I180" s="21">
        <f>IF(ISERR(B163*H180),"",((B163*H180)))</f>
        <v>1106005.0222289795</v>
      </c>
    </row>
    <row r="181" spans="1:9" ht="12.75">
      <c r="A181"/>
      <c r="D181" s="25">
        <v>2024</v>
      </c>
      <c r="E181" s="23">
        <f>IF(D181&lt;=B166,B161*EXP(B162*(D181-D162)),"")</f>
      </c>
      <c r="F181" s="24">
        <f>IF(D181&gt;B166,"",IF(B164&gt;D181,"",IF(B164=D181,B165,IF(B164&lt;D181,(D181-B164)*B168+B165,B167))))</f>
      </c>
      <c r="G181" s="23">
        <f>IF(ISERR(F181*E181),IF(D181&gt;B166,G180,""),F181*E181)</f>
        <v>831912.9977083779</v>
      </c>
      <c r="H181" s="22">
        <f>IF(ISERR(G181-G165),"",(G181-G165))</f>
        <v>722406.938098615</v>
      </c>
      <c r="I181" s="21">
        <f>IF(ISERR(B163*H181),"",((B163*H181)))</f>
        <v>1106005.0222289795</v>
      </c>
    </row>
    <row r="182" spans="1:9" ht="12.75">
      <c r="A182"/>
      <c r="D182" s="25">
        <v>2025</v>
      </c>
      <c r="E182" s="23">
        <f>IF(D182&lt;=B166,B161*EXP(B162*(D182-D162)),"")</f>
      </c>
      <c r="F182" s="24">
        <f>IF(D182&gt;B166,"",IF(B164&gt;D182,"",IF(B164=D182,B165,IF(B164&lt;D182,(D182-B164)*B168+B165,B167))))</f>
      </c>
      <c r="G182" s="23">
        <f>IF(ISERR(F182*E182),IF(D182&gt;B166,G181,""),F182*E182)</f>
        <v>831912.9977083779</v>
      </c>
      <c r="H182" s="22">
        <f>IF(ISERR(G182-G165),"",(G182-G165))</f>
        <v>722406.938098615</v>
      </c>
      <c r="I182" s="21">
        <f>IF(ISERR(B163*H182),"",((B163*H182)))</f>
        <v>1106005.0222289795</v>
      </c>
    </row>
    <row r="183" spans="1:9" ht="12.75">
      <c r="A183"/>
      <c r="D183" s="25">
        <v>2026</v>
      </c>
      <c r="E183" s="23">
        <f>IF(D183&lt;=B166,B161*EXP(B162*(D183-D162)),"")</f>
      </c>
      <c r="F183" s="24">
        <f>IF(D183&gt;B166,"",IF(B164&gt;D183,"",IF(B164=D183,B165,IF(B164&lt;D183,(D183-B164)*B168+B165,B167))))</f>
      </c>
      <c r="G183" s="23">
        <f>IF(ISERR(F183*E183),IF(D183&gt;B166,G182,""),F183*E183)</f>
        <v>831912.9977083779</v>
      </c>
      <c r="H183" s="22">
        <f>IF(ISERR(G183-G165),"",(G183-G165))</f>
        <v>722406.938098615</v>
      </c>
      <c r="I183" s="21">
        <f>IF(ISERR(B163*H183),"",((B163*H183)))</f>
        <v>1106005.0222289795</v>
      </c>
    </row>
    <row r="184" spans="1:9" ht="12.75">
      <c r="A184"/>
      <c r="D184" s="25">
        <v>2027</v>
      </c>
      <c r="E184" s="23">
        <f>IF(D184&lt;=B166,B161*EXP(B162*(D184-D162)),"")</f>
      </c>
      <c r="F184" s="24">
        <f>IF(D184&gt;B166,"",IF(B164&gt;D184,"",IF(B164=D184,B165,IF(B164&lt;D184,(D184-B164)*B168+B165,B167))))</f>
      </c>
      <c r="G184" s="23">
        <f>IF(ISERR(F184*E184),IF(D184&gt;B166,G183,""),F184*E184)</f>
        <v>831912.9977083779</v>
      </c>
      <c r="H184" s="22">
        <f>IF(ISERR(G184-G165),"",(G184-G165))</f>
        <v>722406.938098615</v>
      </c>
      <c r="I184" s="21">
        <f>IF(ISERR(B163*H184),"",((B163*H184)))</f>
        <v>1106005.0222289795</v>
      </c>
    </row>
    <row r="185" spans="1:9" ht="12.75">
      <c r="A185"/>
      <c r="D185" s="25">
        <v>2028</v>
      </c>
      <c r="E185" s="23">
        <f>IF(D185&lt;=B166,B161*EXP(B162*(D185-D162)),"")</f>
      </c>
      <c r="F185" s="24">
        <f>IF(D185&gt;B166,"",IF(B164&gt;D185,"",IF(B164=D185,B165,IF(B164&lt;D185,(D185-B164)*B168+B165,B167))))</f>
      </c>
      <c r="G185" s="23">
        <f>IF(ISERR(F185*E185),IF(D185&gt;B166,G184,""),F185*E185)</f>
        <v>831912.9977083779</v>
      </c>
      <c r="H185" s="22">
        <f>IF(ISERR(G185-G165),"",(G185-G165))</f>
        <v>722406.938098615</v>
      </c>
      <c r="I185" s="21">
        <f>IF(ISERR(B163*H185),"",((B163*H185)))</f>
        <v>1106005.0222289795</v>
      </c>
    </row>
    <row r="186" spans="1:9" ht="12.75">
      <c r="A186"/>
      <c r="D186" s="25">
        <v>2029</v>
      </c>
      <c r="E186" s="23">
        <f>IF(D186&lt;=B166,B161*EXP(B162*(D186-D162)),"")</f>
      </c>
      <c r="F186" s="24">
        <f>IF(D186&gt;B166,"",IF(B164&gt;D186,"",IF(B164=D186,B165,IF(B164&lt;D186,(D186-B164)*B168+B165,B167))))</f>
      </c>
      <c r="G186" s="23">
        <f>IF(ISERR(F186*E186),IF(D186&gt;B166,G185,""),F186*E186)</f>
        <v>831912.9977083779</v>
      </c>
      <c r="H186" s="22">
        <f>IF(ISERR(G186-G165),"",(G186-G165))</f>
        <v>722406.938098615</v>
      </c>
      <c r="I186" s="21">
        <f>IF(ISERR(B163*H186),"",((B163*H186)))</f>
        <v>1106005.0222289795</v>
      </c>
    </row>
    <row r="187" spans="1:9" ht="13.5" thickBot="1">
      <c r="A187"/>
      <c r="D187" s="20">
        <v>2030</v>
      </c>
      <c r="E187" s="18">
        <f>IF(D187&lt;=B166,B161*EXP(B162*(D187-D162)),"")</f>
      </c>
      <c r="F187" s="19">
        <f>IF(D187&gt;B166,"",IF(B164&gt;D187,"",IF(B164=D187,B165,IF(B164&lt;D187,(D187-B164)*B168+B165,B167))))</f>
      </c>
      <c r="G187" s="18">
        <f>IF(ISERR(F187*E187),IF(D187&gt;B166,G186,""),F187*E187)</f>
        <v>831912.9977083779</v>
      </c>
      <c r="H187" s="17">
        <f>IF(ISERR(G187-G165),"",(G187-G165))</f>
        <v>722406.938098615</v>
      </c>
      <c r="I187" s="16">
        <f>IF(ISERR(B163*H187),"",((B163*H187)))</f>
        <v>1106005.0222289795</v>
      </c>
    </row>
    <row r="190" spans="1:9" ht="12.75" customHeight="1">
      <c r="A190" s="481" t="s">
        <v>334</v>
      </c>
      <c r="B190" s="482"/>
      <c r="C190" s="482"/>
      <c r="D190" s="482"/>
      <c r="E190" s="482"/>
      <c r="F190" s="482"/>
      <c r="G190" s="55"/>
      <c r="H190" s="55"/>
      <c r="I190" s="54"/>
    </row>
    <row r="191" spans="1:9" ht="12.75">
      <c r="A191" s="488" t="s">
        <v>335</v>
      </c>
      <c r="B191" s="471"/>
      <c r="C191" s="471"/>
      <c r="D191" s="471"/>
      <c r="E191" s="471"/>
      <c r="F191" s="471"/>
      <c r="G191" s="52"/>
      <c r="H191" s="52"/>
      <c r="I191" s="51"/>
    </row>
    <row r="192" spans="1:9" ht="12.75">
      <c r="A192" s="472" t="s">
        <v>336</v>
      </c>
      <c r="B192" s="469"/>
      <c r="C192" s="469"/>
      <c r="D192" s="469"/>
      <c r="E192" s="469"/>
      <c r="F192" s="469"/>
      <c r="G192" s="52"/>
      <c r="H192" s="52"/>
      <c r="I192" s="51"/>
    </row>
    <row r="193" spans="1:9" ht="12" customHeight="1">
      <c r="A193" s="472"/>
      <c r="B193" s="469"/>
      <c r="C193" s="469"/>
      <c r="D193" s="469"/>
      <c r="E193" s="469"/>
      <c r="F193" s="469"/>
      <c r="G193" s="52"/>
      <c r="H193" s="52"/>
      <c r="I193" s="51"/>
    </row>
    <row r="194" spans="1:9" ht="12.75">
      <c r="A194" s="459" t="s">
        <v>167</v>
      </c>
      <c r="B194" s="462"/>
      <c r="C194" s="462"/>
      <c r="D194" s="49"/>
      <c r="E194" s="49"/>
      <c r="F194" s="49"/>
      <c r="G194" s="49"/>
      <c r="H194" s="49"/>
      <c r="I194" s="48"/>
    </row>
    <row r="195" spans="1:8" ht="12.75">
      <c r="A195" s="493" t="s">
        <v>198</v>
      </c>
      <c r="B195" s="493"/>
      <c r="C195" s="493"/>
      <c r="D195" s="494" t="s">
        <v>197</v>
      </c>
      <c r="E195" s="494"/>
      <c r="F195" s="494"/>
      <c r="G195" s="494"/>
      <c r="H195" s="494"/>
    </row>
    <row r="196" spans="1:8" ht="13.5" thickBot="1">
      <c r="A196" s="74" t="s">
        <v>16</v>
      </c>
      <c r="B196" s="74"/>
      <c r="C196" s="74"/>
      <c r="D196" s="47" t="s">
        <v>337</v>
      </c>
      <c r="E196" s="125"/>
      <c r="F196" s="125"/>
      <c r="G196" s="125"/>
      <c r="H196" s="74"/>
    </row>
    <row r="197" spans="1:9" ht="89.25">
      <c r="A197" t="s">
        <v>972</v>
      </c>
      <c r="B197" s="74" t="s">
        <v>338</v>
      </c>
      <c r="D197" s="46" t="s">
        <v>971</v>
      </c>
      <c r="E197" s="45" t="s">
        <v>59</v>
      </c>
      <c r="F197" s="45" t="s">
        <v>58</v>
      </c>
      <c r="G197" s="45" t="s">
        <v>57</v>
      </c>
      <c r="H197" s="45" t="s">
        <v>56</v>
      </c>
      <c r="I197" s="44" t="s">
        <v>49</v>
      </c>
    </row>
    <row r="198" spans="1:9" ht="13.5" thickBot="1">
      <c r="A198" t="s">
        <v>48</v>
      </c>
      <c r="B198" s="58">
        <f>C227</f>
        <v>73910367.057723</v>
      </c>
      <c r="D198" s="43"/>
      <c r="E198" s="41" t="s">
        <v>47</v>
      </c>
      <c r="F198" s="42" t="s">
        <v>46</v>
      </c>
      <c r="G198" s="41" t="s">
        <v>45</v>
      </c>
      <c r="H198" s="41" t="s">
        <v>885</v>
      </c>
      <c r="I198" s="40" t="s">
        <v>884</v>
      </c>
    </row>
    <row r="199" spans="1:9" ht="13.5" thickTop="1">
      <c r="A199" t="s">
        <v>726</v>
      </c>
      <c r="B199" s="31">
        <v>0.024</v>
      </c>
      <c r="C199" s="30"/>
      <c r="D199" s="25">
        <v>2005</v>
      </c>
      <c r="E199" s="23">
        <f>IF(D199&lt;=B203,B198*EXP(B199*(D199-D199)),"")</f>
        <v>73910367.057723</v>
      </c>
      <c r="F199" s="24">
        <f>IF(D199&gt;B203,"",IF(B201&gt;D199,"",IF(B201=D199,B202,IF(B201&lt;D199,(D199-B201)*B205+B202,B204))))</f>
        <v>0.041462226668508836</v>
      </c>
      <c r="G199" s="23">
        <f>IF(ISERR(F199*E199),IF(D199&gt;B203,G198,""),F199*E199)</f>
        <v>3064488.3920999994</v>
      </c>
      <c r="H199" s="39"/>
      <c r="I199" s="38"/>
    </row>
    <row r="200" spans="1:9" ht="12.75">
      <c r="A200" t="s">
        <v>39</v>
      </c>
      <c r="B200" s="203">
        <f>E227</f>
        <v>1.9840247834985874</v>
      </c>
      <c r="D200" s="25">
        <v>2006</v>
      </c>
      <c r="E200" s="23">
        <f>IF(D200&lt;=B203,B198*EXP(B199*(D200-D199)),"")</f>
        <v>75705673.36896761</v>
      </c>
      <c r="F200" s="24">
        <f>IF(D200&gt;B203,"",IF(B201&gt;D200,"",IF(B201=D200,B202,IF(B201&lt;D200,(D200-B201)*B205+B202,B204))))</f>
        <v>0.044965660607735304</v>
      </c>
      <c r="G200" s="23">
        <f>IF(ISERR(F200*E200),IF(D200&gt;B203,G199,""),F200*E200)</f>
        <v>3404155.6147890626</v>
      </c>
      <c r="H200" s="23"/>
      <c r="I200" s="34"/>
    </row>
    <row r="201" spans="1:9" ht="12.75">
      <c r="A201" t="s">
        <v>966</v>
      </c>
      <c r="B201" s="37">
        <v>2005</v>
      </c>
      <c r="D201" s="25">
        <v>2007</v>
      </c>
      <c r="E201" s="23">
        <f>IF(D201&lt;=B203,B198*EXP(B199*(D201-D199)),"")</f>
        <v>77544588.24122341</v>
      </c>
      <c r="F201" s="24">
        <f>IF(D201&gt;B203,"",IF(B201&gt;D201,"",IF(B201=D201,B202,IF(B201&lt;D201,(D201-B201)*B205+B202,B204))))</f>
        <v>0.04846909454696177</v>
      </c>
      <c r="G201" s="23">
        <f>IF(ISERR(F201*E201),IF(D201&gt;B203,G200,""),F201*E201)</f>
        <v>3758515.9790690774</v>
      </c>
      <c r="H201" s="23"/>
      <c r="I201" s="34"/>
    </row>
    <row r="202" spans="1:9" s="33" customFormat="1" ht="12.75">
      <c r="A202" s="33" t="s">
        <v>453</v>
      </c>
      <c r="B202" s="36">
        <f>F227/B198</f>
        <v>0.041462226668508836</v>
      </c>
      <c r="C202" s="35"/>
      <c r="D202" s="25">
        <v>2008</v>
      </c>
      <c r="E202" s="23">
        <f>IF(D202&lt;=B203,B198*EXP(B199*(D202-D199)),"")</f>
        <v>79428170.94030006</v>
      </c>
      <c r="F202" s="24">
        <f>IF(D202&gt;B203,"",IF(B201&gt;D202,"",IF(B201=D202,B202,IF(B201&lt;D202,(D202-B201)*B205+B202,B204))))</f>
        <v>0.051972528486188246</v>
      </c>
      <c r="G202" s="23">
        <f>IF(ISERR(F202*E202),IF(D202&gt;B203,G201,""),F202*E202)</f>
        <v>4128082.8768005744</v>
      </c>
      <c r="H202" s="23"/>
      <c r="I202" s="34"/>
    </row>
    <row r="203" spans="1:9" ht="12.75">
      <c r="A203" t="s">
        <v>964</v>
      </c>
      <c r="B203" s="32">
        <v>2016</v>
      </c>
      <c r="C203" s="30"/>
      <c r="D203" s="25">
        <v>2009</v>
      </c>
      <c r="E203" s="23">
        <f>IF(D203&lt;=B203,B198*EXP(B199*(D203-D199)),"")</f>
        <v>81357506.46191058</v>
      </c>
      <c r="F203" s="24">
        <f>IF(D203&gt;B203,"",IF(B201&gt;D203,"",IF(B201=D203,B202,IF(B201&lt;D203,(D203-B201)*B205+B202,B204))))</f>
        <v>0.055475962425414714</v>
      </c>
      <c r="G203" s="23">
        <f>IF(ISERR(F203*E203),IF(D203&gt;B203,G202,""),F203*E203)</f>
        <v>4513385.971506386</v>
      </c>
      <c r="H203" s="22">
        <f>IF(ISERR(G203-G202),"",(G203-G202))</f>
        <v>385303.0947058117</v>
      </c>
      <c r="I203" s="21">
        <f>IF(ISERR(B200*H203),"",((B200*H203)))</f>
        <v>764450.8890550338</v>
      </c>
    </row>
    <row r="204" spans="1:9" ht="12.75">
      <c r="A204" t="s">
        <v>529</v>
      </c>
      <c r="B204" s="31">
        <v>0.08</v>
      </c>
      <c r="C204" s="30"/>
      <c r="D204" s="25">
        <v>2010</v>
      </c>
      <c r="E204" s="23">
        <f>IF(D204&lt;=B203,B198*EXP(B199*(D204-D199)),"")</f>
        <v>83333706.1566587</v>
      </c>
      <c r="F204" s="24">
        <f>IF(D204&gt;B203,"",IF(B201&gt;D204,"",IF(B201=D204,B202,IF(B201&lt;D204,(D204-B201)*B205+B202,B204))))</f>
        <v>0.05897939636464118</v>
      </c>
      <c r="G204" s="23">
        <f>IF(ISERR(F204*E204),IF(D204&gt;B203,G203,""),F204*E204)</f>
        <v>4914971.685948112</v>
      </c>
      <c r="H204" s="22">
        <f>IF(ISERR(G204-G202),"",(G204-G202))</f>
        <v>786888.8091475377</v>
      </c>
      <c r="I204" s="21">
        <f>IF(ISERR(B200*H204),"",((B200*H204)))</f>
        <v>1561206.8992064046</v>
      </c>
    </row>
    <row r="205" spans="1:9" ht="12.75">
      <c r="A205" s="29" t="s">
        <v>533</v>
      </c>
      <c r="B205" s="28">
        <f>(B204-B202)/(B203-B201)</f>
        <v>0.0035034339392264694</v>
      </c>
      <c r="D205" s="25">
        <v>2011</v>
      </c>
      <c r="E205" s="23">
        <f>IF(D205&lt;=B203,B198*EXP(B199*(D205-D199)),"")</f>
        <v>85357908.37020758</v>
      </c>
      <c r="F205" s="24">
        <f>IF(D205&gt;B203,"",IF(B201&gt;D205,"",IF(B201=D205,B202,IF(B201&lt;D205,(D205-B201)*B205+B202,B204))))</f>
        <v>0.062482830303867656</v>
      </c>
      <c r="G205" s="23">
        <f>IF(ISERR(F205*E205),IF(D205&gt;B203,G204,""),F205*E205)</f>
        <v>5333403.703788765</v>
      </c>
      <c r="H205" s="22">
        <f>IF(ISERR(G205-G202),"",(G205-G202))</f>
        <v>1205320.8269881904</v>
      </c>
      <c r="I205" s="21">
        <f>IF(ISERR(B200*H205),"",((B200*H205)))</f>
        <v>2391386.392811583</v>
      </c>
    </row>
    <row r="206" spans="1:9" ht="12.75">
      <c r="A206"/>
      <c r="D206" s="25">
        <v>2012</v>
      </c>
      <c r="E206" s="23">
        <f>IF(D206&lt;=B203,B198*EXP(B199*(D206-D199)),"")</f>
        <v>87431279.09899846</v>
      </c>
      <c r="F206" s="24">
        <f>IF(D206&gt;B203,"",IF(B201&gt;D206,"",IF(B201=D206,B202,IF(B201&lt;D206,(D206-B201)*B205+B202,B204))))</f>
        <v>0.06598626424309412</v>
      </c>
      <c r="G206" s="23">
        <f>IF(ISERR(F206*E206),IF(D206&gt;B203,G205,""),F206*E206)</f>
        <v>5769263.485738224</v>
      </c>
      <c r="H206" s="22">
        <f>IF(ISERR(G206-G202),"",(G206-G202))</f>
        <v>1641180.60893765</v>
      </c>
      <c r="I206" s="21">
        <f>IF(ISERR(B200*H206),"",((B200*H206)))</f>
        <v>3256143.002329601</v>
      </c>
    </row>
    <row r="207" spans="1:9" ht="12.75">
      <c r="A207"/>
      <c r="D207" s="25">
        <v>2013</v>
      </c>
      <c r="E207" s="23">
        <f>IF(D207&lt;=B203,B198*EXP(B199*(D207-D199)),"")</f>
        <v>89555012.66189678</v>
      </c>
      <c r="F207" s="24">
        <f>IF(D207&gt;B203,"",IF(B201&gt;D207,"",IF(B201=D207,B202,IF(B201&lt;D207,(D207-B201)*B205+B202,B204))))</f>
        <v>0.06948969818232059</v>
      </c>
      <c r="G207" s="23">
        <f>IF(ISERR(F207*E207),IF(D207&gt;B203,G206,""),F207*E207)</f>
        <v>6223150.800589106</v>
      </c>
      <c r="H207" s="22">
        <f>IF(ISERR(G207-G202),"",(G207-G202))</f>
        <v>2095067.9237885317</v>
      </c>
      <c r="I207" s="21">
        <f>IF(ISERR(B200*H207),"",((B200*H207)))</f>
        <v>4156666.6839093766</v>
      </c>
    </row>
    <row r="208" spans="1:9" ht="12.75">
      <c r="A208" t="s">
        <v>532</v>
      </c>
      <c r="B208" s="27">
        <f>VLOOKUP(B203,D199:I224,6,FALSE)</f>
        <v>7085307.560536565</v>
      </c>
      <c r="D208" s="25">
        <v>2014</v>
      </c>
      <c r="E208" s="23">
        <f>IF(D208&lt;=B203,B198*EXP(B199*(D208-D199)),"")</f>
        <v>91730332.38815288</v>
      </c>
      <c r="F208" s="24">
        <f>IF(D208&gt;B203,"",IF(B201&gt;D208,"",IF(B201=D208,B202,IF(B201&lt;D208,(D208-B201)*B205+B202,B204))))</f>
        <v>0.07299313212154707</v>
      </c>
      <c r="G208" s="23">
        <f>IF(ISERR(F208*E208),IF(D208&gt;B203,G207,""),F208*E208)</f>
        <v>6695684.271561871</v>
      </c>
      <c r="H208" s="22">
        <f>IF(ISERR(G208-G202),"",(G208-G202))</f>
        <v>2567601.394761297</v>
      </c>
      <c r="I208" s="21">
        <f>IF(ISERR(B200*H208),"",((B200*H208)))</f>
        <v>5094184.801351953</v>
      </c>
    </row>
    <row r="209" spans="1:9" ht="12.75">
      <c r="A209" t="s">
        <v>531</v>
      </c>
      <c r="B209" s="27">
        <f>SUM(I203:I224)</f>
        <v>129573615.31801306</v>
      </c>
      <c r="D209" s="25">
        <v>2015</v>
      </c>
      <c r="E209" s="23">
        <f>IF(D209&lt;=B203,B198*EXP(B199*(D209-D199)),"")</f>
        <v>93958491.3220735</v>
      </c>
      <c r="F209" s="24">
        <f>IF(D209&gt;B203,"",IF(B201&gt;D209,"",IF(B201=D209,B202,IF(B201&lt;D209,(D209-B201)*B205+B202,B204))))</f>
        <v>0.07649656606077353</v>
      </c>
      <c r="G209" s="23">
        <f>IF(ISERR(F209*E209),IF(D209&gt;B203,G208,""),F209*E209)</f>
        <v>7187501.938389612</v>
      </c>
      <c r="H209" s="22">
        <f>IF(ISERR(G209-G202),"",(G209-G202))</f>
        <v>3059419.061589038</v>
      </c>
      <c r="I209" s="21">
        <f>IF(ISERR(B200*H209),"",((B200*H209)))</f>
        <v>6069963.2413006425</v>
      </c>
    </row>
    <row r="210" spans="1:9" ht="12.75">
      <c r="A210" t="s">
        <v>1044</v>
      </c>
      <c r="B210" s="26">
        <f>B208/(10^6)</f>
        <v>7.085307560536565</v>
      </c>
      <c r="D210" s="25">
        <v>2016</v>
      </c>
      <c r="E210" s="23">
        <f>IF(D210&lt;=B203,B198*EXP(B199*(D210-D199)),"")</f>
        <v>96240772.94480988</v>
      </c>
      <c r="F210" s="24">
        <f>IF(D210&gt;B203,"",IF(B201&gt;D210,"",IF(B201=D210,B202,IF(B201&lt;D210,(D210-B201)*B205+B202,B204))))</f>
        <v>0.08</v>
      </c>
      <c r="G210" s="23">
        <f>IF(ISERR(F210*E210),IF(D210&gt;B203,G209,""),F210*E210)</f>
        <v>7699261.83558479</v>
      </c>
      <c r="H210" s="22">
        <f>IF(ISERR(G210-G202),"",(G210-G202))</f>
        <v>3571178.958784216</v>
      </c>
      <c r="I210" s="21">
        <f>IF(ISERR(B200*H210),"",((B200*H210)))</f>
        <v>7085307.560536565</v>
      </c>
    </row>
    <row r="211" spans="1:9" ht="12.75">
      <c r="A211" t="s">
        <v>1043</v>
      </c>
      <c r="B211" s="26">
        <f>B209/(10^6)</f>
        <v>129.57361531801305</v>
      </c>
      <c r="D211" s="25">
        <v>2017</v>
      </c>
      <c r="E211" s="23">
        <f>IF(D211&lt;=B203,B198*EXP(B199*(D211-D199)),"")</f>
      </c>
      <c r="F211" s="24">
        <f>IF(D211&gt;B203,"",IF(B201&gt;D211,"",IF(B201=D211,B202,IF(B201&lt;D211,(D211-B201)*B205+B202,B204))))</f>
      </c>
      <c r="G211" s="23">
        <f>IF(ISERR(F211*E211),IF(D211&gt;B203,G210,""),F211*E211)</f>
        <v>7699261.83558479</v>
      </c>
      <c r="H211" s="22">
        <f>IF(ISERR(G211-G202),"",(G211-G202))</f>
        <v>3571178.958784216</v>
      </c>
      <c r="I211" s="21">
        <f>IF(ISERR(B200*H211),"",((B200*H211)))</f>
        <v>7085307.560536565</v>
      </c>
    </row>
    <row r="212" spans="1:9" ht="12.75">
      <c r="A212"/>
      <c r="D212" s="25">
        <v>2018</v>
      </c>
      <c r="E212" s="23">
        <f>IF(D212&lt;=B203,B198*EXP(B199*(D212-D199)),"")</f>
      </c>
      <c r="F212" s="24">
        <f>IF(D212&gt;B203,"",IF(B201&gt;D212,"",IF(B201=D212,B202,IF(B201&lt;D212,(D212-B201)*B205+B202,B204))))</f>
      </c>
      <c r="G212" s="23">
        <f>IF(ISERR(F212*E212),IF(D212&gt;B203,G211,""),F212*E212)</f>
        <v>7699261.83558479</v>
      </c>
      <c r="H212" s="22">
        <f>IF(ISERR(G212-G202),"",(G212-G202))</f>
        <v>3571178.958784216</v>
      </c>
      <c r="I212" s="21">
        <f>IF(ISERR(B200*H212),"",((B200*H212)))</f>
        <v>7085307.560536565</v>
      </c>
    </row>
    <row r="213" spans="1:9" ht="12.75">
      <c r="A213"/>
      <c r="D213" s="25">
        <v>2019</v>
      </c>
      <c r="E213" s="23">
        <f>IF(D213&lt;=B203,B198*EXP(B199*(D213-D199)),"")</f>
      </c>
      <c r="F213" s="24">
        <f>IF(D213&gt;B203,"",IF(B201&gt;D213,"",IF(B201=D213,B202,IF(B201&lt;D213,(D213-B201)*B205+B202,B204))))</f>
      </c>
      <c r="G213" s="23">
        <f>IF(ISERR(F213*E213),IF(D213&gt;B203,G212,""),F213*E213)</f>
        <v>7699261.83558479</v>
      </c>
      <c r="H213" s="22">
        <f>IF(ISERR(G213-G202),"",(G213-G202))</f>
        <v>3571178.958784216</v>
      </c>
      <c r="I213" s="21">
        <f>IF(ISERR(B200*H213),"",((B200*H213)))</f>
        <v>7085307.560536565</v>
      </c>
    </row>
    <row r="214" spans="1:9" ht="12.75">
      <c r="A214"/>
      <c r="D214" s="25">
        <v>2020</v>
      </c>
      <c r="E214" s="23">
        <f>IF(D214&lt;=B203,B198*EXP(B199*(D214-D199)),"")</f>
      </c>
      <c r="F214" s="24">
        <f>IF(D214&gt;B203,"",IF(B201&gt;D214,"",IF(B201=D214,B202,IF(B201&lt;D214,(D214-B201)*B205+B202,B204))))</f>
      </c>
      <c r="G214" s="23">
        <f>IF(ISERR(F214*E214),IF(D214&gt;B203,G213,""),F214*E214)</f>
        <v>7699261.83558479</v>
      </c>
      <c r="H214" s="22">
        <f>IF(ISERR(G214-G202),"",(G214-G202))</f>
        <v>3571178.958784216</v>
      </c>
      <c r="I214" s="21">
        <f>IF(ISERR(B200*H214),"",((B200*H214)))</f>
        <v>7085307.560536565</v>
      </c>
    </row>
    <row r="215" spans="1:9" ht="12.75">
      <c r="A215"/>
      <c r="D215" s="25">
        <v>2021</v>
      </c>
      <c r="E215" s="23">
        <f>IF(D215&lt;=B203,B198*EXP(B199*(D215-D199)),"")</f>
      </c>
      <c r="F215" s="24">
        <f>IF(D215&gt;B203,"",IF(B201&gt;D215,"",IF(B201=D215,B202,IF(B201&lt;D215,(D215-B201)*B205+B202,B204))))</f>
      </c>
      <c r="G215" s="23">
        <f>IF(ISERR(F215*E215),IF(D215&gt;B203,G214,""),F215*E215)</f>
        <v>7699261.83558479</v>
      </c>
      <c r="H215" s="22">
        <f>IF(ISERR(G215-G202),"",(G215-G202))</f>
        <v>3571178.958784216</v>
      </c>
      <c r="I215" s="21">
        <f>IF(ISERR(B200*H215),"",((B200*H215)))</f>
        <v>7085307.560536565</v>
      </c>
    </row>
    <row r="216" spans="1:9" ht="12.75">
      <c r="A216"/>
      <c r="D216" s="25">
        <v>2022</v>
      </c>
      <c r="E216" s="23">
        <f>IF(D216&lt;=B203,B198*EXP(B199*(D216-D199)),"")</f>
      </c>
      <c r="F216" s="24">
        <f>IF(D216&gt;B203,"",IF(B201&gt;D216,"",IF(B201=D216,B202,IF(B201&lt;D216,(D216-B201)*B205+B202,B204))))</f>
      </c>
      <c r="G216" s="23">
        <f>IF(ISERR(F216*E216),IF(D216&gt;B203,G215,""),F216*E216)</f>
        <v>7699261.83558479</v>
      </c>
      <c r="H216" s="22">
        <f>IF(ISERR(G216-G202),"",(G216-G202))</f>
        <v>3571178.958784216</v>
      </c>
      <c r="I216" s="21">
        <f>IF(ISERR(B200*H216),"",((B200*H216)))</f>
        <v>7085307.560536565</v>
      </c>
    </row>
    <row r="217" spans="1:9" ht="12.75">
      <c r="A217"/>
      <c r="D217" s="25">
        <v>2023</v>
      </c>
      <c r="E217" s="23">
        <f>IF(D217&lt;=B203,B198*EXP(B199*(D217-D199)),"")</f>
      </c>
      <c r="F217" s="24">
        <f>IF(D217&gt;B203,"",IF(B201&gt;D217,"",IF(B201=D217,B202,IF(B201&lt;D217,(D217-B201)*B205+B202,B204))))</f>
      </c>
      <c r="G217" s="23">
        <f>IF(ISERR(F217*E217),IF(D217&gt;B203,G216,""),F217*E217)</f>
        <v>7699261.83558479</v>
      </c>
      <c r="H217" s="22">
        <f>IF(ISERR(G217-G202),"",(G217-G202))</f>
        <v>3571178.958784216</v>
      </c>
      <c r="I217" s="21">
        <f>IF(ISERR(B200*H217),"",((B200*H217)))</f>
        <v>7085307.560536565</v>
      </c>
    </row>
    <row r="218" spans="1:9" ht="12.75">
      <c r="A218"/>
      <c r="D218" s="25">
        <v>2024</v>
      </c>
      <c r="E218" s="23">
        <f>IF(D218&lt;=B203,B198*EXP(B199*(D218-D199)),"")</f>
      </c>
      <c r="F218" s="24">
        <f>IF(D218&gt;B203,"",IF(B201&gt;D218,"",IF(B201=D218,B202,IF(B201&lt;D218,(D218-B201)*B205+B202,B204))))</f>
      </c>
      <c r="G218" s="23">
        <f>IF(ISERR(F218*E218),IF(D218&gt;B203,G217,""),F218*E218)</f>
        <v>7699261.83558479</v>
      </c>
      <c r="H218" s="22">
        <f>IF(ISERR(G218-G202),"",(G218-G202))</f>
        <v>3571178.958784216</v>
      </c>
      <c r="I218" s="21">
        <f>IF(ISERR(B200*H218),"",((B200*H218)))</f>
        <v>7085307.560536565</v>
      </c>
    </row>
    <row r="219" spans="1:9" ht="12.75">
      <c r="A219"/>
      <c r="D219" s="25">
        <v>2025</v>
      </c>
      <c r="E219" s="23">
        <f>IF(D219&lt;=B203,B198*EXP(B199*(D219-D199)),"")</f>
      </c>
      <c r="F219" s="24">
        <f>IF(D219&gt;B203,"",IF(B201&gt;D219,"",IF(B201=D219,B202,IF(B201&lt;D219,(D219-B201)*B205+B202,B204))))</f>
      </c>
      <c r="G219" s="23">
        <f>IF(ISERR(F219*E219),IF(D219&gt;B203,G218,""),F219*E219)</f>
        <v>7699261.83558479</v>
      </c>
      <c r="H219" s="22">
        <f>IF(ISERR(G219-G202),"",(G219-G202))</f>
        <v>3571178.958784216</v>
      </c>
      <c r="I219" s="21">
        <f>IF(ISERR(B200*H219),"",((B200*H219)))</f>
        <v>7085307.560536565</v>
      </c>
    </row>
    <row r="220" spans="1:9" ht="12.75">
      <c r="A220"/>
      <c r="D220" s="25">
        <v>2026</v>
      </c>
      <c r="E220" s="23">
        <f>IF(D220&lt;=B203,B198*EXP(B199*(D220-D199)),"")</f>
      </c>
      <c r="F220" s="24">
        <f>IF(D220&gt;B203,"",IF(B201&gt;D220,"",IF(B201=D220,B202,IF(B201&lt;D220,(D220-B201)*B205+B202,B204))))</f>
      </c>
      <c r="G220" s="23">
        <f>IF(ISERR(F220*E220),IF(D220&gt;B203,G219,""),F220*E220)</f>
        <v>7699261.83558479</v>
      </c>
      <c r="H220" s="22">
        <f>IF(ISERR(G220-G202),"",(G220-G202))</f>
        <v>3571178.958784216</v>
      </c>
      <c r="I220" s="21">
        <f>IF(ISERR(B200*H220),"",((B200*H220)))</f>
        <v>7085307.560536565</v>
      </c>
    </row>
    <row r="221" spans="1:9" ht="12.75">
      <c r="A221"/>
      <c r="D221" s="25">
        <v>2027</v>
      </c>
      <c r="E221" s="23">
        <f>IF(D221&lt;=B203,B198*EXP(B199*(D221-D199)),"")</f>
      </c>
      <c r="F221" s="24">
        <f>IF(D221&gt;B203,"",IF(B201&gt;D221,"",IF(B201=D221,B202,IF(B201&lt;D221,(D221-B201)*B205+B202,B204))))</f>
      </c>
      <c r="G221" s="23">
        <f>IF(ISERR(F221*E221),IF(D221&gt;B203,G220,""),F221*E221)</f>
        <v>7699261.83558479</v>
      </c>
      <c r="H221" s="22">
        <f>IF(ISERR(G221-G202),"",(G221-G202))</f>
        <v>3571178.958784216</v>
      </c>
      <c r="I221" s="21">
        <f>IF(ISERR(B200*H221),"",((B200*H221)))</f>
        <v>7085307.560536565</v>
      </c>
    </row>
    <row r="222" spans="1:9" ht="12.75">
      <c r="A222"/>
      <c r="D222" s="25">
        <v>2028</v>
      </c>
      <c r="E222" s="23">
        <f>IF(D222&lt;=B203,B198*EXP(B199*(D222-D199)),"")</f>
      </c>
      <c r="F222" s="24">
        <f>IF(D222&gt;B203,"",IF(B201&gt;D222,"",IF(B201=D222,B202,IF(B201&lt;D222,(D222-B201)*B205+B202,B204))))</f>
      </c>
      <c r="G222" s="23">
        <f>IF(ISERR(F222*E222),IF(D222&gt;B203,G221,""),F222*E222)</f>
        <v>7699261.83558479</v>
      </c>
      <c r="H222" s="22">
        <f>IF(ISERR(G222-G202),"",(G222-G202))</f>
        <v>3571178.958784216</v>
      </c>
      <c r="I222" s="21">
        <f>IF(ISERR(B200*H222),"",((B200*H222)))</f>
        <v>7085307.560536565</v>
      </c>
    </row>
    <row r="223" spans="1:9" ht="12.75">
      <c r="A223"/>
      <c r="D223" s="25">
        <v>2029</v>
      </c>
      <c r="E223" s="23">
        <f>IF(D223&lt;=B203,B198*EXP(B199*(D223-D199)),"")</f>
      </c>
      <c r="F223" s="24">
        <f>IF(D223&gt;B203,"",IF(B201&gt;D223,"",IF(B201=D223,B202,IF(B201&lt;D223,(D223-B201)*B205+B202,B204))))</f>
      </c>
      <c r="G223" s="23">
        <f>IF(ISERR(F223*E223),IF(D223&gt;B203,G222,""),F223*E223)</f>
        <v>7699261.83558479</v>
      </c>
      <c r="H223" s="22">
        <f>IF(ISERR(G223-G202),"",(G223-G202))</f>
        <v>3571178.958784216</v>
      </c>
      <c r="I223" s="21">
        <f>IF(ISERR(B200*H223),"",((B200*H223)))</f>
        <v>7085307.560536565</v>
      </c>
    </row>
    <row r="224" spans="1:9" ht="13.5" thickBot="1">
      <c r="A224"/>
      <c r="D224" s="20">
        <v>2030</v>
      </c>
      <c r="E224" s="18">
        <f>IF(D224&lt;=B203,B198*EXP(B199*(D224-D199)),"")</f>
      </c>
      <c r="F224" s="19">
        <f>IF(D224&gt;B203,"",IF(B201&gt;D224,"",IF(B201=D224,B202,IF(B201&lt;D224,(D224-B201)*B205+B202,B204))))</f>
      </c>
      <c r="G224" s="18">
        <f>IF(ISERR(F224*E224),IF(D224&gt;B203,G223,""),F224*E224)</f>
        <v>7699261.83558479</v>
      </c>
      <c r="H224" s="17">
        <f>IF(ISERR(G224-G202),"",(G224-G202))</f>
        <v>3571178.958784216</v>
      </c>
      <c r="I224" s="16">
        <f>IF(ISERR(B200*H224),"",((B200*H224)))</f>
        <v>7085307.560536565</v>
      </c>
    </row>
    <row r="226" spans="1:6" ht="38.25">
      <c r="A226" s="15" t="s">
        <v>686</v>
      </c>
      <c r="B226" s="212" t="s">
        <v>685</v>
      </c>
      <c r="C226" s="212" t="s">
        <v>684</v>
      </c>
      <c r="D226" s="212" t="s">
        <v>683</v>
      </c>
      <c r="E226" s="207" t="s">
        <v>342</v>
      </c>
      <c r="F226" s="402" t="s">
        <v>632</v>
      </c>
    </row>
    <row r="227" spans="2:6" ht="12.75">
      <c r="B227" s="210">
        <v>2.933</v>
      </c>
      <c r="C227" s="210">
        <f>B227*25199579.631</f>
        <v>73910367.057723</v>
      </c>
      <c r="D227" s="210">
        <v>146.64</v>
      </c>
      <c r="E227" s="134">
        <f>(D227*10^6)/C227</f>
        <v>1.9840247834985874</v>
      </c>
      <c r="F227">
        <f>3064488.3921</f>
        <v>3064488.3921</v>
      </c>
    </row>
    <row r="228" ht="12.75">
      <c r="A228"/>
    </row>
  </sheetData>
  <mergeCells count="40">
    <mergeCell ref="J41:L41"/>
    <mergeCell ref="A5:I5"/>
    <mergeCell ref="A28:B30"/>
    <mergeCell ref="A42:I42"/>
    <mergeCell ref="J42:L42"/>
    <mergeCell ref="A6:I6"/>
    <mergeCell ref="A7:I7"/>
    <mergeCell ref="J43:L43"/>
    <mergeCell ref="A64:B66"/>
    <mergeCell ref="D121:H121"/>
    <mergeCell ref="A82:C82"/>
    <mergeCell ref="A116:F116"/>
    <mergeCell ref="A120:C120"/>
    <mergeCell ref="A121:C121"/>
    <mergeCell ref="A117:F117"/>
    <mergeCell ref="A118:F118"/>
    <mergeCell ref="A119:F119"/>
    <mergeCell ref="A190:F190"/>
    <mergeCell ref="A195:C195"/>
    <mergeCell ref="D195:H195"/>
    <mergeCell ref="A1:I1"/>
    <mergeCell ref="A8:I8"/>
    <mergeCell ref="A41:I41"/>
    <mergeCell ref="A78:F78"/>
    <mergeCell ref="A79:F79"/>
    <mergeCell ref="A80:F80"/>
    <mergeCell ref="A81:F81"/>
    <mergeCell ref="A156:F156"/>
    <mergeCell ref="A153:F153"/>
    <mergeCell ref="A154:F154"/>
    <mergeCell ref="A155:F155"/>
    <mergeCell ref="A43:I43"/>
    <mergeCell ref="A45:C45"/>
    <mergeCell ref="A44:I44"/>
    <mergeCell ref="A102:B104"/>
    <mergeCell ref="A46:C46"/>
    <mergeCell ref="A191:F191"/>
    <mergeCell ref="A192:F192"/>
    <mergeCell ref="A193:F193"/>
    <mergeCell ref="A194:C194"/>
  </mergeCells>
  <hyperlinks>
    <hyperlink ref="D83" r:id="rId1" display="http://www.iea.org/Textbase/stats/balancetable.asp?COUNTRY_CODE=LT"/>
    <hyperlink ref="D121" r:id="rId2" display="http://www.iea.org/Textbase/stats/balancetable.asp?COUNTRY_CODE=LT"/>
    <hyperlink ref="D11" r:id="rId3" display="http://tonto.eia.doe.gov/country/country_energy_data.cfm?fips=FR"/>
    <hyperlink ref="D47" r:id="rId4" display="http://tonto.eia.doe.gov/country/country_energy_data.cfm?fips=SP"/>
    <hyperlink ref="D84" r:id="rId5" display="http://tonto.eia.doe.gov/country/country_energy_data.cfm?fips=LH"/>
    <hyperlink ref="D122" r:id="rId6" display="http://tonto.eia.doe.gov/country/country_energy_data.cfm?fips=SW"/>
    <hyperlink ref="D159" r:id="rId7" display="http://tonto.eia.doe.gov/country/country_energy_data.cfm?fips=UG"/>
    <hyperlink ref="A8" r:id="rId8" display="http://www.ren21.net/wiap/detail.asp?id=74"/>
    <hyperlink ref="A45" r:id="rId9" display="http://www.ren21.net/wiap/detail.asp?id=60"/>
    <hyperlink ref="A82" r:id="rId10" display="http://www.ren21.net/wiap/detail.asp?id=108"/>
    <hyperlink ref="A120" r:id="rId11" display="http://www.ren21.net/wiap/detail.asp?id=52"/>
    <hyperlink ref="A156" r:id="rId12" display="http://www.ren21.net/wiap/detail.asp?id=185"/>
    <hyperlink ref="A28:B30" location="'Group 5'!A16" display="NOTE: This pledge also contains a fuel component, the benefits of which are not quantified here.  Click this link to view the estimated fuel and fuel GHG impact of this pledge."/>
    <hyperlink ref="A64:B66" location="'Group 5'!A50" display="NOTE: This pledge also contains a fuel component, the benefits of which are not quantified here.  Click this link to view the estimated fuel and fuel GHG impact of this pledge."/>
    <hyperlink ref="A102:B104" location="'Group 5'!A122" display="NOTE: This pledge also contains a fuel component, the benefits of which are not quantified here.  Click this link to view the estimated fuel and fuel GHG impact of this pledge."/>
    <hyperlink ref="D195" r:id="rId13" display="http://www.iea.org/Textbase/stats/renewdata.asp?COUNTRY_CODE=AR"/>
    <hyperlink ref="A194" r:id="rId14" display="http://www.ren21.net/wiap/detail.asp?id=341"/>
  </hyperlinks>
  <printOptions/>
  <pageMargins left="0.75" right="0.75" top="1" bottom="1" header="0.5" footer="0.5"/>
  <pageSetup orientation="portrait"/>
  <rowBreaks count="1" manualBreakCount="1">
    <brk id="82" max="16383" man="1"/>
  </rowBreaks>
  <drawing r:id="rId15"/>
</worksheet>
</file>

<file path=xl/worksheets/sheet6.xml><?xml version="1.0" encoding="utf-8"?>
<worksheet xmlns="http://schemas.openxmlformats.org/spreadsheetml/2006/main" xmlns:r="http://schemas.openxmlformats.org/officeDocument/2006/relationships">
  <dimension ref="A1:AE399"/>
  <sheetViews>
    <sheetView zoomScale="90" zoomScaleNormal="90" workbookViewId="0" topLeftCell="A229">
      <selection activeCell="A229" sqref="A229:I229"/>
    </sheetView>
  </sheetViews>
  <sheetFormatPr defaultColWidth="8.8515625" defaultRowHeight="12.75"/>
  <cols>
    <col min="1" max="1" width="49.8515625" style="15" customWidth="1"/>
    <col min="2" max="2" width="18.140625" style="0" customWidth="1"/>
    <col min="3" max="4" width="12.8515625" style="0" customWidth="1"/>
    <col min="5" max="5" width="17.8515625" style="0" customWidth="1"/>
    <col min="6" max="6" width="20.8515625" style="0" customWidth="1"/>
    <col min="7" max="8" width="13.28125" style="0" customWidth="1"/>
    <col min="9" max="9" width="15.7109375" style="0" customWidth="1"/>
    <col min="10" max="10" width="16.7109375" style="0" customWidth="1"/>
    <col min="11" max="11" width="12.140625" style="0" customWidth="1"/>
    <col min="12" max="21" width="10.8515625" style="29" customWidth="1"/>
    <col min="22" max="24" width="10.8515625" style="27" customWidth="1"/>
    <col min="25" max="31" width="10.8515625" style="29" customWidth="1"/>
    <col min="32" max="16384" width="11.421875" style="0" customWidth="1"/>
  </cols>
  <sheetData>
    <row r="1" spans="1:10" ht="21.75" customHeight="1">
      <c r="A1" s="495" t="s">
        <v>758</v>
      </c>
      <c r="B1" s="495"/>
      <c r="C1" s="495"/>
      <c r="D1" s="495"/>
      <c r="E1" s="495"/>
      <c r="F1" s="495"/>
      <c r="G1" s="495"/>
      <c r="H1" s="495"/>
      <c r="I1" s="495"/>
      <c r="J1" s="252"/>
    </row>
    <row r="2" spans="6:8" ht="12.75">
      <c r="F2" s="62"/>
      <c r="G2" s="62"/>
      <c r="H2" s="62"/>
    </row>
    <row r="3" spans="1:8" ht="12.75">
      <c r="A3" s="253" t="s">
        <v>208</v>
      </c>
      <c r="F3" s="62"/>
      <c r="G3" s="62"/>
      <c r="H3" s="62"/>
    </row>
    <row r="4" spans="6:8" ht="12.75">
      <c r="F4" s="62"/>
      <c r="G4" s="62"/>
      <c r="H4" s="62"/>
    </row>
    <row r="5" spans="1:8" ht="12.75">
      <c r="A5" s="267" t="s">
        <v>209</v>
      </c>
      <c r="F5" s="267" t="s">
        <v>210</v>
      </c>
      <c r="G5" s="268"/>
      <c r="H5" s="62"/>
    </row>
    <row r="6" spans="1:11" ht="39" thickBot="1">
      <c r="A6" s="261" t="s">
        <v>517</v>
      </c>
      <c r="B6" s="262" t="s">
        <v>518</v>
      </c>
      <c r="C6" s="262" t="s">
        <v>546</v>
      </c>
      <c r="F6" s="265"/>
      <c r="G6" s="266" t="s">
        <v>508</v>
      </c>
      <c r="H6" s="266" t="s">
        <v>509</v>
      </c>
      <c r="I6" s="266" t="s">
        <v>510</v>
      </c>
      <c r="J6" s="266" t="s">
        <v>511</v>
      </c>
      <c r="K6" s="266" t="s">
        <v>512</v>
      </c>
    </row>
    <row r="7" spans="1:11" ht="12.75">
      <c r="A7" s="259" t="s">
        <v>547</v>
      </c>
      <c r="B7" s="260">
        <v>8780</v>
      </c>
      <c r="C7" s="257">
        <f>B7*0.26417</f>
        <v>2319.4126</v>
      </c>
      <c r="F7" s="263" t="s">
        <v>555</v>
      </c>
      <c r="G7" s="263">
        <v>10712000</v>
      </c>
      <c r="H7" s="263">
        <v>30296000</v>
      </c>
      <c r="I7" s="263">
        <f>G7+H7</f>
        <v>41008000</v>
      </c>
      <c r="J7" s="264">
        <f>G7/I7</f>
        <v>0.2612173234490831</v>
      </c>
      <c r="K7" s="264">
        <f>H7/I7</f>
        <v>0.7387826765509169</v>
      </c>
    </row>
    <row r="8" spans="1:11" ht="12.75">
      <c r="A8" s="256" t="s">
        <v>548</v>
      </c>
      <c r="B8" s="257">
        <f>B7*(1-0.6)</f>
        <v>3512</v>
      </c>
      <c r="C8" s="257">
        <f>B8*0.26417</f>
        <v>927.76504</v>
      </c>
      <c r="D8" s="419">
        <f>($C$7-C8)/$C$7</f>
        <v>0.6</v>
      </c>
      <c r="F8" s="254" t="s">
        <v>557</v>
      </c>
      <c r="G8" s="254">
        <v>7260000</v>
      </c>
      <c r="H8" s="254">
        <v>25352000</v>
      </c>
      <c r="I8" s="254">
        <f aca="true" t="shared" si="0" ref="I8:I13">G8+H8</f>
        <v>32612000</v>
      </c>
      <c r="J8" s="255">
        <f aca="true" t="shared" si="1" ref="J8:J13">G8/I8</f>
        <v>0.2226174414326015</v>
      </c>
      <c r="K8" s="255">
        <f aca="true" t="shared" si="2" ref="K8:K13">H8/I8</f>
        <v>0.7773825585673985</v>
      </c>
    </row>
    <row r="9" spans="1:11" ht="12.75">
      <c r="A9" s="256" t="s">
        <v>549</v>
      </c>
      <c r="B9" s="257">
        <f>B7*(1-0.2)</f>
        <v>7024</v>
      </c>
      <c r="C9" s="257">
        <f>B9*0.26417</f>
        <v>1855.53008</v>
      </c>
      <c r="D9" s="419">
        <f>($C$7-C9)/$C$7</f>
        <v>0.20000000000000004</v>
      </c>
      <c r="F9" s="254" t="s">
        <v>454</v>
      </c>
      <c r="G9" s="254">
        <v>13453000</v>
      </c>
      <c r="H9" s="254">
        <v>22869000</v>
      </c>
      <c r="I9" s="254">
        <f t="shared" si="0"/>
        <v>36322000</v>
      </c>
      <c r="J9" s="255">
        <f t="shared" si="1"/>
        <v>0.37038158691702</v>
      </c>
      <c r="K9" s="255">
        <f t="shared" si="2"/>
        <v>0.62961841308298</v>
      </c>
    </row>
    <row r="10" spans="1:11" ht="12.75">
      <c r="A10" s="256" t="s">
        <v>550</v>
      </c>
      <c r="B10" s="257">
        <f>C10*3.785</f>
        <v>11652.122500000001</v>
      </c>
      <c r="C10" s="257">
        <v>3078.5</v>
      </c>
      <c r="D10" s="419"/>
      <c r="F10" s="254" t="s">
        <v>456</v>
      </c>
      <c r="G10" s="254">
        <v>334000</v>
      </c>
      <c r="H10" s="254">
        <v>762000</v>
      </c>
      <c r="I10" s="254">
        <f t="shared" si="0"/>
        <v>1096000</v>
      </c>
      <c r="J10" s="255">
        <f t="shared" si="1"/>
        <v>0.30474452554744524</v>
      </c>
      <c r="K10" s="255">
        <f t="shared" si="2"/>
        <v>0.6952554744525548</v>
      </c>
    </row>
    <row r="11" spans="1:11" ht="12.75">
      <c r="A11" s="254"/>
      <c r="B11" s="254"/>
      <c r="C11" s="254"/>
      <c r="F11" s="254" t="s">
        <v>554</v>
      </c>
      <c r="G11" s="254">
        <v>2644000</v>
      </c>
      <c r="H11" s="254">
        <v>6833000</v>
      </c>
      <c r="I11" s="254">
        <f t="shared" si="0"/>
        <v>9477000</v>
      </c>
      <c r="J11" s="255">
        <f t="shared" si="1"/>
        <v>0.27899124195420494</v>
      </c>
      <c r="K11" s="255">
        <f t="shared" si="2"/>
        <v>0.7210087580457951</v>
      </c>
    </row>
    <row r="12" spans="1:11" ht="12.75">
      <c r="A12" s="254" t="s">
        <v>552</v>
      </c>
      <c r="B12" s="254"/>
      <c r="C12" s="258">
        <f>C7-(C8+C9)/2</f>
        <v>927.7650400000002</v>
      </c>
      <c r="F12" s="254" t="s">
        <v>556</v>
      </c>
      <c r="G12" s="254">
        <v>147000</v>
      </c>
      <c r="H12" s="254">
        <v>802000</v>
      </c>
      <c r="I12" s="254">
        <f t="shared" si="0"/>
        <v>949000</v>
      </c>
      <c r="J12" s="255">
        <f t="shared" si="1"/>
        <v>0.15489989462592202</v>
      </c>
      <c r="K12" s="255">
        <f t="shared" si="2"/>
        <v>0.845100105374078</v>
      </c>
    </row>
    <row r="13" spans="1:13" ht="12.75">
      <c r="A13" s="254" t="s">
        <v>475</v>
      </c>
      <c r="B13" s="254"/>
      <c r="C13" s="255">
        <v>0.5</v>
      </c>
      <c r="F13" s="254" t="s">
        <v>507</v>
      </c>
      <c r="G13" s="254">
        <v>373930000</v>
      </c>
      <c r="H13" s="254">
        <v>135346000</v>
      </c>
      <c r="I13" s="254">
        <f t="shared" si="0"/>
        <v>509276000</v>
      </c>
      <c r="J13" s="255">
        <f t="shared" si="1"/>
        <v>0.734238409035572</v>
      </c>
      <c r="K13" s="255">
        <f t="shared" si="2"/>
        <v>0.2657615909644279</v>
      </c>
      <c r="L13" s="284"/>
      <c r="M13" s="284"/>
    </row>
    <row r="14" spans="1:13" ht="12.75">
      <c r="A14" s="254" t="s">
        <v>419</v>
      </c>
      <c r="B14" s="254"/>
      <c r="C14" s="257">
        <f>C10*C13</f>
        <v>1539.25</v>
      </c>
      <c r="F14" s="37" t="s">
        <v>754</v>
      </c>
      <c r="G14" s="37"/>
      <c r="H14" s="37"/>
      <c r="I14" s="37"/>
      <c r="J14" s="37"/>
      <c r="K14" s="37"/>
      <c r="L14" s="284"/>
      <c r="M14" s="284"/>
    </row>
    <row r="15" spans="1:24" s="316" customFormat="1" ht="12.75">
      <c r="A15" s="315"/>
      <c r="K15" s="317"/>
      <c r="L15" s="317"/>
      <c r="M15" s="317"/>
      <c r="V15" s="318"/>
      <c r="W15" s="318"/>
      <c r="X15" s="318"/>
    </row>
    <row r="16" spans="1:10" ht="36" customHeight="1" thickBot="1">
      <c r="A16" s="498" t="s">
        <v>798</v>
      </c>
      <c r="B16" s="499"/>
      <c r="C16" s="499"/>
      <c r="D16" s="499"/>
      <c r="E16" s="499"/>
      <c r="F16" s="499"/>
      <c r="G16" s="499"/>
      <c r="H16" s="499"/>
      <c r="I16" s="499"/>
      <c r="J16" s="64" t="s">
        <v>574</v>
      </c>
    </row>
    <row r="17" spans="1:9" ht="63.75">
      <c r="A17" t="s">
        <v>799</v>
      </c>
      <c r="B17" t="s">
        <v>800</v>
      </c>
      <c r="D17" s="46" t="s">
        <v>801</v>
      </c>
      <c r="E17" s="45" t="s">
        <v>802</v>
      </c>
      <c r="F17" s="45" t="s">
        <v>803</v>
      </c>
      <c r="G17" s="269" t="s">
        <v>541</v>
      </c>
      <c r="H17" s="269" t="s">
        <v>542</v>
      </c>
      <c r="I17" s="44" t="s">
        <v>261</v>
      </c>
    </row>
    <row r="18" spans="1:12" ht="13.5" thickBot="1">
      <c r="A18" t="s">
        <v>262</v>
      </c>
      <c r="B18" s="221">
        <v>50577712000</v>
      </c>
      <c r="D18" s="43"/>
      <c r="E18" s="41" t="s">
        <v>263</v>
      </c>
      <c r="F18" s="42" t="s">
        <v>264</v>
      </c>
      <c r="G18" s="41" t="s">
        <v>265</v>
      </c>
      <c r="H18" s="41" t="s">
        <v>266</v>
      </c>
      <c r="I18" s="40" t="s">
        <v>267</v>
      </c>
      <c r="L18" s="29" t="s">
        <v>555</v>
      </c>
    </row>
    <row r="19" spans="1:13" ht="13.5" thickTop="1">
      <c r="A19" t="s">
        <v>268</v>
      </c>
      <c r="B19" s="31">
        <v>0.002</v>
      </c>
      <c r="C19" s="30"/>
      <c r="D19" s="25">
        <v>2005</v>
      </c>
      <c r="E19" s="23">
        <f>IF(D19&lt;=B23,B18*EXP(B19*(D19-D19)),"")</f>
        <v>50577712000</v>
      </c>
      <c r="F19" s="24">
        <f>IF(D19&gt;B23,"",IF(B21&gt;D19,"",IF(B21=D19,B22,IF(B21&lt;D19,(D19-B21)*B25+B22,B24))))</f>
        <v>0.01</v>
      </c>
      <c r="G19" s="23">
        <f>IF(ISERR(F19*E19),IF(D19&gt;B23,G18,""),F19*E19)</f>
        <v>505777120</v>
      </c>
      <c r="H19" s="39"/>
      <c r="I19" s="38"/>
      <c r="L19" s="29" t="s">
        <v>543</v>
      </c>
      <c r="M19" s="226">
        <f>INDEX($F$6:$K$13,MATCH($L$18,$F$6:$F$13,),MATCH(L19,$F$6:$K$6,))</f>
        <v>0.2612173234490831</v>
      </c>
    </row>
    <row r="20" spans="1:13" ht="12.75">
      <c r="A20" t="s">
        <v>797</v>
      </c>
      <c r="B20" s="270" t="s">
        <v>545</v>
      </c>
      <c r="D20" s="25">
        <v>2006</v>
      </c>
      <c r="E20" s="23">
        <f>IF(D20&lt;=B23,B18*EXP(B19*(D20-D19)),"")</f>
        <v>50678968646.894684</v>
      </c>
      <c r="F20" s="24">
        <f>IF(D20&gt;B23,"",IF(B21&gt;D20,"",IF(B21=D20,B22,IF(B21&lt;D20,(D20-B21)*B25+B22,B24))))</f>
        <v>0.016</v>
      </c>
      <c r="G20" s="23">
        <f>IF(ISERR(F20*E20),IF(D20&gt;B23,G19,""),F20*E20)</f>
        <v>810863498.350315</v>
      </c>
      <c r="H20" s="23"/>
      <c r="I20" s="34"/>
      <c r="L20" s="29" t="s">
        <v>544</v>
      </c>
      <c r="M20" s="226">
        <f>INDEX($F$6:$K$13,MATCH($L$18,$F$6:$F$13,),MATCH(L20,$F$6:$K$6,))</f>
        <v>0.7387826765509169</v>
      </c>
    </row>
    <row r="21" spans="1:9" ht="12.75">
      <c r="A21" t="s">
        <v>752</v>
      </c>
      <c r="B21" s="37">
        <v>2005</v>
      </c>
      <c r="D21" s="25">
        <v>2007</v>
      </c>
      <c r="E21" s="23">
        <f>IF(D21&lt;=B23,B18*EXP(B19*(D21-D19)),"")</f>
        <v>50780428009.73152</v>
      </c>
      <c r="F21" s="24">
        <f>IF(D21&gt;B23,"",IF(B21&gt;D21,"",IF(B21=D21,B22,IF(B21&lt;D21,(D21-B21)*B25+B22,B24))))</f>
        <v>0.022000000000000002</v>
      </c>
      <c r="G21" s="23">
        <f>IF(ISERR(F21*E21),IF(D21&gt;B23,G20,""),F21*E21)</f>
        <v>1117169416.2140937</v>
      </c>
      <c r="H21" s="23"/>
      <c r="I21" s="34"/>
    </row>
    <row r="22" spans="1:9" ht="12.75">
      <c r="A22" s="33" t="s">
        <v>252</v>
      </c>
      <c r="B22" s="36">
        <v>0.01</v>
      </c>
      <c r="C22" s="35"/>
      <c r="D22" s="25">
        <v>2008</v>
      </c>
      <c r="E22" s="23">
        <f>IF(D22&lt;=B23,B18*EXP(B19*(D22-D19)),"")</f>
        <v>50882090494.348114</v>
      </c>
      <c r="F22" s="24">
        <f>IF(D22&gt;B23,"",IF(B21&gt;D22,"",IF(B21=D22,B22,IF(B21&lt;D22,(D22-B21)*B25+B22,B24))))</f>
        <v>0.028000000000000004</v>
      </c>
      <c r="G22" s="23">
        <f>IF(ISERR(F22*E22),IF(D22&gt;B23,G21,""),F22*E22)</f>
        <v>1424698533.8417473</v>
      </c>
      <c r="H22" s="23"/>
      <c r="I22" s="34"/>
    </row>
    <row r="23" spans="1:9" ht="12.75">
      <c r="A23" t="s">
        <v>753</v>
      </c>
      <c r="B23" s="32">
        <v>2020</v>
      </c>
      <c r="C23" s="30"/>
      <c r="D23" s="25">
        <v>2009</v>
      </c>
      <c r="E23" s="23">
        <f>IF(D23&lt;=B23,B18*EXP(B19*(D23-D19)),"")</f>
        <v>50983956507.394516</v>
      </c>
      <c r="F23" s="24">
        <f>IF(D23&gt;B23,"",IF(B21&gt;D23,"",IF(B21=D23,B22,IF(B21&lt;D23,(D23-B21)*B25+B22,B24))))</f>
        <v>0.034</v>
      </c>
      <c r="G23" s="23">
        <f>IF(ISERR(F23*E23),IF(D23&gt;B23,G22,""),F23*E23)</f>
        <v>1733454521.2514136</v>
      </c>
      <c r="H23" s="22">
        <f>IF(ISERR(G23-G22),"",(G23-G22))</f>
        <v>308755987.4096663</v>
      </c>
      <c r="I23" s="21">
        <f aca="true" t="shared" si="3" ref="I23:I44">H23*($M$19*$C$12+$M$20*$C$14)</f>
        <v>425934916309.35034</v>
      </c>
    </row>
    <row r="24" spans="1:9" ht="12.75">
      <c r="A24" t="s">
        <v>251</v>
      </c>
      <c r="B24" s="31">
        <v>0.1</v>
      </c>
      <c r="C24" s="30"/>
      <c r="D24" s="25">
        <v>2010</v>
      </c>
      <c r="E24" s="23">
        <f>IF(D24&lt;=B23,B18*EXP(B19*(D24-D19)),"")</f>
        <v>51086026456.33492</v>
      </c>
      <c r="F24" s="24">
        <f>IF(D24&gt;B23,"",IF(B21&gt;D24,"",IF(B21=D24,B22,IF(B21&lt;D24,(D24-B21)*B25+B22,B24))))</f>
        <v>0.04000000000000001</v>
      </c>
      <c r="G24" s="23">
        <f>IF(ISERR(F24*E24),IF(D24&gt;B23,G23,""),F24*E24)</f>
        <v>2043441058.2533972</v>
      </c>
      <c r="H24" s="22">
        <f>IF(ISERR(G24-G22),"",(G24-G22))</f>
        <v>618742524.41165</v>
      </c>
      <c r="I24" s="21">
        <f t="shared" si="3"/>
        <v>853567399820.605</v>
      </c>
    </row>
    <row r="25" spans="1:9" ht="12.75">
      <c r="A25" s="29" t="s">
        <v>723</v>
      </c>
      <c r="B25" s="28">
        <f>(B24-B22)/(B23-B21)</f>
        <v>0.006000000000000001</v>
      </c>
      <c r="D25" s="25">
        <v>2011</v>
      </c>
      <c r="E25" s="23">
        <f>IF(D25&lt;=B23,B18*EXP(B19*(D25-D19)),"")</f>
        <v>51188300749.44929</v>
      </c>
      <c r="F25" s="24">
        <f>IF(D25&gt;B23,"",IF(B21&gt;D25,"",IF(B21=D25,B22,IF(B21&lt;D25,(D25-B21)*B25+B22,B24))))</f>
        <v>0.046000000000000006</v>
      </c>
      <c r="G25" s="23">
        <f>IF(ISERR(F25*E25),IF(D25&gt;B23,G24,""),F25*E25)</f>
        <v>2354661834.4746675</v>
      </c>
      <c r="H25" s="22">
        <f>IF(ISERR(G25-G22),"",(G25-G22))</f>
        <v>929963300.6329203</v>
      </c>
      <c r="I25" s="21">
        <f t="shared" si="3"/>
        <v>1282902540446.2463</v>
      </c>
    </row>
    <row r="26" spans="1:9" ht="12.75">
      <c r="A26"/>
      <c r="D26" s="25">
        <v>2012</v>
      </c>
      <c r="E26" s="23">
        <f>IF(D26&lt;=B23,B18*EXP(B19*(D26-D19)),"")</f>
        <v>51290779795.834885</v>
      </c>
      <c r="F26" s="24">
        <f>IF(D26&gt;B23,"",IF(B21&gt;D26,"",IF(B21=D26,B22,IF(B21&lt;D26,(D26-B21)*B25+B22,B24))))</f>
        <v>0.05200000000000001</v>
      </c>
      <c r="G26" s="23">
        <f>IF(ISERR(F26*E26),IF(D26&gt;B23,G25,""),F26*E26)</f>
        <v>2667120549.3834147</v>
      </c>
      <c r="H26" s="22">
        <f>IF(ISERR(G26-G22),"",(G26-G22))</f>
        <v>1242422015.5416675</v>
      </c>
      <c r="I26" s="21">
        <f t="shared" si="3"/>
        <v>1713945441674.9136</v>
      </c>
    </row>
    <row r="27" spans="1:9" ht="12.75">
      <c r="A27"/>
      <c r="D27" s="25">
        <v>2013</v>
      </c>
      <c r="E27" s="23">
        <f>IF(D27&lt;=B23,B18*EXP(B19*(D27-D19)),"")</f>
        <v>51393464005.40807</v>
      </c>
      <c r="F27" s="24">
        <f>IF(D27&gt;B23,"",IF(B21&gt;D27,"",IF(B21=D27,B22,IF(B21&lt;D27,(D27-B21)*B25+B22,B24))))</f>
        <v>0.05800000000000001</v>
      </c>
      <c r="G27" s="23">
        <f>IF(ISERR(F27*E27),IF(D27&gt;B23,G26,""),F27*E27)</f>
        <v>2980820912.3136687</v>
      </c>
      <c r="H27" s="22">
        <f>IF(ISERR(G27-G22),"",(G27-G22))</f>
        <v>1556122378.4719214</v>
      </c>
      <c r="I27" s="21">
        <f t="shared" si="3"/>
        <v>2146701220605.3643</v>
      </c>
    </row>
    <row r="28" spans="1:9" ht="12.75">
      <c r="A28" t="s">
        <v>33</v>
      </c>
      <c r="B28" s="27">
        <f>VLOOKUP(B23,D19:I44,6,FALSE)</f>
        <v>5224384958952.824</v>
      </c>
      <c r="D28" s="25">
        <v>2014</v>
      </c>
      <c r="E28" s="23">
        <f>IF(D28&lt;=B23,B18*EXP(B19*(D28-D19)),"")</f>
        <v>51496353788.905785</v>
      </c>
      <c r="F28" s="24">
        <f>IF(D28&gt;B23,"",IF(B21&gt;D28,"",IF(B21=D28,B22,IF(B21&lt;D28,(D28-B21)*B25+B22,B24))))</f>
        <v>0.064</v>
      </c>
      <c r="G28" s="23">
        <f>IF(ISERR(F28*E28),IF(D28&gt;B23,G27,""),F28*E28)</f>
        <v>3295766642.48997</v>
      </c>
      <c r="H28" s="22">
        <f>IF(ISERR(G28-G22),"",(G28-G22))</f>
        <v>1871068108.648223</v>
      </c>
      <c r="I28" s="21">
        <f t="shared" si="3"/>
        <v>2581175007980.509</v>
      </c>
    </row>
    <row r="29" spans="1:9" ht="12.75">
      <c r="A29" t="s">
        <v>77</v>
      </c>
      <c r="B29" s="27">
        <f>SUM(I23:I44)</f>
        <v>85955934099755.28</v>
      </c>
      <c r="D29" s="25">
        <v>2015</v>
      </c>
      <c r="E29" s="23">
        <f>IF(D29&lt;=B23,B18*EXP(B19*(D29-D19)),"")</f>
        <v>51599449557.88733</v>
      </c>
      <c r="F29" s="24">
        <f>IF(D29&gt;B23,"",IF(B21&gt;D29,"",IF(B21=D29,B22,IF(B21&lt;D29,(D29-B21)*B25+B22,B24))))</f>
        <v>0.07</v>
      </c>
      <c r="G29" s="23">
        <f>IF(ISERR(F29*E29),IF(D29&gt;B23,G28,""),F29*E29)</f>
        <v>3611961469.0521135</v>
      </c>
      <c r="H29" s="22">
        <f>IF(ISERR(G29-G22),"",(G29-G22))</f>
        <v>2187262935.2103662</v>
      </c>
      <c r="I29" s="21">
        <f t="shared" si="3"/>
        <v>3017371948221.5444</v>
      </c>
    </row>
    <row r="30" spans="1:9" ht="12.75">
      <c r="A30" t="s">
        <v>76</v>
      </c>
      <c r="B30" s="391">
        <f>B28/(10^12)</f>
        <v>5.224384958952824</v>
      </c>
      <c r="D30" s="25">
        <v>2016</v>
      </c>
      <c r="E30" s="23">
        <f>IF(D30&lt;=B23,B18*EXP(B19*(D30-D19)),"")</f>
        <v>51702751724.73589</v>
      </c>
      <c r="F30" s="24">
        <f>IF(D30&gt;B23,"",IF(B21&gt;D30,"",IF(B21=D30,B22,IF(B21&lt;D30,(D30-B21)*B25+B22,B24))))</f>
        <v>0.07600000000000001</v>
      </c>
      <c r="G30" s="23">
        <f>IF(ISERR(F30*E30),IF(D30&gt;B23,G29,""),F30*E30)</f>
        <v>3929409131.0799284</v>
      </c>
      <c r="H30" s="22">
        <f>IF(ISERR(G30-G22),"",(G30-G22))</f>
        <v>2504710597.238181</v>
      </c>
      <c r="I30" s="21">
        <f t="shared" si="3"/>
        <v>3455297199462.1396</v>
      </c>
    </row>
    <row r="31" spans="1:9" ht="12.75">
      <c r="A31" t="s">
        <v>786</v>
      </c>
      <c r="B31" s="391">
        <f>B29/(10^12)</f>
        <v>85.95593409975528</v>
      </c>
      <c r="D31" s="25">
        <v>2017</v>
      </c>
      <c r="E31" s="23">
        <f>IF(D31&lt;=B23,B18*EXP(B19*(D31-D19)),"")</f>
        <v>51806260702.6603</v>
      </c>
      <c r="F31" s="24">
        <f>IF(D31&gt;B23,"",IF(B21&gt;D31,"",IF(B21=D31,B22,IF(B21&lt;D31,(D31-B21)*B25+B22,B24))))</f>
        <v>0.082</v>
      </c>
      <c r="G31" s="23">
        <f>IF(ISERR(F31*E31),IF(D31&gt;B23,G30,""),F31*E31)</f>
        <v>4248113377.618145</v>
      </c>
      <c r="H31" s="22">
        <f>IF(ISERR(G31-G22),"",(G31-G22))</f>
        <v>2823414843.7763977</v>
      </c>
      <c r="I31" s="21">
        <f t="shared" si="3"/>
        <v>3894955933582.7397</v>
      </c>
    </row>
    <row r="32" spans="1:9" ht="12.75">
      <c r="A32" s="74" t="s">
        <v>551</v>
      </c>
      <c r="B32" s="109">
        <f>SUM(H23:H44)/(10^6)</f>
        <v>62308.60230161303</v>
      </c>
      <c r="D32" s="25">
        <v>2018</v>
      </c>
      <c r="E32" s="23">
        <f>IF(D32&lt;=B23,B18*EXP(B19*(D32-D19)),"")</f>
        <v>51909976905.696594</v>
      </c>
      <c r="F32" s="24">
        <f>IF(D32&gt;B23,"",IF(B21&gt;D32,"",IF(B21=D32,B22,IF(B21&lt;D32,(D32-B21)*B25+B22,B24))))</f>
        <v>0.08800000000000001</v>
      </c>
      <c r="G32" s="23">
        <f>IF(ISERR(F32*E32),IF(D32&gt;B23,G31,""),F32*E32)</f>
        <v>4568077967.701301</v>
      </c>
      <c r="H32" s="22">
        <f>IF(ISERR(G32-G22),"",(G32-G22))</f>
        <v>3143379433.8595533</v>
      </c>
      <c r="I32" s="21">
        <f t="shared" si="3"/>
        <v>4336353336244.9233</v>
      </c>
    </row>
    <row r="33" spans="1:9" ht="12.75">
      <c r="A33" s="74" t="s">
        <v>780</v>
      </c>
      <c r="B33" s="392">
        <f>VLOOKUP(B23,D19:H44,5,FALSE)/(10^6)</f>
        <v>3787.1047308977736</v>
      </c>
      <c r="D33" s="25">
        <v>2019</v>
      </c>
      <c r="E33" s="23">
        <f>IF(D33&lt;=B23,B18*EXP(B19*(D33-D19)),"")</f>
        <v>52013900748.709724</v>
      </c>
      <c r="F33" s="24">
        <f>IF(D33&gt;B23,"",IF(B21&gt;D33,"",IF(B21=D33,B22,IF(B21&lt;D33,(D33-B21)*B25+B22,B24))))</f>
        <v>0.09400000000000001</v>
      </c>
      <c r="G33" s="23">
        <f>IF(ISERR(F33*E33),IF(D33&gt;B23,G32,""),F33*E33)</f>
        <v>4889306670.378715</v>
      </c>
      <c r="H33" s="22">
        <f>IF(ISERR(G33-G22),"",(G33-G22))</f>
        <v>3464608136.5369673</v>
      </c>
      <c r="I33" s="21">
        <f t="shared" si="3"/>
        <v>4779494606925.855</v>
      </c>
    </row>
    <row r="34" spans="1:9" ht="12.75">
      <c r="A34" t="s">
        <v>34</v>
      </c>
      <c r="B34" s="37">
        <v>675.98</v>
      </c>
      <c r="D34" s="25">
        <v>2020</v>
      </c>
      <c r="E34" s="23">
        <f>IF(D34&lt;=B23,B18*EXP(B19*(D34-D19)),"")</f>
        <v>52118032647.3952</v>
      </c>
      <c r="F34" s="24">
        <f>IF(D34&gt;B23,"",IF(B21&gt;D34,"",IF(B21=D34,B22,IF(B21&lt;D34,(D34-B21)*B25+B22,B24))))</f>
        <v>0.1</v>
      </c>
      <c r="G34" s="23">
        <f>IF(ISERR(F34*E34),IF(D34&gt;B23,G33,""),F34*E34)</f>
        <v>5211803264.739521</v>
      </c>
      <c r="H34" s="22">
        <f>IF(ISERR(G34-G22),"",(G34-G22))</f>
        <v>3787104730.8977737</v>
      </c>
      <c r="I34" s="21">
        <f t="shared" si="3"/>
        <v>5224384958952.824</v>
      </c>
    </row>
    <row r="35" spans="1:9" ht="12.75">
      <c r="A35" t="s">
        <v>101</v>
      </c>
      <c r="B35" s="29">
        <f>B34*1.58987*10^5</f>
        <v>107472032.25999999</v>
      </c>
      <c r="D35" s="25">
        <v>2021</v>
      </c>
      <c r="E35" s="23">
        <f>IF(D35&lt;=B23,B18*EXP(B19*(D35-D19)),"")</f>
      </c>
      <c r="F35" s="24">
        <f>IF(D35&gt;B23,"",IF(B21&gt;D35,"",IF(B21=D35,B22,IF(B21&lt;D35,(D35-B21)*B25+B22,B24))))</f>
      </c>
      <c r="G35" s="23">
        <f>IF(ISERR(F35*E35),IF(D35&gt;B23,G34,""),F35*E35)</f>
        <v>5211803264.739521</v>
      </c>
      <c r="H35" s="22">
        <f>IF(ISERR(G35-G22),"",(G35-G22))</f>
        <v>3787104730.8977737</v>
      </c>
      <c r="I35" s="21">
        <f t="shared" si="3"/>
        <v>5224384958952.824</v>
      </c>
    </row>
    <row r="36" spans="1:9" ht="12.75">
      <c r="A36"/>
      <c r="D36" s="25">
        <v>2022</v>
      </c>
      <c r="E36" s="23">
        <f>IF(D36&lt;=B23,B18*EXP(B19*(D36-D19)),"")</f>
      </c>
      <c r="F36" s="24">
        <f>IF(D36&gt;B23,"",IF(B21&gt;D36,"",IF(B21=D36,B22,IF(B21&lt;D36,(D36-B21)*B25+B22,B24))))</f>
      </c>
      <c r="G36" s="23">
        <f>IF(ISERR(F36*E36),IF(D36&gt;B23,G35,""),F36*E36)</f>
        <v>5211803264.739521</v>
      </c>
      <c r="H36" s="22">
        <f>IF(ISERR(G36-G22),"",(G36-G22))</f>
        <v>3787104730.8977737</v>
      </c>
      <c r="I36" s="21">
        <f t="shared" si="3"/>
        <v>5224384958952.824</v>
      </c>
    </row>
    <row r="37" spans="1:9" ht="12.75">
      <c r="A37" t="s">
        <v>34</v>
      </c>
      <c r="B37" s="29">
        <f>B38/(1.58987*10^5)</f>
        <v>675.9799999999999</v>
      </c>
      <c r="D37" s="25">
        <v>2023</v>
      </c>
      <c r="E37" s="23">
        <f>IF(D37&lt;=B23,B18*EXP(B19*(D37-D19)),"")</f>
      </c>
      <c r="F37" s="24">
        <f>IF(D37&gt;B23,"",IF(B21&gt;D37,"",IF(B21=D37,B22,IF(B21&lt;D37,(D37-B21)*B25+B22,B24))))</f>
      </c>
      <c r="G37" s="23">
        <f>IF(ISERR(F37*E37),IF(D37&gt;B23,G36,""),F37*E37)</f>
        <v>5211803264.739521</v>
      </c>
      <c r="H37" s="22">
        <f>IF(ISERR(G37-G22),"",(G37-G22))</f>
        <v>3787104730.8977737</v>
      </c>
      <c r="I37" s="21">
        <f t="shared" si="3"/>
        <v>5224384958952.824</v>
      </c>
    </row>
    <row r="38" spans="1:9" ht="12.75">
      <c r="A38" t="s">
        <v>101</v>
      </c>
      <c r="B38" s="37">
        <v>107472032.25999999</v>
      </c>
      <c r="D38" s="25">
        <v>2024</v>
      </c>
      <c r="E38" s="23">
        <f>IF(D38&lt;=B23,B18*EXP(B19*(D38-D19)),"")</f>
      </c>
      <c r="F38" s="24">
        <f>IF(D38&gt;B23,"",IF(B21&gt;D38,"",IF(B21=D38,B22,IF(B21&lt;D38,(D38-B21)*B25+B22,B24))))</f>
      </c>
      <c r="G38" s="23">
        <f>IF(ISERR(F38*E38),IF(D38&gt;B23,G37,""),F38*E38)</f>
        <v>5211803264.739521</v>
      </c>
      <c r="H38" s="22">
        <f>IF(ISERR(G38-G22),"",(G38-G22))</f>
        <v>3787104730.8977737</v>
      </c>
      <c r="I38" s="21">
        <f t="shared" si="3"/>
        <v>5224384958952.824</v>
      </c>
    </row>
    <row r="39" spans="1:9" ht="12.75">
      <c r="A39"/>
      <c r="D39" s="25">
        <v>2025</v>
      </c>
      <c r="E39" s="23">
        <f>IF(D39&lt;=B23,B18*EXP(B19*(D39-D19)),"")</f>
      </c>
      <c r="F39" s="24">
        <f>IF(D39&gt;B23,"",IF(B21&gt;D39,"",IF(B21=D39,B22,IF(B21&lt;D39,(D39-B21)*B25+B22,B24))))</f>
      </c>
      <c r="G39" s="23">
        <f>IF(ISERR(F39*E39),IF(D39&gt;B23,G38,""),F39*E39)</f>
        <v>5211803264.739521</v>
      </c>
      <c r="H39" s="22">
        <f>IF(ISERR(G39-G22),"",(G39-G22))</f>
        <v>3787104730.8977737</v>
      </c>
      <c r="I39" s="21">
        <f t="shared" si="3"/>
        <v>5224384958952.824</v>
      </c>
    </row>
    <row r="40" spans="1:9" ht="12.75">
      <c r="A40" s="452" t="s">
        <v>794</v>
      </c>
      <c r="B40" s="452"/>
      <c r="D40" s="25">
        <v>2026</v>
      </c>
      <c r="E40" s="23">
        <f>IF(D40&lt;=B23,B18*EXP(B19*(D40-D19)),"")</f>
      </c>
      <c r="F40" s="24">
        <f>IF(D40&gt;B23,"",IF(B21&gt;D40,"",IF(B21=D40,B22,IF(B21&lt;D40,(D40-B21)*B25+B22,B24))))</f>
      </c>
      <c r="G40" s="23">
        <f>IF(ISERR(F40*E40),IF(D40&gt;B23,G39,""),F40*E40)</f>
        <v>5211803264.739521</v>
      </c>
      <c r="H40" s="22">
        <f>IF(ISERR(G40-G22),"",(G40-G22))</f>
        <v>3787104730.8977737</v>
      </c>
      <c r="I40" s="21">
        <f t="shared" si="3"/>
        <v>5224384958952.824</v>
      </c>
    </row>
    <row r="41" spans="1:9" ht="12.75">
      <c r="A41" s="452"/>
      <c r="B41" s="452"/>
      <c r="D41" s="25">
        <v>2027</v>
      </c>
      <c r="E41" s="23">
        <f>IF(D41&lt;=B23,B18*EXP(B19*(D41-D19)),"")</f>
      </c>
      <c r="F41" s="24">
        <f>IF(D41&gt;B23,"",IF(B21&gt;D41,"",IF(B21=D41,B22,IF(B21&lt;D41,(D41-B21)*B25+B22,B24))))</f>
      </c>
      <c r="G41" s="23">
        <f>IF(ISERR(F41*E41),IF(D41&gt;B23,G40,""),F41*E41)</f>
        <v>5211803264.739521</v>
      </c>
      <c r="H41" s="22">
        <f>IF(ISERR(G41-G22),"",(G41-G22))</f>
        <v>3787104730.8977737</v>
      </c>
      <c r="I41" s="21">
        <f t="shared" si="3"/>
        <v>5224384958952.824</v>
      </c>
    </row>
    <row r="42" spans="1:9" ht="12.75">
      <c r="A42" s="453"/>
      <c r="B42" s="453"/>
      <c r="D42" s="25">
        <v>2028</v>
      </c>
      <c r="E42" s="23">
        <f>IF(D42&lt;=B23,B18*EXP(B19*(D42-D19)),"")</f>
      </c>
      <c r="F42" s="24">
        <f>IF(D42&gt;B23,"",IF(B21&gt;D42,"",IF(B21=D42,B22,IF(B21&lt;D42,(D42-B21)*B25+B22,B24))))</f>
      </c>
      <c r="G42" s="23">
        <f>IF(ISERR(F42*E42),IF(D42&gt;B23,G41,""),F42*E42)</f>
        <v>5211803264.739521</v>
      </c>
      <c r="H42" s="22">
        <f>IF(ISERR(G42-G22),"",(G42-G22))</f>
        <v>3787104730.8977737</v>
      </c>
      <c r="I42" s="21">
        <f t="shared" si="3"/>
        <v>5224384958952.824</v>
      </c>
    </row>
    <row r="43" spans="1:9" ht="12.75">
      <c r="A43"/>
      <c r="D43" s="25">
        <v>2029</v>
      </c>
      <c r="E43" s="23">
        <f>IF(D43&lt;=B23,B18*EXP(B19*(D43-D19)),"")</f>
      </c>
      <c r="F43" s="24">
        <f>IF(D43&gt;B23,"",IF(B21&gt;D43,"",IF(B21=D43,B22,IF(B21&lt;D43,(D43-B21)*B25+B22,B24))))</f>
      </c>
      <c r="G43" s="23">
        <f>IF(ISERR(F43*E43),IF(D43&gt;B23,G42,""),F43*E43)</f>
        <v>5211803264.739521</v>
      </c>
      <c r="H43" s="22">
        <f>IF(ISERR(G43-G22),"",(G43-G22))</f>
        <v>3787104730.8977737</v>
      </c>
      <c r="I43" s="21">
        <f t="shared" si="3"/>
        <v>5224384958952.824</v>
      </c>
    </row>
    <row r="44" spans="1:9" ht="13.5" thickBot="1">
      <c r="A44"/>
      <c r="D44" s="20">
        <v>2030</v>
      </c>
      <c r="E44" s="18">
        <f>IF(D44&lt;=B23,B18*EXP(B19*(D44-D19)),"")</f>
      </c>
      <c r="F44" s="19">
        <f>IF(D44&gt;B23,"",IF(B21&gt;D44,"",IF(B21=D44,B22,IF(B21&lt;D44,(D44-B21)*B25+B22,B24))))</f>
      </c>
      <c r="G44" s="18">
        <f>IF(ISERR(F44*E44),IF(D44&gt;B23,G43,""),F44*E44)</f>
        <v>5211803264.739521</v>
      </c>
      <c r="H44" s="17">
        <f>IF(ISERR(G44-G22),"",(G44-G22))</f>
        <v>3787104730.8977737</v>
      </c>
      <c r="I44" s="16">
        <f t="shared" si="3"/>
        <v>5224384958952.824</v>
      </c>
    </row>
    <row r="45" spans="4:13" ht="12.75">
      <c r="D45" s="68" t="s">
        <v>1061</v>
      </c>
      <c r="E45" t="s">
        <v>583</v>
      </c>
      <c r="K45" s="63"/>
      <c r="L45" s="223"/>
      <c r="M45" s="224"/>
    </row>
    <row r="46" spans="4:13" ht="12.75">
      <c r="D46" s="116" t="s">
        <v>1061</v>
      </c>
      <c r="E46" s="47" t="s">
        <v>584</v>
      </c>
      <c r="K46" s="63"/>
      <c r="L46" s="223"/>
      <c r="M46" s="224"/>
    </row>
    <row r="47" spans="2:13" ht="12.75">
      <c r="B47" s="67"/>
      <c r="D47" s="116"/>
      <c r="E47" s="47"/>
      <c r="K47" s="63"/>
      <c r="L47" s="284"/>
      <c r="M47" s="284"/>
    </row>
    <row r="48" spans="1:24" s="316" customFormat="1" ht="12.75">
      <c r="A48" s="315"/>
      <c r="B48" s="319"/>
      <c r="D48" s="320"/>
      <c r="E48" s="321"/>
      <c r="K48" s="317"/>
      <c r="L48" s="317"/>
      <c r="M48" s="317"/>
      <c r="V48" s="318"/>
      <c r="W48" s="318"/>
      <c r="X48" s="318"/>
    </row>
    <row r="49" spans="1:31" s="71" customFormat="1" ht="12.75">
      <c r="A49" s="237"/>
      <c r="B49" s="80"/>
      <c r="C49" s="80"/>
      <c r="D49" s="80"/>
      <c r="E49" s="80"/>
      <c r="F49" s="80"/>
      <c r="I49" s="111"/>
      <c r="L49" s="287"/>
      <c r="M49" s="284"/>
      <c r="N49" s="284"/>
      <c r="O49" s="284"/>
      <c r="P49" s="284"/>
      <c r="Q49" s="284"/>
      <c r="R49" s="284"/>
      <c r="S49" s="284"/>
      <c r="T49" s="284"/>
      <c r="U49" s="284"/>
      <c r="V49" s="285"/>
      <c r="W49" s="285"/>
      <c r="X49" s="285"/>
      <c r="Y49" s="284"/>
      <c r="Z49" s="284"/>
      <c r="AA49" s="284"/>
      <c r="AB49" s="284"/>
      <c r="AC49" s="284"/>
      <c r="AD49" s="284"/>
      <c r="AE49" s="284"/>
    </row>
    <row r="50" spans="1:10" ht="36.75" customHeight="1" thickBot="1">
      <c r="A50" s="498" t="s">
        <v>379</v>
      </c>
      <c r="B50" s="499"/>
      <c r="C50" s="499"/>
      <c r="D50" s="499"/>
      <c r="E50" s="499"/>
      <c r="F50" s="499"/>
      <c r="G50" s="499"/>
      <c r="H50" s="499"/>
      <c r="I50" s="499"/>
      <c r="J50" s="64" t="s">
        <v>421</v>
      </c>
    </row>
    <row r="51" spans="1:9" ht="63.75">
      <c r="A51" t="s">
        <v>269</v>
      </c>
      <c r="B51" t="s">
        <v>270</v>
      </c>
      <c r="D51" s="46" t="s">
        <v>271</v>
      </c>
      <c r="E51" s="45" t="s">
        <v>272</v>
      </c>
      <c r="F51" s="45" t="s">
        <v>803</v>
      </c>
      <c r="G51" s="269" t="s">
        <v>541</v>
      </c>
      <c r="H51" s="269" t="s">
        <v>542</v>
      </c>
      <c r="I51" s="44" t="s">
        <v>261</v>
      </c>
    </row>
    <row r="52" spans="1:12" ht="13.5" thickBot="1">
      <c r="A52" t="s">
        <v>273</v>
      </c>
      <c r="B52" s="221">
        <v>40013440000</v>
      </c>
      <c r="D52" s="43"/>
      <c r="E52" s="41" t="s">
        <v>274</v>
      </c>
      <c r="F52" s="42" t="s">
        <v>275</v>
      </c>
      <c r="G52" s="41" t="s">
        <v>276</v>
      </c>
      <c r="H52" s="41" t="s">
        <v>277</v>
      </c>
      <c r="I52" s="40" t="s">
        <v>278</v>
      </c>
      <c r="L52" s="29" t="s">
        <v>557</v>
      </c>
    </row>
    <row r="53" spans="1:13" ht="13.5" thickTop="1">
      <c r="A53" t="s">
        <v>279</v>
      </c>
      <c r="B53" s="31">
        <v>0.002</v>
      </c>
      <c r="C53" s="30"/>
      <c r="D53" s="25">
        <v>2005</v>
      </c>
      <c r="E53" s="23">
        <f>IF(D53&lt;=B57,B52*EXP(B53*(D53-D53)),"")</f>
        <v>40013440000</v>
      </c>
      <c r="F53" s="24">
        <f>IF(D53&gt;B57,"",IF(B55&gt;D53,"",IF(B55=D53,B56,IF(B55&lt;D53,(D53-B55)*B59+B56,B58))))</f>
        <v>0.0089</v>
      </c>
      <c r="G53" s="23">
        <f>IF(ISERR(F53*E53),IF(D53&gt;B57,G52,""),F53*E53)</f>
        <v>356119616</v>
      </c>
      <c r="H53" s="39"/>
      <c r="I53" s="38"/>
      <c r="L53" s="29" t="s">
        <v>543</v>
      </c>
      <c r="M53" s="226">
        <f>INDEX($F$6:$K$13,MATCH(L52,$F$6:$F$13,),MATCH(L53,$F$6:$K$6,))</f>
        <v>0.2226174414326015</v>
      </c>
    </row>
    <row r="54" spans="1:13" ht="12.75">
      <c r="A54" t="s">
        <v>280</v>
      </c>
      <c r="B54" s="74" t="s">
        <v>545</v>
      </c>
      <c r="D54" s="25">
        <v>2006</v>
      </c>
      <c r="E54" s="23">
        <f>IF(D54&lt;=B57,B52*EXP(B53*(D54-D53)),"")</f>
        <v>40093546960.25794</v>
      </c>
      <c r="F54" s="24">
        <f>IF(D54&gt;B57,"",IF(B55&gt;D54,"",IF(B55=D54,B56,IF(B55&lt;D54,(D54-B55)*B59+B56,B58))))</f>
        <v>0.018779999999999998</v>
      </c>
      <c r="G54" s="23">
        <f>IF(ISERR(F54*E54),IF(D54&gt;B57,G53,""),F54*E54)</f>
        <v>752956811.9136441</v>
      </c>
      <c r="H54" s="23"/>
      <c r="I54" s="34"/>
      <c r="L54" s="29" t="s">
        <v>544</v>
      </c>
      <c r="M54" s="226">
        <f>INDEX($F$6:$K$13,MATCH(L52,$F$6:$F$13,),MATCH(L54,$F$6:$K$6,))</f>
        <v>0.7773825585673985</v>
      </c>
    </row>
    <row r="55" spans="1:9" ht="12.75">
      <c r="A55" t="s">
        <v>281</v>
      </c>
      <c r="B55" s="37">
        <v>2005</v>
      </c>
      <c r="D55" s="25">
        <v>2007</v>
      </c>
      <c r="E55" s="23">
        <f>IF(D55&lt;=B57,B52*EXP(B53*(D55-D53)),"")</f>
        <v>40173814294.75718</v>
      </c>
      <c r="F55" s="24">
        <f>IF(D55&gt;B57,"",IF(B55&gt;D55,"",IF(B55=D55,B56,IF(B55&lt;D55,(D55-B55)*B59+B56,B58))))</f>
        <v>0.028659999999999998</v>
      </c>
      <c r="G55" s="23">
        <f>IF(ISERR(F55*E55),IF(D55&gt;B57,G54,""),F55*E55)</f>
        <v>1151381517.6877406</v>
      </c>
      <c r="H55" s="23"/>
      <c r="I55" s="34"/>
    </row>
    <row r="56" spans="1:9" ht="12.75">
      <c r="A56" s="33" t="s">
        <v>282</v>
      </c>
      <c r="B56" s="36">
        <v>0.0089</v>
      </c>
      <c r="C56" s="35"/>
      <c r="D56" s="25">
        <v>2008</v>
      </c>
      <c r="E56" s="23">
        <f>IF(D56&lt;=B57,B52*EXP(B53*(D56-D53)),"")</f>
        <v>40254242324.56716</v>
      </c>
      <c r="F56" s="24">
        <f>IF(D56&gt;B57,"",IF(B55&gt;D56,"",IF(B55=D56,B56,IF(B55&lt;D56,(D56-B55)*B59+B56,B58))))</f>
        <v>0.03854</v>
      </c>
      <c r="G56" s="23">
        <f>IF(ISERR(F56*E56),IF(D56&gt;B57,G55,""),F56*E56)</f>
        <v>1551398499.1888182</v>
      </c>
      <c r="H56" s="23"/>
      <c r="I56" s="34"/>
    </row>
    <row r="57" spans="1:9" ht="12.75">
      <c r="A57" t="s">
        <v>283</v>
      </c>
      <c r="B57" s="32">
        <v>2010</v>
      </c>
      <c r="C57" s="30"/>
      <c r="D57" s="25">
        <v>2009</v>
      </c>
      <c r="E57" s="23">
        <f>IF(D57&lt;=B57,B52*EXP(B53*(D57-D53)),"")</f>
        <v>40334831371.400116</v>
      </c>
      <c r="F57" s="24">
        <f>IF(D57&gt;B57,"",IF(B55&gt;D57,"",IF(B55=D57,B56,IF(B55&lt;D57,(D57-B55)*B59+B56,B58))))</f>
        <v>0.04842</v>
      </c>
      <c r="G57" s="23">
        <f>IF(ISERR(F57*E57),IF(D57&gt;B57,G56,""),F57*E57)</f>
        <v>1953012535.0031936</v>
      </c>
      <c r="H57" s="22">
        <f>IF(ISERR(G57-G56),"",(G57-G56))</f>
        <v>401614035.8143754</v>
      </c>
      <c r="I57" s="21">
        <f aca="true" t="shared" si="4" ref="I57:I78">H57*($M$53*$N$67+$M$54*$N$69)</f>
        <v>563513803515.406</v>
      </c>
    </row>
    <row r="58" spans="1:9" ht="12.75">
      <c r="A58" t="s">
        <v>284</v>
      </c>
      <c r="B58" s="31">
        <v>0.0583</v>
      </c>
      <c r="C58" s="30"/>
      <c r="D58" s="25">
        <v>2010</v>
      </c>
      <c r="E58" s="23">
        <f>IF(D58&lt;=B57,B52*EXP(B53*(D58-D53)),"")</f>
        <v>40415581757.61233</v>
      </c>
      <c r="F58" s="24">
        <f>IF(D58&gt;B57,"",IF(B55&gt;D58,"",IF(B55=D58,B56,IF(B55&lt;D58,(D58-B55)*B59+B56,B58))))</f>
        <v>0.0583</v>
      </c>
      <c r="G58" s="23">
        <f>IF(ISERR(F58*E58),IF(D58&gt;B57,G57,""),F58*E58)</f>
        <v>2356228416.4687986</v>
      </c>
      <c r="H58" s="22">
        <f>IF(ISERR(G58-G56),"",(G58-G56))</f>
        <v>804829917.2799804</v>
      </c>
      <c r="I58" s="21">
        <f t="shared" si="4"/>
        <v>1129275193158.4697</v>
      </c>
    </row>
    <row r="59" spans="1:9" ht="12.75">
      <c r="A59" s="29" t="s">
        <v>285</v>
      </c>
      <c r="B59" s="271">
        <f>(B58-B56)/(B57-B55)</f>
        <v>0.00988</v>
      </c>
      <c r="D59" s="25">
        <v>2011</v>
      </c>
      <c r="E59" s="23">
        <f>IF(D59&lt;=B57,B52*EXP(B53*(D59-D53)),"")</f>
      </c>
      <c r="F59" s="24">
        <f>IF(D59&gt;B57,"",IF(B55&gt;D59,"",IF(B55=D59,B56,IF(B55&lt;D59,(D59-B55)*B59+B56,B58))))</f>
      </c>
      <c r="G59" s="23">
        <f>IF(ISERR(F59*E59),IF(D59&gt;B57,G58,""),F59*E59)</f>
        <v>2356228416.4687986</v>
      </c>
      <c r="H59" s="22">
        <f>IF(ISERR(G59-G56),"",(G59-G56))</f>
        <v>804829917.2799804</v>
      </c>
      <c r="I59" s="21">
        <f t="shared" si="4"/>
        <v>1129275193158.4697</v>
      </c>
    </row>
    <row r="60" spans="1:9" ht="12.75">
      <c r="A60"/>
      <c r="D60" s="25">
        <v>2012</v>
      </c>
      <c r="E60" s="23">
        <f>IF(D60&lt;=B57,B52*EXP(B53*(D60-D53)),"")</f>
      </c>
      <c r="F60" s="24">
        <f>IF(D60&gt;B57,"",IF(B55&gt;D60,"",IF(B55=D60,B56,IF(B55&lt;D60,(D60-B55)*B59+B56,B58))))</f>
      </c>
      <c r="G60" s="23">
        <f>IF(ISERR(F60*E60),IF(D60&gt;B57,G59,""),F60*E60)</f>
        <v>2356228416.4687986</v>
      </c>
      <c r="H60" s="22">
        <f>IF(ISERR(G60-G56),"",(G60-G56))</f>
        <v>804829917.2799804</v>
      </c>
      <c r="I60" s="21">
        <f t="shared" si="4"/>
        <v>1129275193158.4697</v>
      </c>
    </row>
    <row r="61" spans="1:14" ht="12.75">
      <c r="A61"/>
      <c r="D61" s="25">
        <v>2013</v>
      </c>
      <c r="E61" s="23">
        <f>IF(D61&lt;=B57,B52*EXP(B53*(D61-D53)),"")</f>
      </c>
      <c r="F61" s="24">
        <f>IF(D61&gt;B57,"",IF(B55&gt;D61,"",IF(B55=D61,B56,IF(B55&lt;D61,(D61-B55)*B59+B56,B58))))</f>
      </c>
      <c r="G61" s="23">
        <f>IF(ISERR(F61*E61),IF(D61&gt;B57,G60,""),F61*E61)</f>
        <v>2356228416.4687986</v>
      </c>
      <c r="H61" s="22">
        <f>IF(ISERR(G61-G56),"",(G61-G56))</f>
        <v>804829917.2799804</v>
      </c>
      <c r="I61" s="21">
        <f t="shared" si="4"/>
        <v>1129275193158.4697</v>
      </c>
      <c r="N61" s="228"/>
    </row>
    <row r="62" spans="1:14" ht="12.75">
      <c r="A62" t="s">
        <v>286</v>
      </c>
      <c r="B62" s="27">
        <f>VLOOKUP(B57,D53:I78,6,FALSE)</f>
        <v>1129275193158.4697</v>
      </c>
      <c r="D62" s="25">
        <v>2014</v>
      </c>
      <c r="E62" s="23">
        <f>IF(D62&lt;=B57,B52*EXP(B53*(D62-D53)),"")</f>
      </c>
      <c r="F62" s="24">
        <f>IF(D62&gt;B57,"",IF(B55&gt;D62,"",IF(B55=D62,B56,IF(B55&lt;D62,(D62-B55)*B59+B56,B58))))</f>
      </c>
      <c r="G62" s="23">
        <f>IF(ISERR(F62*E62),IF(D62&gt;B57,G61,""),F62*E62)</f>
        <v>2356228416.4687986</v>
      </c>
      <c r="H62" s="22">
        <f>IF(ISERR(G62-G56),"",(G62-G56))</f>
        <v>804829917.2799804</v>
      </c>
      <c r="I62" s="21">
        <f t="shared" si="4"/>
        <v>1129275193158.4697</v>
      </c>
      <c r="N62" s="228"/>
    </row>
    <row r="63" spans="1:14" ht="12.75">
      <c r="A63" t="s">
        <v>77</v>
      </c>
      <c r="B63" s="27">
        <f>SUM(I57:I78)</f>
        <v>24278292859843.258</v>
      </c>
      <c r="D63" s="25">
        <v>2015</v>
      </c>
      <c r="E63" s="23">
        <f>IF(D63&lt;=B57,B52*EXP(B53*(D63-D53)),"")</f>
      </c>
      <c r="F63" s="24">
        <f>IF(D63&gt;B57,"",IF(B55&gt;D63,"",IF(B55=D63,B56,IF(B55&lt;D63,(D63-B55)*B59+B56,B58))))</f>
      </c>
      <c r="G63" s="23">
        <f>IF(ISERR(F63*E63),IF(D63&gt;B57,G62,""),F63*E63)</f>
        <v>2356228416.4687986</v>
      </c>
      <c r="H63" s="22">
        <f>IF(ISERR(G63-G56),"",(G63-G56))</f>
        <v>804829917.2799804</v>
      </c>
      <c r="I63" s="21">
        <f t="shared" si="4"/>
        <v>1129275193158.4697</v>
      </c>
      <c r="N63" s="228"/>
    </row>
    <row r="64" spans="1:14" ht="12.75">
      <c r="A64" t="s">
        <v>76</v>
      </c>
      <c r="B64" s="391">
        <f>B62/(10^12)</f>
        <v>1.1292751931584697</v>
      </c>
      <c r="D64" s="25">
        <v>2016</v>
      </c>
      <c r="E64" s="23">
        <f>IF(D64&lt;=B57,B52*EXP(B53*(D64-D53)),"")</f>
      </c>
      <c r="F64" s="24">
        <f>IF(D64&gt;B57,"",IF(B55&gt;D64,"",IF(B55=D64,B56,IF(B55&lt;D64,(D64-B55)*B59+B56,B58))))</f>
      </c>
      <c r="G64" s="23">
        <f>IF(ISERR(F64*E64),IF(D64&gt;B57,G63,""),F64*E64)</f>
        <v>2356228416.4687986</v>
      </c>
      <c r="H64" s="22">
        <f>IF(ISERR(G64-G56),"",(G64-G56))</f>
        <v>804829917.2799804</v>
      </c>
      <c r="I64" s="21">
        <f t="shared" si="4"/>
        <v>1129275193158.4697</v>
      </c>
      <c r="N64" s="228"/>
    </row>
    <row r="65" spans="1:9" ht="12.75">
      <c r="A65" t="s">
        <v>786</v>
      </c>
      <c r="B65" s="391">
        <f>B63/(10^12)</f>
        <v>24.27829285984326</v>
      </c>
      <c r="D65" s="25">
        <v>2017</v>
      </c>
      <c r="E65" s="23">
        <f>IF(D65&lt;=B57,B52*EXP(B53*(D65-D53)),"")</f>
      </c>
      <c r="F65" s="24">
        <f>IF(D65&gt;B57,"",IF(B55&gt;D65,"",IF(B55=D65,B56,IF(B55&lt;D65,(D65-B55)*B59+B56,B58))))</f>
      </c>
      <c r="G65" s="23">
        <f>IF(ISERR(F65*E65),IF(D65&gt;B57,G64,""),F65*E65)</f>
        <v>2356228416.4687986</v>
      </c>
      <c r="H65" s="22">
        <f>IF(ISERR(G65-G56),"",(G65-G56))</f>
        <v>804829917.2799804</v>
      </c>
      <c r="I65" s="21">
        <f t="shared" si="4"/>
        <v>1129275193158.4697</v>
      </c>
    </row>
    <row r="66" spans="1:9" ht="12.75">
      <c r="A66" s="74" t="s">
        <v>551</v>
      </c>
      <c r="B66" s="110">
        <f>SUM(H57:H78)/(10^6)</f>
        <v>17303.04229869396</v>
      </c>
      <c r="D66" s="25">
        <v>2018</v>
      </c>
      <c r="E66" s="23">
        <f>IF(D66&lt;=B57,B52*EXP(B53*(D66-D53)),"")</f>
      </c>
      <c r="F66" s="24">
        <f>IF(D66&gt;B57,"",IF(B55&gt;D66,"",IF(B55=D66,B56,IF(B55&lt;D66,(D66-B55)*B59+B56,B58))))</f>
      </c>
      <c r="G66" s="23">
        <f>IF(ISERR(F66*E66),IF(D66&gt;B57,G65,""),F66*E66)</f>
        <v>2356228416.4687986</v>
      </c>
      <c r="H66" s="22">
        <f>IF(ISERR(G66-G56),"",(G66-G56))</f>
        <v>804829917.2799804</v>
      </c>
      <c r="I66" s="21">
        <f t="shared" si="4"/>
        <v>1129275193158.4697</v>
      </c>
    </row>
    <row r="67" spans="1:14" ht="12.75">
      <c r="A67" s="74" t="s">
        <v>780</v>
      </c>
      <c r="B67" s="392">
        <f>VLOOKUP(B57,D53:H78,5,FALSE)/(10^6)</f>
        <v>804.8299172799805</v>
      </c>
      <c r="D67" s="25">
        <v>2019</v>
      </c>
      <c r="E67" s="23">
        <f>IF(D67&lt;=B57,B52*EXP(B53*(D67-D53)),"")</f>
      </c>
      <c r="F67" s="24">
        <f>IF(D67&gt;B57,"",IF(B55&gt;D67,"",IF(B55=D67,B56,IF(B55&lt;D67,(D67-B55)*B59+B56,B58))))</f>
      </c>
      <c r="G67" s="23">
        <f>IF(ISERR(F67*E67),IF(D67&gt;B57,G66,""),F67*E67)</f>
        <v>2356228416.4687986</v>
      </c>
      <c r="H67" s="22">
        <f>IF(ISERR(G67-G56),"",(G67-G56))</f>
        <v>804829917.2799804</v>
      </c>
      <c r="I67" s="21">
        <f t="shared" si="4"/>
        <v>1129275193158.4697</v>
      </c>
      <c r="L67" s="29" t="s">
        <v>552</v>
      </c>
      <c r="N67" s="420">
        <f>$C$12</f>
        <v>927.7650400000002</v>
      </c>
    </row>
    <row r="68" spans="1:14" ht="12.75">
      <c r="A68" t="s">
        <v>34</v>
      </c>
      <c r="B68" s="37">
        <v>675.98</v>
      </c>
      <c r="D68" s="25">
        <v>2020</v>
      </c>
      <c r="E68" s="23">
        <f>IF(D68&lt;=B57,B52*EXP(B53*(D68-D53)),"")</f>
      </c>
      <c r="F68" s="24">
        <f>IF(D68&gt;B57,"",IF(B55&gt;D68,"",IF(B55=D68,B56,IF(B55&lt;D68,(D68-B55)*B59+B56,B58))))</f>
      </c>
      <c r="G68" s="23">
        <f>IF(ISERR(F68*E68),IF(D68&gt;B57,G67,""),F68*E68)</f>
        <v>2356228416.4687986</v>
      </c>
      <c r="H68" s="22">
        <f>IF(ISERR(G68-G56),"",(G68-G56))</f>
        <v>804829917.2799804</v>
      </c>
      <c r="I68" s="21">
        <f t="shared" si="4"/>
        <v>1129275193158.4697</v>
      </c>
      <c r="L68" s="29" t="s">
        <v>475</v>
      </c>
      <c r="N68" s="226">
        <f>$C$13</f>
        <v>0.5</v>
      </c>
    </row>
    <row r="69" spans="1:14" ht="12.75">
      <c r="A69" t="s">
        <v>101</v>
      </c>
      <c r="B69" s="29">
        <f>B68*1.58987*10^5</f>
        <v>107472032.25999999</v>
      </c>
      <c r="D69" s="25">
        <v>2021</v>
      </c>
      <c r="E69" s="23">
        <f>IF(D69&lt;=B57,B52*EXP(B53*(D69-D53)),"")</f>
      </c>
      <c r="F69" s="24">
        <f>IF(D69&gt;B57,"",IF(B55&gt;D69,"",IF(B55=D69,B56,IF(B55&lt;D69,(D69-B55)*B59+B56,B58))))</f>
      </c>
      <c r="G69" s="23">
        <f>IF(ISERR(F69*E69),IF(D69&gt;B57,G68,""),F69*E69)</f>
        <v>2356228416.4687986</v>
      </c>
      <c r="H69" s="22">
        <f>IF(ISERR(G69-G56),"",(G69-G56))</f>
        <v>804829917.2799804</v>
      </c>
      <c r="I69" s="21">
        <f t="shared" si="4"/>
        <v>1129275193158.4697</v>
      </c>
      <c r="L69" s="29" t="s">
        <v>419</v>
      </c>
      <c r="N69" s="420">
        <f>$C$14</f>
        <v>1539.25</v>
      </c>
    </row>
    <row r="70" spans="1:9" ht="12.75">
      <c r="A70"/>
      <c r="D70" s="25">
        <v>2022</v>
      </c>
      <c r="E70" s="23">
        <f>IF(D70&lt;=B57,B52*EXP(B53*(D70-D53)),"")</f>
      </c>
      <c r="F70" s="24">
        <f>IF(D70&gt;B57,"",IF(B55&gt;D70,"",IF(B55=D70,B56,IF(B55&lt;D70,(D70-B55)*B59+B56,B58))))</f>
      </c>
      <c r="G70" s="23">
        <f>IF(ISERR(F70*E70),IF(D70&gt;B57,G69,""),F70*E70)</f>
        <v>2356228416.4687986</v>
      </c>
      <c r="H70" s="22">
        <f>IF(ISERR(G70-G56),"",(G70-G56))</f>
        <v>804829917.2799804</v>
      </c>
      <c r="I70" s="21">
        <f t="shared" si="4"/>
        <v>1129275193158.4697</v>
      </c>
    </row>
    <row r="71" spans="1:9" ht="12.75">
      <c r="A71" t="s">
        <v>34</v>
      </c>
      <c r="B71" s="29">
        <f>B72/(1.58987*10^5)</f>
        <v>675.9799999999999</v>
      </c>
      <c r="D71" s="25">
        <v>2023</v>
      </c>
      <c r="E71" s="23">
        <f>IF(D71&lt;=B57,B52*EXP(B53*(D71-D53)),"")</f>
      </c>
      <c r="F71" s="24">
        <f>IF(D71&gt;B57,"",IF(B55&gt;D71,"",IF(B55=D71,B56,IF(B55&lt;D71,(D71-B55)*B59+B56,B58))))</f>
      </c>
      <c r="G71" s="23">
        <f>IF(ISERR(F71*E71),IF(D71&gt;B57,G70,""),F71*E71)</f>
        <v>2356228416.4687986</v>
      </c>
      <c r="H71" s="22">
        <f>IF(ISERR(G71-G56),"",(G71-G56))</f>
        <v>804829917.2799804</v>
      </c>
      <c r="I71" s="21">
        <f t="shared" si="4"/>
        <v>1129275193158.4697</v>
      </c>
    </row>
    <row r="72" spans="1:9" ht="12.75">
      <c r="A72" t="s">
        <v>101</v>
      </c>
      <c r="B72" s="37">
        <v>107472032.25999999</v>
      </c>
      <c r="D72" s="25">
        <v>2024</v>
      </c>
      <c r="E72" s="23">
        <f>IF(D72&lt;=B57,B52*EXP(B53*(D72-D53)),"")</f>
      </c>
      <c r="F72" s="24">
        <f>IF(D72&gt;B57,"",IF(B55&gt;D72,"",IF(B55=D72,B56,IF(B55&lt;D72,(D72-B55)*B59+B56,B58))))</f>
      </c>
      <c r="G72" s="23">
        <f>IF(ISERR(F72*E72),IF(D72&gt;B57,G71,""),F72*E72)</f>
        <v>2356228416.4687986</v>
      </c>
      <c r="H72" s="22">
        <f>IF(ISERR(G72-G56),"",(G72-G56))</f>
        <v>804829917.2799804</v>
      </c>
      <c r="I72" s="21">
        <f t="shared" si="4"/>
        <v>1129275193158.4697</v>
      </c>
    </row>
    <row r="73" spans="1:9" ht="12.75">
      <c r="A73"/>
      <c r="D73" s="25">
        <v>2025</v>
      </c>
      <c r="E73" s="23">
        <f>IF(D73&lt;=B57,B52*EXP(B53*(D73-D53)),"")</f>
      </c>
      <c r="F73" s="24">
        <f>IF(D73&gt;B57,"",IF(B55&gt;D73,"",IF(B55=D73,B56,IF(B55&lt;D73,(D73-B55)*B59+B56,B58))))</f>
      </c>
      <c r="G73" s="23">
        <f>IF(ISERR(F73*E73),IF(D73&gt;B57,G72,""),F73*E73)</f>
        <v>2356228416.4687986</v>
      </c>
      <c r="H73" s="22">
        <f>IF(ISERR(G73-G56),"",(G73-G56))</f>
        <v>804829917.2799804</v>
      </c>
      <c r="I73" s="21">
        <f t="shared" si="4"/>
        <v>1129275193158.4697</v>
      </c>
    </row>
    <row r="74" spans="1:9" ht="12.75">
      <c r="A74" s="452" t="s">
        <v>794</v>
      </c>
      <c r="B74" s="452"/>
      <c r="D74" s="25">
        <v>2026</v>
      </c>
      <c r="E74" s="23">
        <f>IF(D74&lt;=B57,B52*EXP(B53*(D74-D53)),"")</f>
      </c>
      <c r="F74" s="24">
        <f>IF(D74&gt;B57,"",IF(B55&gt;D74,"",IF(B55=D74,B56,IF(B55&lt;D74,(D74-B55)*B59+B56,B58))))</f>
      </c>
      <c r="G74" s="23">
        <f>IF(ISERR(F74*E74),IF(D74&gt;B57,G73,""),F74*E74)</f>
        <v>2356228416.4687986</v>
      </c>
      <c r="H74" s="22">
        <f>IF(ISERR(G74-G56),"",(G74-G56))</f>
        <v>804829917.2799804</v>
      </c>
      <c r="I74" s="21">
        <f t="shared" si="4"/>
        <v>1129275193158.4697</v>
      </c>
    </row>
    <row r="75" spans="1:9" ht="12.75">
      <c r="A75" s="452"/>
      <c r="B75" s="452"/>
      <c r="D75" s="25">
        <v>2027</v>
      </c>
      <c r="E75" s="23">
        <f>IF(D75&lt;=B57,B52*EXP(B53*(D75-D53)),"")</f>
      </c>
      <c r="F75" s="24">
        <f>IF(D75&gt;B57,"",IF(B55&gt;D75,"",IF(B55=D75,B56,IF(B55&lt;D75,(D75-B55)*B59+B56,B58))))</f>
      </c>
      <c r="G75" s="23">
        <f>IF(ISERR(F75*E75),IF(D75&gt;B57,G74,""),F75*E75)</f>
        <v>2356228416.4687986</v>
      </c>
      <c r="H75" s="22">
        <f>IF(ISERR(G75-G56),"",(G75-G56))</f>
        <v>804829917.2799804</v>
      </c>
      <c r="I75" s="21">
        <f t="shared" si="4"/>
        <v>1129275193158.4697</v>
      </c>
    </row>
    <row r="76" spans="1:9" ht="12.75">
      <c r="A76" s="453"/>
      <c r="B76" s="453"/>
      <c r="D76" s="25">
        <v>2028</v>
      </c>
      <c r="E76" s="23">
        <f>IF(D76&lt;=B57,B52*EXP(B53*(D76-D53)),"")</f>
      </c>
      <c r="F76" s="24">
        <f>IF(D76&gt;B57,"",IF(B55&gt;D76,"",IF(B55=D76,B56,IF(B55&lt;D76,(D76-B55)*B59+B56,B58))))</f>
      </c>
      <c r="G76" s="23">
        <f>IF(ISERR(F76*E76),IF(D76&gt;B57,G75,""),F76*E76)</f>
        <v>2356228416.4687986</v>
      </c>
      <c r="H76" s="22">
        <f>IF(ISERR(G76-G56),"",(G76-G56))</f>
        <v>804829917.2799804</v>
      </c>
      <c r="I76" s="21">
        <f t="shared" si="4"/>
        <v>1129275193158.4697</v>
      </c>
    </row>
    <row r="77" spans="1:9" ht="12.75">
      <c r="A77"/>
      <c r="D77" s="25">
        <v>2029</v>
      </c>
      <c r="E77" s="23">
        <f>IF(D77&lt;=B57,B52*EXP(B53*(D77-D53)),"")</f>
      </c>
      <c r="F77" s="24">
        <f>IF(D77&gt;B57,"",IF(B55&gt;D77,"",IF(B55=D77,B56,IF(B55&lt;D77,(D77-B55)*B59+B56,B58))))</f>
      </c>
      <c r="G77" s="23">
        <f>IF(ISERR(F77*E77),IF(D77&gt;B57,G76,""),F77*E77)</f>
        <v>2356228416.4687986</v>
      </c>
      <c r="H77" s="22">
        <f>IF(ISERR(G77-G56),"",(G77-G56))</f>
        <v>804829917.2799804</v>
      </c>
      <c r="I77" s="21">
        <f t="shared" si="4"/>
        <v>1129275193158.4697</v>
      </c>
    </row>
    <row r="78" spans="1:9" ht="13.5" thickBot="1">
      <c r="A78"/>
      <c r="D78" s="20">
        <v>2030</v>
      </c>
      <c r="E78" s="18">
        <f>IF(D78&lt;=B57,B52*EXP(B53*(D78-D53)),"")</f>
      </c>
      <c r="F78" s="19">
        <f>IF(D78&gt;B57,"",IF(B55&gt;D78,"",IF(B55=D78,B56,IF(B55&lt;D78,(D78-B55)*B59+B56,B58))))</f>
      </c>
      <c r="G78" s="18">
        <f>IF(ISERR(F78*E78),IF(D78&gt;B57,G77,""),F78*E78)</f>
        <v>2356228416.4687986</v>
      </c>
      <c r="H78" s="17">
        <f>IF(ISERR(G78-G56),"",(G78-G56))</f>
        <v>804829917.2799804</v>
      </c>
      <c r="I78" s="16">
        <f t="shared" si="4"/>
        <v>1129275193158.4697</v>
      </c>
    </row>
    <row r="79" spans="1:9" ht="12.75">
      <c r="A79"/>
      <c r="D79" s="455" t="s">
        <v>407</v>
      </c>
      <c r="E79" s="455"/>
      <c r="F79" s="455"/>
      <c r="G79" s="64" t="s">
        <v>430</v>
      </c>
      <c r="H79" s="104"/>
      <c r="I79" s="103"/>
    </row>
    <row r="80" spans="1:9" ht="12.75">
      <c r="A80"/>
      <c r="D80" s="71" t="s">
        <v>577</v>
      </c>
      <c r="E80" s="63"/>
      <c r="F80" s="63"/>
      <c r="G80" s="47" t="s">
        <v>461</v>
      </c>
      <c r="H80" s="104"/>
      <c r="I80" s="103"/>
    </row>
    <row r="81" ht="12.75">
      <c r="H81" s="103"/>
    </row>
    <row r="82" spans="1:31" s="74" customFormat="1" ht="12.75">
      <c r="A82" s="81"/>
      <c r="H82" s="71"/>
      <c r="I82" s="111"/>
      <c r="L82" s="29"/>
      <c r="M82" s="29"/>
      <c r="N82" s="29"/>
      <c r="O82" s="29"/>
      <c r="P82" s="29"/>
      <c r="Q82" s="29"/>
      <c r="R82" s="29"/>
      <c r="S82" s="29"/>
      <c r="T82" s="29"/>
      <c r="U82" s="29"/>
      <c r="V82" s="27"/>
      <c r="W82" s="27"/>
      <c r="X82" s="27"/>
      <c r="Y82" s="29"/>
      <c r="Z82" s="29"/>
      <c r="AA82" s="29"/>
      <c r="AB82" s="29"/>
      <c r="AC82" s="29"/>
      <c r="AD82" s="29"/>
      <c r="AE82" s="29"/>
    </row>
    <row r="83" spans="1:24" s="316" customFormat="1" ht="12.75">
      <c r="A83" s="315"/>
      <c r="B83" s="322"/>
      <c r="C83" s="323"/>
      <c r="D83" s="323"/>
      <c r="E83" s="321"/>
      <c r="F83" s="323"/>
      <c r="G83" s="317"/>
      <c r="H83" s="317"/>
      <c r="I83" s="324"/>
      <c r="V83" s="318"/>
      <c r="W83" s="318"/>
      <c r="X83" s="318"/>
    </row>
    <row r="84" spans="1:31" s="74" customFormat="1" ht="12.75">
      <c r="A84" s="81"/>
      <c r="B84" s="90"/>
      <c r="C84" s="80"/>
      <c r="D84" s="80"/>
      <c r="E84" s="64"/>
      <c r="F84" s="80"/>
      <c r="G84" s="71"/>
      <c r="H84" s="71"/>
      <c r="I84" s="111"/>
      <c r="L84" s="29"/>
      <c r="M84" s="29"/>
      <c r="N84" s="29"/>
      <c r="O84" s="29"/>
      <c r="P84" s="29"/>
      <c r="Q84" s="29"/>
      <c r="R84" s="29"/>
      <c r="S84" s="29"/>
      <c r="T84" s="29"/>
      <c r="U84" s="29"/>
      <c r="V84" s="27"/>
      <c r="W84" s="27"/>
      <c r="X84" s="27"/>
      <c r="Y84" s="29"/>
      <c r="Z84" s="29"/>
      <c r="AA84" s="29"/>
      <c r="AB84" s="29"/>
      <c r="AC84" s="29"/>
      <c r="AD84" s="29"/>
      <c r="AE84" s="29"/>
    </row>
    <row r="85" spans="1:31" s="74" customFormat="1" ht="12.75">
      <c r="A85" s="81"/>
      <c r="B85" s="90"/>
      <c r="C85" s="80"/>
      <c r="D85" s="80"/>
      <c r="E85" s="64"/>
      <c r="F85" s="80"/>
      <c r="G85" s="71"/>
      <c r="H85" s="71"/>
      <c r="I85" s="111"/>
      <c r="L85" s="29"/>
      <c r="M85" s="29"/>
      <c r="N85" s="29"/>
      <c r="O85" s="29"/>
      <c r="P85" s="29"/>
      <c r="Q85" s="29"/>
      <c r="R85" s="29"/>
      <c r="S85" s="29"/>
      <c r="T85" s="29"/>
      <c r="U85" s="29"/>
      <c r="V85" s="27"/>
      <c r="W85" s="27"/>
      <c r="X85" s="27"/>
      <c r="Y85" s="29"/>
      <c r="Z85" s="29"/>
      <c r="AA85" s="29"/>
      <c r="AB85" s="29"/>
      <c r="AC85" s="29"/>
      <c r="AD85" s="29"/>
      <c r="AE85" s="29"/>
    </row>
    <row r="86" spans="1:10" ht="31.5" customHeight="1" thickBot="1">
      <c r="A86" s="498" t="s">
        <v>428</v>
      </c>
      <c r="B86" s="499"/>
      <c r="C86" s="499"/>
      <c r="D86" s="499"/>
      <c r="E86" s="499"/>
      <c r="F86" s="499"/>
      <c r="G86" s="499"/>
      <c r="H86" s="499"/>
      <c r="I86" s="499"/>
      <c r="J86" s="64" t="s">
        <v>432</v>
      </c>
    </row>
    <row r="87" spans="1:12" ht="63.75">
      <c r="A87" t="s">
        <v>287</v>
      </c>
      <c r="B87" t="s">
        <v>288</v>
      </c>
      <c r="D87" s="46" t="s">
        <v>801</v>
      </c>
      <c r="E87" s="45" t="s">
        <v>802</v>
      </c>
      <c r="F87" s="45" t="s">
        <v>803</v>
      </c>
      <c r="G87" s="269" t="s">
        <v>541</v>
      </c>
      <c r="H87" s="269" t="s">
        <v>542</v>
      </c>
      <c r="I87" s="44" t="s">
        <v>261</v>
      </c>
      <c r="L87" s="29" t="s">
        <v>454</v>
      </c>
    </row>
    <row r="88" spans="1:13" ht="13.5" thickBot="1">
      <c r="A88" t="s">
        <v>262</v>
      </c>
      <c r="B88" s="221">
        <v>45456378000</v>
      </c>
      <c r="D88" s="43"/>
      <c r="E88" s="41" t="s">
        <v>263</v>
      </c>
      <c r="F88" s="42" t="s">
        <v>264</v>
      </c>
      <c r="G88" s="41" t="s">
        <v>265</v>
      </c>
      <c r="H88" s="41" t="s">
        <v>266</v>
      </c>
      <c r="I88" s="40" t="s">
        <v>267</v>
      </c>
      <c r="L88" s="29" t="s">
        <v>543</v>
      </c>
      <c r="M88" s="226">
        <f>INDEX($F$6:$K$13,MATCH(L87,$F$6:$F$13,),MATCH(L88,$F$6:$K$6,))</f>
        <v>0.37038158691702</v>
      </c>
    </row>
    <row r="89" spans="1:13" ht="13.5" thickTop="1">
      <c r="A89" t="s">
        <v>268</v>
      </c>
      <c r="B89" s="31">
        <v>0.002</v>
      </c>
      <c r="C89" s="30"/>
      <c r="D89" s="25">
        <v>2005</v>
      </c>
      <c r="E89" s="23">
        <f>IF(D89&lt;=B93,B88*EXP(B89*(D89-D89)),"")</f>
        <v>45456378000</v>
      </c>
      <c r="F89" s="24">
        <f>IF(D89&gt;B93,"",IF(B91&gt;D89,"",IF(B91=D89,B92,IF(B91&lt;D89,(D89-B91)*B95+B92,B94))))</f>
        <v>0.008469494828361564</v>
      </c>
      <c r="G89" s="23">
        <f>IF(ISERR(F89*E89),IF(D89&gt;B93,G88,""),F89*E89)</f>
        <v>384992558.38704836</v>
      </c>
      <c r="H89" s="39"/>
      <c r="I89" s="38"/>
      <c r="L89" s="29" t="s">
        <v>544</v>
      </c>
      <c r="M89" s="226">
        <f>INDEX($F$6:$K$13,MATCH(L87,$F$6:$F$13,),MATCH(L89,$F$6:$K$6,))</f>
        <v>0.62961841308298</v>
      </c>
    </row>
    <row r="90" spans="1:9" ht="12.75">
      <c r="A90" t="s">
        <v>797</v>
      </c>
      <c r="B90" s="74" t="s">
        <v>545</v>
      </c>
      <c r="D90" s="25">
        <v>2006</v>
      </c>
      <c r="E90" s="23">
        <f>IF(D90&lt;=B93,B88*EXP(B89*(D90-D89)),"")</f>
        <v>45547381729.39482</v>
      </c>
      <c r="F90" s="24">
        <f>IF(D90&gt;B93,"",IF(B91&gt;D90,"",IF(B91=D90,B92,IF(B91&lt;D90,(D90-B91)*B95+B92,B94))))</f>
        <v>0.01677559586268925</v>
      </c>
      <c r="G90" s="23">
        <f>IF(ISERR(F90*E90),IF(D90&gt;B93,G89,""),F90*E90)</f>
        <v>764084468.4959637</v>
      </c>
      <c r="H90" s="23"/>
      <c r="I90" s="34"/>
    </row>
    <row r="91" spans="1:9" ht="12.75">
      <c r="A91" t="s">
        <v>752</v>
      </c>
      <c r="B91" s="37">
        <v>2005</v>
      </c>
      <c r="D91" s="25">
        <v>2007</v>
      </c>
      <c r="E91" s="23">
        <f>IF(D91&lt;=B93,B88*EXP(B89*(D91-D89)),"")</f>
        <v>45638567648.37729</v>
      </c>
      <c r="F91" s="24">
        <f>IF(D91&gt;B93,"",IF(B91&gt;D91,"",IF(B91=D91,B92,IF(B91&lt;D91,(D91-B91)*B95+B92,B94))))</f>
        <v>0.025081696897016937</v>
      </c>
      <c r="G91" s="23">
        <f>IF(ISERR(F91*E91),IF(D91&gt;B93,G90,""),F91*E91)</f>
        <v>1144692720.5706022</v>
      </c>
      <c r="H91" s="23"/>
      <c r="I91" s="34"/>
    </row>
    <row r="92" spans="1:13" ht="12.75">
      <c r="A92" s="33" t="s">
        <v>252</v>
      </c>
      <c r="B92" s="36">
        <f>339000/40026000</f>
        <v>0.008469494828361564</v>
      </c>
      <c r="C92" s="35"/>
      <c r="D92" s="25">
        <v>2008</v>
      </c>
      <c r="E92" s="23">
        <f>IF(D92&lt;=B93,B88*EXP(B89*(D92-D89)),"")</f>
        <v>45729936121.6912</v>
      </c>
      <c r="F92" s="24">
        <f>IF(D92&gt;B93,"",IF(B91&gt;D92,"",IF(B91=D92,B92,IF(B91&lt;D92,(D92-B91)*B95+B92,B94))))</f>
        <v>0.03338779793134462</v>
      </c>
      <c r="G92" s="23">
        <f>IF(ISERR(F92*E92),IF(D92&gt;B93,G91,""),F92*E92)</f>
        <v>1526821866.644323</v>
      </c>
      <c r="H92" s="23"/>
      <c r="I92" s="34"/>
      <c r="L92" s="29" t="s">
        <v>585</v>
      </c>
      <c r="M92" s="29">
        <f>$M$22</f>
        <v>0</v>
      </c>
    </row>
    <row r="93" spans="1:13" ht="12.75">
      <c r="A93" t="s">
        <v>753</v>
      </c>
      <c r="B93" s="32">
        <v>2010</v>
      </c>
      <c r="C93" s="30"/>
      <c r="D93" s="25">
        <v>2009</v>
      </c>
      <c r="E93" s="23">
        <f>IF(D93&lt;=B93,B88*EXP(B89*(D93-D89)),"")</f>
        <v>45821487514.81058</v>
      </c>
      <c r="F93" s="24">
        <f>IF(D93&gt;B93,"",IF(B91&gt;D93,"",IF(B91=D93,B92,IF(B91&lt;D93,(D93-B91)*B95+B92,B94))))</f>
        <v>0.04169389896567231</v>
      </c>
      <c r="G93" s="23">
        <f>IF(ISERR(F93*E93),IF(D93&gt;B93,G92,""),F93*E93)</f>
        <v>1910476470.8993275</v>
      </c>
      <c r="H93" s="22">
        <f>IF(ISERR(G93-G92),"",(G93-G92))</f>
        <v>383654604.2550044</v>
      </c>
      <c r="I93" s="21">
        <f>H93*($M$88*$N$103+$M$90*$N$105)</f>
        <v>131834114381.71991</v>
      </c>
      <c r="L93" s="29" t="s">
        <v>586</v>
      </c>
      <c r="M93" s="29">
        <f>$M$23</f>
        <v>0</v>
      </c>
    </row>
    <row r="94" spans="1:9" ht="12.75">
      <c r="A94" t="s">
        <v>251</v>
      </c>
      <c r="B94" s="31">
        <v>0.05</v>
      </c>
      <c r="C94" s="30"/>
      <c r="D94" s="25">
        <v>2010</v>
      </c>
      <c r="E94" s="23">
        <f>IF(D94&lt;=B93,B88*EXP(B89*(D94-D89)),"")</f>
        <v>45913222193.94109</v>
      </c>
      <c r="F94" s="24">
        <f>IF(D94&gt;B93,"",IF(B91&gt;D94,"",IF(B91=D94,B92,IF(B91&lt;D94,(D94-B91)*B95+B92,B94))))</f>
        <v>0.05</v>
      </c>
      <c r="G94" s="23">
        <f>IF(ISERR(F94*E94),IF(D94&gt;B93,G93,""),F94*E94)</f>
        <v>2295661109.697055</v>
      </c>
      <c r="H94" s="22">
        <f>IF(ISERR(G94-G92),"",(G94-G92))</f>
        <v>768839243.0527318</v>
      </c>
      <c r="I94" s="21">
        <f aca="true" t="shared" si="5" ref="I94:I114">H94*($M$88*$N$103+$M$90*$N$105)</f>
        <v>264193990077.59116</v>
      </c>
    </row>
    <row r="95" spans="1:9" ht="12.75">
      <c r="A95" s="29" t="s">
        <v>723</v>
      </c>
      <c r="B95" s="271">
        <f>(B94-B92)/(B93-B91)</f>
        <v>0.008306101034327686</v>
      </c>
      <c r="D95" s="25">
        <v>2011</v>
      </c>
      <c r="E95" s="23">
        <f>IF(D95&lt;=B93,B88*EXP(B89*(D95-D89)),"")</f>
      </c>
      <c r="F95" s="24">
        <f>IF(D95&gt;B93,"",IF(B91&gt;D95,"",IF(B91=D95,B92,IF(B91&lt;D95,(D95-B91)*B95+B92,B94))))</f>
      </c>
      <c r="G95" s="23">
        <f>IF(ISERR(F95*E95),IF(D95&gt;B93,G94,""),F95*E95)</f>
        <v>2295661109.697055</v>
      </c>
      <c r="H95" s="22">
        <f>IF(ISERR(G95-G92),"",(G95-G92))</f>
        <v>768839243.0527318</v>
      </c>
      <c r="I95" s="21">
        <f t="shared" si="5"/>
        <v>264193990077.59116</v>
      </c>
    </row>
    <row r="96" spans="1:14" ht="12.75">
      <c r="A96"/>
      <c r="D96" s="25">
        <v>2012</v>
      </c>
      <c r="E96" s="23">
        <f>IF(D96&lt;=B93,B88*EXP(B89*(D96-D89)),"")</f>
      </c>
      <c r="F96" s="24">
        <f>IF(D96&gt;B93,"",IF(B91&gt;D96,"",IF(B91=D96,B92,IF(B91&lt;D96,(D96-B91)*B95+B92,B94))))</f>
      </c>
      <c r="G96" s="23">
        <f>IF(ISERR(F96*E96),IF(D96&gt;B93,G95,""),F96*E96)</f>
        <v>2295661109.697055</v>
      </c>
      <c r="H96" s="22">
        <f>IF(ISERR(G96-G92),"",(G96-G92))</f>
        <v>768839243.0527318</v>
      </c>
      <c r="I96" s="21">
        <f t="shared" si="5"/>
        <v>264193990077.59116</v>
      </c>
      <c r="L96" s="29" t="s">
        <v>517</v>
      </c>
      <c r="M96" s="29" t="s">
        <v>518</v>
      </c>
      <c r="N96" s="29" t="s">
        <v>546</v>
      </c>
    </row>
    <row r="97" spans="1:14" ht="12.75">
      <c r="A97"/>
      <c r="D97" s="25">
        <v>2013</v>
      </c>
      <c r="E97" s="23">
        <f>IF(D97&lt;=B93,B88*EXP(B89*(D97-D89)),"")</f>
      </c>
      <c r="F97" s="24">
        <f>IF(D97&gt;B93,"",IF(B91&gt;D97,"",IF(B91=D97,B92,IF(B91&lt;D97,(D97-B91)*B95+B92,B94))))</f>
      </c>
      <c r="G97" s="23">
        <f>IF(ISERR(F97*E97),IF(D97&gt;B93,G96,""),F97*E97)</f>
        <v>2295661109.697055</v>
      </c>
      <c r="H97" s="22">
        <f>IF(ISERR(G97-G92),"",(G97-G92))</f>
        <v>768839243.0527318</v>
      </c>
      <c r="I97" s="21">
        <f t="shared" si="5"/>
        <v>264193990077.59116</v>
      </c>
      <c r="L97" s="29" t="s">
        <v>547</v>
      </c>
      <c r="M97" s="29">
        <f>$B$7</f>
        <v>8780</v>
      </c>
      <c r="N97" s="228">
        <f>$C$7</f>
        <v>2319.4126</v>
      </c>
    </row>
    <row r="98" spans="1:14" ht="12.75">
      <c r="A98" t="s">
        <v>33</v>
      </c>
      <c r="B98" s="27">
        <f>VLOOKUP(B93,D89:I114,6,FALSE)</f>
        <v>264193990077.59116</v>
      </c>
      <c r="D98" s="25">
        <v>2014</v>
      </c>
      <c r="E98" s="23">
        <f>IF(D98&lt;=B93,B88*EXP(B89*(D98-D89)),"")</f>
      </c>
      <c r="F98" s="24">
        <f>IF(D98&gt;B93,"",IF(B91&gt;D98,"",IF(B91=D98,B92,IF(B91&lt;D98,(D98-B91)*B95+B92,B94))))</f>
      </c>
      <c r="G98" s="23">
        <f>IF(ISERR(F98*E98),IF(D98&gt;B93,G97,""),F98*E98)</f>
        <v>2295661109.697055</v>
      </c>
      <c r="H98" s="22">
        <f>IF(ISERR(G98-G92),"",(G98-G92))</f>
        <v>768839243.0527318</v>
      </c>
      <c r="I98" s="21">
        <f t="shared" si="5"/>
        <v>264193990077.59116</v>
      </c>
      <c r="L98" s="29" t="s">
        <v>548</v>
      </c>
      <c r="M98" s="29">
        <f>$B$8</f>
        <v>3512</v>
      </c>
      <c r="N98" s="228">
        <f>$C$8</f>
        <v>927.76504</v>
      </c>
    </row>
    <row r="99" spans="1:14" ht="12.75">
      <c r="A99" t="s">
        <v>77</v>
      </c>
      <c r="B99" s="27">
        <f>SUM(I93:I114)</f>
        <v>5679907906011.134</v>
      </c>
      <c r="D99" s="25">
        <v>2015</v>
      </c>
      <c r="E99" s="23">
        <f>IF(D99&lt;=B93,B88*EXP(B89*(D99-D89)),"")</f>
      </c>
      <c r="F99" s="24">
        <f>IF(D99&gt;B93,"",IF(B91&gt;D99,"",IF(B91=D99,B92,IF(B91&lt;D99,(D99-B91)*B95+B92,B94))))</f>
      </c>
      <c r="G99" s="23">
        <f>IF(ISERR(F99*E99),IF(D99&gt;B93,G98,""),F99*E99)</f>
        <v>2295661109.697055</v>
      </c>
      <c r="H99" s="22">
        <f>IF(ISERR(G99-G92),"",(G99-G92))</f>
        <v>768839243.0527318</v>
      </c>
      <c r="I99" s="21">
        <f t="shared" si="5"/>
        <v>264193990077.59116</v>
      </c>
      <c r="L99" s="29" t="s">
        <v>549</v>
      </c>
      <c r="M99" s="29">
        <f>$B$9</f>
        <v>7024</v>
      </c>
      <c r="N99" s="228">
        <f>$C$9</f>
        <v>1855.53008</v>
      </c>
    </row>
    <row r="100" spans="1:14" ht="12.75">
      <c r="A100" t="s">
        <v>76</v>
      </c>
      <c r="B100" s="26">
        <f>B98/(10^12)</f>
        <v>0.26419399007759115</v>
      </c>
      <c r="D100" s="25">
        <v>2016</v>
      </c>
      <c r="E100" s="23">
        <f>IF(D100&lt;=B93,B88*EXP(B89*(D100-D89)),"")</f>
      </c>
      <c r="F100" s="24">
        <f>IF(D100&gt;B93,"",IF(B91&gt;D100,"",IF(B91=D100,B92,IF(B91&lt;D100,(D100-B91)*B95+B92,B94))))</f>
      </c>
      <c r="G100" s="23">
        <f>IF(ISERR(F100*E100),IF(D100&gt;B93,G99,""),F100*E100)</f>
        <v>2295661109.697055</v>
      </c>
      <c r="H100" s="22">
        <f>IF(ISERR(G100-G92),"",(G100-G92))</f>
        <v>768839243.0527318</v>
      </c>
      <c r="I100" s="21">
        <f t="shared" si="5"/>
        <v>264193990077.59116</v>
      </c>
      <c r="L100" s="29" t="s">
        <v>550</v>
      </c>
      <c r="M100" s="29">
        <f>$B$10</f>
        <v>11652.122500000001</v>
      </c>
      <c r="N100" s="228">
        <f>$C$10</f>
        <v>3078.5</v>
      </c>
    </row>
    <row r="101" spans="1:9" ht="12.75">
      <c r="A101" t="s">
        <v>786</v>
      </c>
      <c r="B101" s="26">
        <f>B99/(10^12)</f>
        <v>5.679907906011134</v>
      </c>
      <c r="D101" s="25">
        <v>2017</v>
      </c>
      <c r="E101" s="23">
        <f>IF(D101&lt;=B93,B88*EXP(B89*(D101-D89)),"")</f>
      </c>
      <c r="F101" s="24">
        <f>IF(D101&gt;B93,"",IF(B91&gt;D101,"",IF(B91=D101,B92,IF(B91&lt;D101,(D101-B91)*B95+B92,B94))))</f>
      </c>
      <c r="G101" s="23">
        <f>IF(ISERR(F101*E101),IF(D101&gt;B93,G100,""),F101*E101)</f>
        <v>2295661109.697055</v>
      </c>
      <c r="H101" s="22">
        <f>IF(ISERR(G101-G92),"",(G101-G92))</f>
        <v>768839243.0527318</v>
      </c>
      <c r="I101" s="21">
        <f t="shared" si="5"/>
        <v>264193990077.59116</v>
      </c>
    </row>
    <row r="102" spans="1:9" ht="12.75">
      <c r="A102" s="74" t="s">
        <v>551</v>
      </c>
      <c r="B102" s="110">
        <f>SUM(H93:H114)/(10^6)</f>
        <v>16529.278708362377</v>
      </c>
      <c r="D102" s="25">
        <v>2018</v>
      </c>
      <c r="E102" s="23">
        <f>IF(D102&lt;=B93,B88*EXP(B89*(D102-D89)),"")</f>
      </c>
      <c r="F102" s="24">
        <f>IF(D102&gt;B93,"",IF(B91&gt;D102,"",IF(B91=D102,B92,IF(B91&lt;D102,(D102-B91)*B95+B92,B94))))</f>
      </c>
      <c r="G102" s="23">
        <f>IF(ISERR(F102*E102),IF(D102&gt;B93,G101,""),F102*E102)</f>
        <v>2295661109.697055</v>
      </c>
      <c r="H102" s="22">
        <f>IF(ISERR(G102-G92),"",(G102-G92))</f>
        <v>768839243.0527318</v>
      </c>
      <c r="I102" s="21">
        <f t="shared" si="5"/>
        <v>264193990077.59116</v>
      </c>
    </row>
    <row r="103" spans="1:14" ht="12.75">
      <c r="A103" s="74" t="s">
        <v>780</v>
      </c>
      <c r="B103" s="392">
        <f>VLOOKUP(B93,D89:H114,5,FALSE)/(10^6)</f>
        <v>768.8392430527317</v>
      </c>
      <c r="D103" s="25">
        <v>2019</v>
      </c>
      <c r="E103" s="23">
        <f>IF(D103&lt;=B93,B88*EXP(B89*(D103-D89)),"")</f>
      </c>
      <c r="F103" s="24">
        <f>IF(D103&gt;B93,"",IF(B91&gt;D103,"",IF(B91=D103,B92,IF(B91&lt;D103,(D103-B91)*B95+B92,B94))))</f>
      </c>
      <c r="G103" s="23">
        <f>IF(ISERR(F103*E103),IF(D103&gt;B93,G102,""),F103*E103)</f>
        <v>2295661109.697055</v>
      </c>
      <c r="H103" s="22">
        <f>IF(ISERR(G103-G92),"",(G103-G92))</f>
        <v>768839243.0527318</v>
      </c>
      <c r="I103" s="21">
        <f t="shared" si="5"/>
        <v>264193990077.59116</v>
      </c>
      <c r="L103" s="29" t="s">
        <v>552</v>
      </c>
      <c r="N103" s="420">
        <f>$C$12</f>
        <v>927.7650400000002</v>
      </c>
    </row>
    <row r="104" spans="1:14" ht="12.75">
      <c r="A104" t="s">
        <v>34</v>
      </c>
      <c r="B104" s="37">
        <v>675.98</v>
      </c>
      <c r="D104" s="25">
        <v>2020</v>
      </c>
      <c r="E104" s="23">
        <f>IF(D104&lt;=B93,B88*EXP(B89*(D104-D89)),"")</f>
      </c>
      <c r="F104" s="24">
        <f>IF(D104&gt;B93,"",IF(B91&gt;D104,"",IF(B91=D104,B92,IF(B91&lt;D104,(D104-B91)*B95+B92,B94))))</f>
      </c>
      <c r="G104" s="23">
        <f>IF(ISERR(F104*E104),IF(D104&gt;B93,G103,""),F104*E104)</f>
        <v>2295661109.697055</v>
      </c>
      <c r="H104" s="22">
        <f>IF(ISERR(G104-G92),"",(G104-G92))</f>
        <v>768839243.0527318</v>
      </c>
      <c r="I104" s="21">
        <f t="shared" si="5"/>
        <v>264193990077.59116</v>
      </c>
      <c r="L104" s="29" t="s">
        <v>475</v>
      </c>
      <c r="N104" s="226">
        <f>$C$13</f>
        <v>0.5</v>
      </c>
    </row>
    <row r="105" spans="1:14" ht="12.75">
      <c r="A105" t="s">
        <v>101</v>
      </c>
      <c r="B105" s="29">
        <f>B104*1.58987*10^5</f>
        <v>107472032.25999999</v>
      </c>
      <c r="D105" s="25">
        <v>2021</v>
      </c>
      <c r="E105" s="23">
        <f>IF(D105&lt;=B93,B88*EXP(B89*(D105-D89)),"")</f>
      </c>
      <c r="F105" s="24">
        <f>IF(D105&gt;B93,"",IF(B91&gt;D105,"",IF(B91=D105,B92,IF(B91&lt;D105,(D105-B91)*B95+B92,B94))))</f>
      </c>
      <c r="G105" s="23">
        <f>IF(ISERR(F105*E105),IF(D105&gt;B93,G104,""),F105*E105)</f>
        <v>2295661109.697055</v>
      </c>
      <c r="H105" s="22">
        <f>IF(ISERR(G105-G92),"",(G105-G92))</f>
        <v>768839243.0527318</v>
      </c>
      <c r="I105" s="21">
        <f t="shared" si="5"/>
        <v>264193990077.59116</v>
      </c>
      <c r="L105" s="29" t="s">
        <v>419</v>
      </c>
      <c r="N105" s="420">
        <f>$C$14</f>
        <v>1539.25</v>
      </c>
    </row>
    <row r="106" spans="1:9" ht="12.75">
      <c r="A106"/>
      <c r="D106" s="25">
        <v>2022</v>
      </c>
      <c r="E106" s="23">
        <f>IF(D106&lt;=B93,B88*EXP(B89*(D106-D89)),"")</f>
      </c>
      <c r="F106" s="24">
        <f>IF(D106&gt;B93,"",IF(B91&gt;D106,"",IF(B91=D106,B92,IF(B91&lt;D106,(D106-B91)*B95+B92,B94))))</f>
      </c>
      <c r="G106" s="23">
        <f>IF(ISERR(F106*E106),IF(D106&gt;B93,G105,""),F106*E106)</f>
        <v>2295661109.697055</v>
      </c>
      <c r="H106" s="22">
        <f>IF(ISERR(G106-G92),"",(G106-G92))</f>
        <v>768839243.0527318</v>
      </c>
      <c r="I106" s="21">
        <f t="shared" si="5"/>
        <v>264193990077.59116</v>
      </c>
    </row>
    <row r="107" spans="1:9" ht="12.75">
      <c r="A107" t="s">
        <v>34</v>
      </c>
      <c r="B107" s="29">
        <f>B108/(1.58987*10^5)</f>
        <v>675.9799999999999</v>
      </c>
      <c r="D107" s="25">
        <v>2023</v>
      </c>
      <c r="E107" s="23">
        <f>IF(D107&lt;=B93,B88*EXP(B89*(D107-D89)),"")</f>
      </c>
      <c r="F107" s="24">
        <f>IF(D107&gt;B93,"",IF(B91&gt;D107,"",IF(B91=D107,B92,IF(B91&lt;D107,(D107-B91)*B95+B92,B94))))</f>
      </c>
      <c r="G107" s="23">
        <f>IF(ISERR(F107*E107),IF(D107&gt;B93,G106,""),F107*E107)</f>
        <v>2295661109.697055</v>
      </c>
      <c r="H107" s="22">
        <f>IF(ISERR(G107-G92),"",(G107-G92))</f>
        <v>768839243.0527318</v>
      </c>
      <c r="I107" s="21">
        <f t="shared" si="5"/>
        <v>264193990077.59116</v>
      </c>
    </row>
    <row r="108" spans="1:9" ht="12.75">
      <c r="A108" t="s">
        <v>101</v>
      </c>
      <c r="B108" s="37">
        <v>107472032.25999999</v>
      </c>
      <c r="D108" s="25">
        <v>2024</v>
      </c>
      <c r="E108" s="23">
        <f>IF(D108&lt;=B93,B88*EXP(B89*(D108-D89)),"")</f>
      </c>
      <c r="F108" s="24">
        <f>IF(D108&gt;B93,"",IF(B91&gt;D108,"",IF(B91=D108,B92,IF(B91&lt;D108,(D108-B91)*B95+B92,B94))))</f>
      </c>
      <c r="G108" s="23">
        <f>IF(ISERR(F108*E108),IF(D108&gt;B93,G107,""),F108*E108)</f>
        <v>2295661109.697055</v>
      </c>
      <c r="H108" s="22">
        <f>IF(ISERR(G108-G92),"",(G108-G92))</f>
        <v>768839243.0527318</v>
      </c>
      <c r="I108" s="21">
        <f t="shared" si="5"/>
        <v>264193990077.59116</v>
      </c>
    </row>
    <row r="109" spans="1:9" ht="12.75">
      <c r="A109"/>
      <c r="D109" s="25">
        <v>2025</v>
      </c>
      <c r="E109" s="23">
        <f>IF(D109&lt;=B93,B88*EXP(B89*(D109-D89)),"")</f>
      </c>
      <c r="F109" s="24">
        <f>IF(D109&gt;B93,"",IF(B91&gt;D109,"",IF(B91=D109,B92,IF(B91&lt;D109,(D109-B91)*B95+B92,B94))))</f>
      </c>
      <c r="G109" s="23">
        <f>IF(ISERR(F109*E109),IF(D109&gt;B93,G108,""),F109*E109)</f>
        <v>2295661109.697055</v>
      </c>
      <c r="H109" s="22">
        <f>IF(ISERR(G109-G92),"",(G109-G92))</f>
        <v>768839243.0527318</v>
      </c>
      <c r="I109" s="21">
        <f t="shared" si="5"/>
        <v>264193990077.59116</v>
      </c>
    </row>
    <row r="110" spans="1:9" ht="12.75">
      <c r="A110" s="452" t="s">
        <v>794</v>
      </c>
      <c r="B110" s="452"/>
      <c r="D110" s="25">
        <v>2026</v>
      </c>
      <c r="E110" s="23">
        <f>IF(D110&lt;=B93,B88*EXP(B89*(D110-D89)),"")</f>
      </c>
      <c r="F110" s="24">
        <f>IF(D110&gt;B93,"",IF(B91&gt;D110,"",IF(B91=D110,B92,IF(B91&lt;D110,(D110-B91)*B95+B92,B94))))</f>
      </c>
      <c r="G110" s="23">
        <f>IF(ISERR(F110*E110),IF(D110&gt;B93,G109,""),F110*E110)</f>
        <v>2295661109.697055</v>
      </c>
      <c r="H110" s="22">
        <f>IF(ISERR(G110-G92),"",(G110-G92))</f>
        <v>768839243.0527318</v>
      </c>
      <c r="I110" s="21">
        <f t="shared" si="5"/>
        <v>264193990077.59116</v>
      </c>
    </row>
    <row r="111" spans="1:9" ht="12.75">
      <c r="A111" s="452"/>
      <c r="B111" s="452"/>
      <c r="D111" s="25">
        <v>2027</v>
      </c>
      <c r="E111" s="23">
        <f>IF(D111&lt;=B93,B88*EXP(B89*(D111-D89)),"")</f>
      </c>
      <c r="F111" s="24">
        <f>IF(D111&gt;B93,"",IF(B91&gt;D111,"",IF(B91=D111,B92,IF(B91&lt;D111,(D111-B91)*B95+B92,B94))))</f>
      </c>
      <c r="G111" s="23">
        <f>IF(ISERR(F111*E111),IF(D111&gt;B93,G110,""),F111*E111)</f>
        <v>2295661109.697055</v>
      </c>
      <c r="H111" s="22">
        <f>IF(ISERR(G111-G92),"",(G111-G92))</f>
        <v>768839243.0527318</v>
      </c>
      <c r="I111" s="21">
        <f t="shared" si="5"/>
        <v>264193990077.59116</v>
      </c>
    </row>
    <row r="112" spans="1:9" ht="12.75">
      <c r="A112" s="453"/>
      <c r="B112" s="453"/>
      <c r="D112" s="25">
        <v>2028</v>
      </c>
      <c r="E112" s="23">
        <f>IF(D112&lt;=B93,B88*EXP(B89*(D112-D89)),"")</f>
      </c>
      <c r="F112" s="24">
        <f>IF(D112&gt;B93,"",IF(B91&gt;D112,"",IF(B91=D112,B92,IF(B91&lt;D112,(D112-B91)*B95+B92,B94))))</f>
      </c>
      <c r="G112" s="23">
        <f>IF(ISERR(F112*E112),IF(D112&gt;B93,G111,""),F112*E112)</f>
        <v>2295661109.697055</v>
      </c>
      <c r="H112" s="22">
        <f>IF(ISERR(G112-G92),"",(G112-G92))</f>
        <v>768839243.0527318</v>
      </c>
      <c r="I112" s="21">
        <f t="shared" si="5"/>
        <v>264193990077.59116</v>
      </c>
    </row>
    <row r="113" spans="1:9" ht="12.75">
      <c r="A113"/>
      <c r="D113" s="25">
        <v>2029</v>
      </c>
      <c r="E113" s="23">
        <f>IF(D113&lt;=B93,B88*EXP(B89*(D113-D89)),"")</f>
      </c>
      <c r="F113" s="24">
        <f>IF(D113&gt;B93,"",IF(B91&gt;D113,"",IF(B91=D113,B92,IF(B91&lt;D113,(D113-B91)*B95+B92,B94))))</f>
      </c>
      <c r="G113" s="23">
        <f>IF(ISERR(F113*E113),IF(D113&gt;B93,G112,""),F113*E113)</f>
        <v>2295661109.697055</v>
      </c>
      <c r="H113" s="22">
        <f>IF(ISERR(G113-G92),"",(G113-G92))</f>
        <v>768839243.0527318</v>
      </c>
      <c r="I113" s="21">
        <f t="shared" si="5"/>
        <v>264193990077.59116</v>
      </c>
    </row>
    <row r="114" spans="1:9" ht="13.5" thickBot="1">
      <c r="A114"/>
      <c r="D114" s="20">
        <v>2030</v>
      </c>
      <c r="E114" s="18">
        <f>IF(D114&lt;=B93,B88*EXP(B89*(D114-D89)),"")</f>
      </c>
      <c r="F114" s="19">
        <f>IF(D114&gt;B93,"",IF(B91&gt;D114,"",IF(B91=D114,B92,IF(B91&lt;D114,(D114-B91)*B95+B92,B94))))</f>
      </c>
      <c r="G114" s="18">
        <f>IF(ISERR(F114*E114),IF(D114&gt;B93,G113,""),F114*E114)</f>
        <v>2295661109.697055</v>
      </c>
      <c r="H114" s="17">
        <f>IF(ISERR(G114-G92),"",(G114-G92))</f>
        <v>768839243.0527318</v>
      </c>
      <c r="I114" s="16">
        <f t="shared" si="5"/>
        <v>264193990077.59116</v>
      </c>
    </row>
    <row r="115" spans="1:9" ht="12.75">
      <c r="A115"/>
      <c r="D115" s="455" t="s">
        <v>407</v>
      </c>
      <c r="E115" s="455"/>
      <c r="F115" s="455"/>
      <c r="G115" s="64" t="s">
        <v>430</v>
      </c>
      <c r="H115" s="104"/>
      <c r="I115" s="103"/>
    </row>
    <row r="116" spans="1:31" s="74" customFormat="1" ht="12.75">
      <c r="A116" s="81"/>
      <c r="B116" s="80"/>
      <c r="C116" s="80"/>
      <c r="D116" s="90" t="s">
        <v>380</v>
      </c>
      <c r="E116" s="80"/>
      <c r="F116" s="80"/>
      <c r="G116" s="64" t="s">
        <v>382</v>
      </c>
      <c r="H116" s="80"/>
      <c r="I116" s="71"/>
      <c r="L116" s="29"/>
      <c r="M116" s="29"/>
      <c r="N116" s="29"/>
      <c r="O116" s="29"/>
      <c r="P116" s="29"/>
      <c r="Q116" s="29"/>
      <c r="R116" s="29"/>
      <c r="S116" s="29"/>
      <c r="T116" s="29"/>
      <c r="U116" s="29"/>
      <c r="V116" s="27"/>
      <c r="W116" s="27"/>
      <c r="X116" s="27"/>
      <c r="Y116" s="29"/>
      <c r="Z116" s="29"/>
      <c r="AA116" s="29"/>
      <c r="AB116" s="29"/>
      <c r="AC116" s="29"/>
      <c r="AD116" s="29"/>
      <c r="AE116" s="29"/>
    </row>
    <row r="117" spans="2:13" ht="12.75">
      <c r="B117" s="67"/>
      <c r="K117" s="63"/>
      <c r="L117" s="284"/>
      <c r="M117" s="284"/>
    </row>
    <row r="118" spans="2:13" ht="12.75">
      <c r="B118" s="67"/>
      <c r="K118" s="63"/>
      <c r="L118" s="284"/>
      <c r="M118" s="284"/>
    </row>
    <row r="119" spans="1:24" s="316" customFormat="1" ht="12.75">
      <c r="A119" s="315"/>
      <c r="B119" s="319"/>
      <c r="K119" s="317"/>
      <c r="L119" s="317"/>
      <c r="M119" s="317"/>
      <c r="V119" s="318"/>
      <c r="W119" s="318"/>
      <c r="X119" s="318"/>
    </row>
    <row r="122" spans="1:10" ht="36" customHeight="1" thickBot="1">
      <c r="A122" s="498" t="s">
        <v>348</v>
      </c>
      <c r="B122" s="499"/>
      <c r="C122" s="499"/>
      <c r="D122" s="499"/>
      <c r="E122" s="499"/>
      <c r="F122" s="499"/>
      <c r="G122" s="499"/>
      <c r="H122" s="499"/>
      <c r="I122" s="499"/>
      <c r="J122" s="64" t="s">
        <v>398</v>
      </c>
    </row>
    <row r="123" spans="1:12" ht="63.75">
      <c r="A123" t="s">
        <v>287</v>
      </c>
      <c r="B123" t="s">
        <v>289</v>
      </c>
      <c r="D123" s="46" t="s">
        <v>801</v>
      </c>
      <c r="E123" s="45" t="s">
        <v>802</v>
      </c>
      <c r="F123" s="45" t="s">
        <v>803</v>
      </c>
      <c r="G123" s="269" t="s">
        <v>541</v>
      </c>
      <c r="H123" s="269" t="s">
        <v>542</v>
      </c>
      <c r="I123" s="44" t="s">
        <v>261</v>
      </c>
      <c r="L123" s="29" t="s">
        <v>456</v>
      </c>
    </row>
    <row r="124" spans="1:13" ht="13.5" thickBot="1">
      <c r="A124" t="s">
        <v>262</v>
      </c>
      <c r="B124" s="221">
        <v>1359684000</v>
      </c>
      <c r="D124" s="43"/>
      <c r="E124" s="41" t="s">
        <v>263</v>
      </c>
      <c r="F124" s="42" t="s">
        <v>264</v>
      </c>
      <c r="G124" s="41" t="s">
        <v>265</v>
      </c>
      <c r="H124" s="41" t="s">
        <v>266</v>
      </c>
      <c r="I124" s="40" t="s">
        <v>267</v>
      </c>
      <c r="L124" s="29" t="s">
        <v>543</v>
      </c>
      <c r="M124" s="226">
        <f>INDEX($F$6:$K$13,MATCH(L123,$F$6:$F$13,),MATCH(L124,$F$6:$K$6,))</f>
        <v>0.30474452554744524</v>
      </c>
    </row>
    <row r="125" spans="1:13" ht="13.5" thickTop="1">
      <c r="A125" t="s">
        <v>268</v>
      </c>
      <c r="B125" s="31">
        <v>0.002</v>
      </c>
      <c r="C125" s="30"/>
      <c r="D125" s="25">
        <v>2005</v>
      </c>
      <c r="E125" s="23">
        <f>IF(D125&lt;=B129,B124*EXP(B125*(D125-D125)),"")</f>
        <v>1359684000</v>
      </c>
      <c r="F125" s="24">
        <f>IF(D125&gt;B129,"",IF(B127&gt;D125,"",IF(B127=D125,B128,IF(B127&lt;D125,(D125-B127)*B131+B128,B130))))</f>
        <v>0.002967359050445104</v>
      </c>
      <c r="G125" s="23">
        <f>IF(ISERR(F125*E125),IF(D125&gt;B129,G124,""),F125*E125)</f>
        <v>4034670.6231454005</v>
      </c>
      <c r="H125" s="39"/>
      <c r="I125" s="38"/>
      <c r="L125" s="29" t="s">
        <v>544</v>
      </c>
      <c r="M125" s="226">
        <f>INDEX($F$6:$K$13,MATCH(L123,$F$6:$F$13,),MATCH(L125,$F$6:$K$6,))</f>
        <v>0.6952554744525548</v>
      </c>
    </row>
    <row r="126" spans="1:9" ht="12.75">
      <c r="A126" t="s">
        <v>797</v>
      </c>
      <c r="B126" s="74" t="s">
        <v>545</v>
      </c>
      <c r="D126" s="25">
        <v>2006</v>
      </c>
      <c r="E126" s="23">
        <f>IF(D126&lt;=B129,B124*EXP(B125*(D126-D125)),"")</f>
        <v>1362406089.181819</v>
      </c>
      <c r="F126" s="24">
        <f>IF(D126&gt;B129,"",IF(B127&gt;D126,"",IF(B127=D126,B128,IF(B127&lt;D126,(D126-B127)*B131+B128,B130))))</f>
        <v>0.01281899109792285</v>
      </c>
      <c r="G126" s="23">
        <f>IF(ISERR(F126*E126),IF(D126&gt;B129,G125,""),F126*E126)</f>
        <v>17464671.52897762</v>
      </c>
      <c r="H126" s="23"/>
      <c r="I126" s="34"/>
    </row>
    <row r="127" spans="1:9" ht="12.75">
      <c r="A127" t="s">
        <v>290</v>
      </c>
      <c r="B127" s="37">
        <v>2005</v>
      </c>
      <c r="D127" s="25">
        <v>2007</v>
      </c>
      <c r="E127" s="23">
        <f>IF(D127&lt;=B129,B124*EXP(B125*(D127-D125)),"")</f>
        <v>1365133627.989811</v>
      </c>
      <c r="F127" s="24">
        <f>IF(D127&gt;B129,"",IF(B127&gt;D127,"",IF(B127=D127,B128,IF(B127&lt;D127,(D127-B127)*B131+B128,B130))))</f>
        <v>0.022670623145400595</v>
      </c>
      <c r="G127" s="23">
        <f>IF(ISERR(F127*E127),IF(D127&gt;B129,G126,""),F127*E127)</f>
        <v>30948430.023270495</v>
      </c>
      <c r="H127" s="23"/>
      <c r="I127" s="34"/>
    </row>
    <row r="128" spans="1:13" ht="12.75">
      <c r="A128" s="33" t="s">
        <v>291</v>
      </c>
      <c r="B128" s="36">
        <f>4000/1348000</f>
        <v>0.002967359050445104</v>
      </c>
      <c r="C128" s="35"/>
      <c r="D128" s="25">
        <v>2008</v>
      </c>
      <c r="E128" s="23">
        <f>IF(D128&lt;=B129,B124*EXP(B125*(D128-D125)),"")</f>
        <v>1367866627.3341353</v>
      </c>
      <c r="F128" s="24">
        <f>IF(D128&gt;B129,"",IF(B127&gt;D128,"",IF(B127=D128,B128,IF(B127&lt;D128,(D128-B127)*B131+B128,B130))))</f>
        <v>0.032522255192878345</v>
      </c>
      <c r="G128" s="23">
        <f>IF(ISERR(F128*E128),IF(D128&gt;B129,G127,""),F128*E128)</f>
        <v>44486107.52398257</v>
      </c>
      <c r="H128" s="23"/>
      <c r="I128" s="34"/>
      <c r="L128" s="29" t="s">
        <v>585</v>
      </c>
      <c r="M128" s="29">
        <f>$M$22</f>
        <v>0</v>
      </c>
    </row>
    <row r="129" spans="1:13" ht="12.75">
      <c r="A129" t="s">
        <v>211</v>
      </c>
      <c r="B129" s="32">
        <v>2025</v>
      </c>
      <c r="C129" s="30"/>
      <c r="D129" s="25">
        <v>2009</v>
      </c>
      <c r="E129" s="23">
        <f>IF(D129&lt;=B129,B124*EXP(B125*(D129-D125)),"")</f>
        <v>1370605098.1467927</v>
      </c>
      <c r="F129" s="24">
        <f>IF(D129&gt;B129,"",IF(B127&gt;D129,"",IF(B127=D129,B128,IF(B127&lt;D129,(D129-B127)*B131+B128,B130))))</f>
        <v>0.04237388724035609</v>
      </c>
      <c r="G129" s="23">
        <f>IF(ISERR(F129*E129),IF(D129&gt;B129,G128,""),F129*E129)</f>
        <v>58077865.87992938</v>
      </c>
      <c r="H129" s="22">
        <f>IF(ISERR(G129-G128),"",(G129-G128))</f>
        <v>13591758.355946809</v>
      </c>
      <c r="I129" s="21">
        <f>H129*($M$124*$N$139+$M$126*$N$141)</f>
        <v>3842815739.4297075</v>
      </c>
      <c r="L129" s="29" t="s">
        <v>586</v>
      </c>
      <c r="M129" s="29">
        <f>$M$23</f>
        <v>0</v>
      </c>
    </row>
    <row r="130" spans="1:9" ht="12.75">
      <c r="A130" t="s">
        <v>251</v>
      </c>
      <c r="B130" s="31">
        <v>0.2</v>
      </c>
      <c r="C130" s="30"/>
      <c r="D130" s="25">
        <v>2010</v>
      </c>
      <c r="E130" s="23">
        <f>IF(D130&lt;=B129,B124*EXP(B125*(D130-D125)),"")</f>
        <v>1373349051.3816698</v>
      </c>
      <c r="F130" s="24">
        <f>IF(D130&gt;B129,"",IF(B127&gt;D130,"",IF(B127=D130,B128,IF(B127&lt;D130,(D130-B127)*B131+B128,B130))))</f>
        <v>0.05222551928783383</v>
      </c>
      <c r="G130" s="23">
        <f>IF(ISERR(F130*E130),IF(D130&gt;B129,G129,""),F130*E130)</f>
        <v>71723867.3718617</v>
      </c>
      <c r="H130" s="22">
        <f>IF(ISERR(G130-G128),"",(G130-G128))</f>
        <v>27237759.847879127</v>
      </c>
      <c r="I130" s="21">
        <f aca="true" t="shared" si="6" ref="I130:I150">H130*($M$124*$N$139+$M$126*$N$141)</f>
        <v>7700967712.131245</v>
      </c>
    </row>
    <row r="131" spans="1:9" ht="12.75">
      <c r="A131" s="29" t="s">
        <v>723</v>
      </c>
      <c r="B131" s="271">
        <f>(B130-B128)/(B129-B127)</f>
        <v>0.009851632047477746</v>
      </c>
      <c r="D131" s="25">
        <v>2011</v>
      </c>
      <c r="E131" s="23">
        <f>IF(D131&lt;=B129,B124*EXP(B125*(D131-D125)),"")</f>
        <v>1376098498.014584</v>
      </c>
      <c r="F131" s="24">
        <f>IF(D131&gt;B129,"",IF(B127&gt;D131,"",IF(B127=D131,B128,IF(B127&lt;D131,(D131-B127)*B131+B128,B130))))</f>
        <v>0.06207715133531158</v>
      </c>
      <c r="G131" s="23">
        <f>IF(ISERR(F131*E131),IF(D131&gt;B129,G130,""),F131*E131)</f>
        <v>85424274.71354629</v>
      </c>
      <c r="H131" s="22">
        <f>IF(ISERR(G131-G128),"",(G131-G128))</f>
        <v>40938167.18956372</v>
      </c>
      <c r="I131" s="21">
        <f t="shared" si="6"/>
        <v>11574501922.382174</v>
      </c>
    </row>
    <row r="132" spans="1:14" ht="12.75">
      <c r="A132"/>
      <c r="D132" s="25">
        <v>2012</v>
      </c>
      <c r="E132" s="23">
        <f>IF(D132&lt;=B129,B124*EXP(B125*(D132-D125)),"")</f>
        <v>1378853449.043325</v>
      </c>
      <c r="F132" s="24">
        <f>IF(D132&gt;B129,"",IF(B127&gt;D132,"",IF(B127=D132,B128,IF(B127&lt;D132,(D132-B127)*B131+B128,B130))))</f>
        <v>0.07192878338278934</v>
      </c>
      <c r="G132" s="23">
        <f>IF(ISERR(F132*E132),IF(D132&gt;B129,G131,""),F132*E132)</f>
        <v>99179251.05284928</v>
      </c>
      <c r="H132" s="22">
        <f>IF(ISERR(G132-G128),"",(G132-G128))</f>
        <v>54693143.52886671</v>
      </c>
      <c r="I132" s="21">
        <f t="shared" si="6"/>
        <v>15463464497.193535</v>
      </c>
      <c r="L132" s="29" t="s">
        <v>517</v>
      </c>
      <c r="M132" s="29" t="s">
        <v>518</v>
      </c>
      <c r="N132" s="29" t="s">
        <v>546</v>
      </c>
    </row>
    <row r="133" spans="1:14" ht="12.75">
      <c r="A133"/>
      <c r="D133" s="25">
        <v>2013</v>
      </c>
      <c r="E133" s="23">
        <f>IF(D133&lt;=B129,B124*EXP(B125*(D133-D125)),"")</f>
        <v>1381613915.4877007</v>
      </c>
      <c r="F133" s="24">
        <f>IF(D133&gt;B129,"",IF(B127&gt;D133,"",IF(B127=D133,B128,IF(B127&lt;D133,(D133-B127)*B131+B128,B130))))</f>
        <v>0.08178041543026708</v>
      </c>
      <c r="G133" s="23">
        <f>IF(ISERR(F133*E133),IF(D133&gt;B129,G132,""),F133*E133)</f>
        <v>112988959.97282207</v>
      </c>
      <c r="H133" s="22">
        <f>IF(ISERR(G133-G128),"",(G133-G128))</f>
        <v>68502852.4488395</v>
      </c>
      <c r="I133" s="21">
        <f t="shared" si="6"/>
        <v>19367901686.616882</v>
      </c>
      <c r="L133" s="29" t="s">
        <v>547</v>
      </c>
      <c r="M133" s="29">
        <f>$B$7</f>
        <v>8780</v>
      </c>
      <c r="N133" s="228">
        <f>$C$7</f>
        <v>2319.4126</v>
      </c>
    </row>
    <row r="134" spans="1:14" ht="12.75">
      <c r="A134" t="s">
        <v>33</v>
      </c>
      <c r="B134" s="27">
        <f>VLOOKUP(B129,D125:I150,6,FALSE)</f>
        <v>67445172218.82599</v>
      </c>
      <c r="D134" s="25">
        <v>2014</v>
      </c>
      <c r="E134" s="23">
        <f>IF(D134&lt;=B129,B124*EXP(B125*(D134-D125)),"")</f>
        <v>1384379908.3895802</v>
      </c>
      <c r="F134" s="24">
        <f>IF(D134&gt;B129,"",IF(B127&gt;D134,"",IF(B127=D134,B128,IF(B127&lt;D134,(D134-B127)*B131+B128,B130))))</f>
        <v>0.09163204747774482</v>
      </c>
      <c r="G134" s="23">
        <f>IF(ISERR(F134*E134),IF(D134&gt;B129,G133,""),F134*E134)</f>
        <v>126853565.49279004</v>
      </c>
      <c r="H134" s="22">
        <f>IF(ISERR(G134-G128),"",(G134-G128))</f>
        <v>82367457.96880747</v>
      </c>
      <c r="I134" s="21">
        <f t="shared" si="6"/>
        <v>23287859864.052086</v>
      </c>
      <c r="L134" s="29" t="s">
        <v>548</v>
      </c>
      <c r="M134" s="29">
        <f>$B$8</f>
        <v>3512</v>
      </c>
      <c r="N134" s="228">
        <f>$C$8</f>
        <v>927.76504</v>
      </c>
    </row>
    <row r="135" spans="1:14" ht="12.75">
      <c r="A135" t="s">
        <v>77</v>
      </c>
      <c r="B135" s="27">
        <f>SUM(I129:I150)</f>
        <v>937832865969.9312</v>
      </c>
      <c r="D135" s="25">
        <v>2015</v>
      </c>
      <c r="E135" s="23">
        <f>IF(D135&lt;=B129,B124*EXP(B125*(D135-D125)),"")</f>
        <v>1387151438.8129394</v>
      </c>
      <c r="F135" s="24">
        <f>IF(D135&gt;B129,"",IF(B127&gt;D135,"",IF(B127=D135,B128,IF(B127&lt;D135,(D135-B127)*B131+B128,B130))))</f>
        <v>0.10148367952522257</v>
      </c>
      <c r="G135" s="23">
        <f>IF(ISERR(F135*E135),IF(D135&gt;B129,G134,""),F135*E135)</f>
        <v>140773232.06944373</v>
      </c>
      <c r="H135" s="22">
        <f>IF(ISERR(G135-G128),"",(G135-G128))</f>
        <v>96287124.54546116</v>
      </c>
      <c r="I135" s="21">
        <f t="shared" si="6"/>
        <v>27223385526.555836</v>
      </c>
      <c r="L135" s="29" t="s">
        <v>549</v>
      </c>
      <c r="M135" s="29">
        <f>$B$9</f>
        <v>7024</v>
      </c>
      <c r="N135" s="228">
        <f>$C$9</f>
        <v>1855.53008</v>
      </c>
    </row>
    <row r="136" spans="1:14" ht="12.75">
      <c r="A136" t="s">
        <v>76</v>
      </c>
      <c r="B136" s="26">
        <f>B134/(10^12)</f>
        <v>0.06744517221882598</v>
      </c>
      <c r="D136" s="25">
        <v>2016</v>
      </c>
      <c r="E136" s="23">
        <f>IF(D136&lt;=B129,B124*EXP(B125*(D136-D125)),"")</f>
        <v>1389928517.8439033</v>
      </c>
      <c r="F136" s="24">
        <f>IF(D136&gt;B129,"",IF(B127&gt;D136,"",IF(B127=D136,B128,IF(B127&lt;D136,(D136-B127)*B131+B128,B130))))</f>
        <v>0.11133531157270032</v>
      </c>
      <c r="G136" s="23">
        <f>IF(ISERR(F136*E136),IF(D136&gt;B129,G135,""),F136*E136)</f>
        <v>154748124.59793255</v>
      </c>
      <c r="H136" s="22">
        <f>IF(ISERR(G136-G128),"",(G136-G128))</f>
        <v>110262017.07394998</v>
      </c>
      <c r="I136" s="21">
        <f t="shared" si="6"/>
        <v>31174525295.15088</v>
      </c>
      <c r="L136" s="29" t="s">
        <v>550</v>
      </c>
      <c r="M136" s="29">
        <f>$B$10</f>
        <v>11652.122500000001</v>
      </c>
      <c r="N136" s="228">
        <f>$C$10</f>
        <v>3078.5</v>
      </c>
    </row>
    <row r="137" spans="1:9" ht="12.75">
      <c r="A137" t="s">
        <v>786</v>
      </c>
      <c r="B137" s="26">
        <f>B135/(10^12)</f>
        <v>0.9378328659699312</v>
      </c>
      <c r="D137" s="25">
        <v>2017</v>
      </c>
      <c r="E137" s="23">
        <f>IF(D137&lt;=B129,B124*EXP(B125*(D137-D125)),"")</f>
        <v>1392711156.590792</v>
      </c>
      <c r="F137" s="24">
        <f>IF(D137&gt;B129,"",IF(B127&gt;D137,"",IF(B127=D137,B128,IF(B127&lt;D137,(D137-B127)*B131+B128,B130))))</f>
        <v>0.12118694362017807</v>
      </c>
      <c r="G137" s="23">
        <f>IF(ISERR(F137*E137),IF(D137&gt;B129,G136,""),F137*E137)</f>
        <v>168778408.4129613</v>
      </c>
      <c r="H137" s="22">
        <f>IF(ISERR(G137-G128),"",(G137-G128))</f>
        <v>124292300.88897873</v>
      </c>
      <c r="I137" s="21">
        <f t="shared" si="6"/>
        <v>35141325915.13605</v>
      </c>
    </row>
    <row r="138" spans="1:9" ht="12.75">
      <c r="A138" s="74" t="s">
        <v>551</v>
      </c>
      <c r="B138" s="110">
        <f>SUM(H129:H150)/(10^6)</f>
        <v>3317.0462902340582</v>
      </c>
      <c r="D138" s="25">
        <v>2018</v>
      </c>
      <c r="E138" s="23">
        <f>IF(D138&lt;=B129,B124*EXP(B125*(D138-D125)),"")</f>
        <v>1395499366.1841636</v>
      </c>
      <c r="F138" s="24">
        <f>IF(D138&gt;B129,"",IF(B127&gt;D138,"",IF(B127=D138,B128,IF(B127&lt;D138,(D138-B127)*B131+B128,B130))))</f>
        <v>0.1310385756676558</v>
      </c>
      <c r="G138" s="23">
        <f>IF(ISERR(F138*E138),IF(D138&gt;B129,G137,""),F138*E138)</f>
        <v>182864249.28988925</v>
      </c>
      <c r="H138" s="22">
        <f>IF(ISERR(G138-G128),"",(G138-G128))</f>
        <v>138378141.7659067</v>
      </c>
      <c r="I138" s="21">
        <f t="shared" si="6"/>
        <v>39123834256.39698</v>
      </c>
    </row>
    <row r="139" spans="1:14" ht="12.75">
      <c r="A139" s="74" t="s">
        <v>791</v>
      </c>
      <c r="B139" s="392">
        <f>VLOOKUP(B129,D125:H150,5,FALSE)/(10^6)</f>
        <v>238.54864381541807</v>
      </c>
      <c r="D139" s="25">
        <v>2019</v>
      </c>
      <c r="E139" s="23">
        <f>IF(D139&lt;=B129,B124*EXP(B125*(D139-D125)),"")</f>
        <v>1398293157.776861</v>
      </c>
      <c r="F139" s="24">
        <f>IF(D139&gt;B129,"",IF(B127&gt;D139,"",IF(B127=D139,B128,IF(B127&lt;D139,(D139-B127)*B131+B128,B130))))</f>
        <v>0.14089020771513355</v>
      </c>
      <c r="G139" s="23">
        <f>IF(ISERR(F139*E139),IF(D139&gt;B129,G138,""),F139*E139)</f>
        <v>197005813.44583195</v>
      </c>
      <c r="H139" s="22">
        <f>IF(ISERR(G139-G128),"",(G139-G128))</f>
        <v>152519705.92184937</v>
      </c>
      <c r="I139" s="21">
        <f t="shared" si="6"/>
        <v>43122097313.717636</v>
      </c>
      <c r="L139" s="29" t="s">
        <v>552</v>
      </c>
      <c r="N139" s="420">
        <f>$C$12</f>
        <v>927.7650400000002</v>
      </c>
    </row>
    <row r="140" spans="1:14" ht="12.75">
      <c r="A140" t="s">
        <v>34</v>
      </c>
      <c r="B140" s="37">
        <v>675.98</v>
      </c>
      <c r="D140" s="25">
        <v>2020</v>
      </c>
      <c r="E140" s="23">
        <f>IF(D140&lt;=B129,B124*EXP(B125*(D140-D125)),"")</f>
        <v>1401092542.5440538</v>
      </c>
      <c r="F140" s="24">
        <f>IF(D140&gt;B129,"",IF(B127&gt;D140,"",IF(B127=D140,B128,IF(B127&lt;D140,(D140-B127)*B131+B128,B130))))</f>
        <v>0.1507418397626113</v>
      </c>
      <c r="G140" s="23">
        <f>IF(ISERR(F140*E140),IF(D140&gt;B129,G139,""),F140*E140)</f>
        <v>211203267.5407654</v>
      </c>
      <c r="H140" s="22">
        <f>IF(ISERR(G140-G128),"",(G140-G128))</f>
        <v>166717160.01678282</v>
      </c>
      <c r="I140" s="21">
        <f t="shared" si="6"/>
        <v>47136162207.09254</v>
      </c>
      <c r="L140" s="29" t="s">
        <v>475</v>
      </c>
      <c r="N140" s="226">
        <f>$C$13</f>
        <v>0.5</v>
      </c>
    </row>
    <row r="141" spans="1:14" ht="12.75">
      <c r="A141" t="s">
        <v>101</v>
      </c>
      <c r="B141" s="29">
        <f>B140*1.58987*10^5</f>
        <v>107472032.25999999</v>
      </c>
      <c r="D141" s="25">
        <v>2021</v>
      </c>
      <c r="E141" s="23">
        <f>IF(D141&lt;=B129,B124*EXP(B125*(D141-D125)),"")</f>
        <v>1403897531.6832845</v>
      </c>
      <c r="F141" s="24">
        <f>IF(D141&gt;B129,"",IF(B127&gt;D141,"",IF(B127=D141,B128,IF(B127&lt;D141,(D141-B127)*B131+B128,B130))))</f>
        <v>0.16059347181008904</v>
      </c>
      <c r="G141" s="23">
        <f>IF(ISERR(F141*E141),IF(D141&gt;B129,G140,""),F141*E141)</f>
        <v>225456778.67863312</v>
      </c>
      <c r="H141" s="22">
        <f>IF(ISERR(G141-G128),"",(G141-G128))</f>
        <v>180970671.15465057</v>
      </c>
      <c r="I141" s="21">
        <f t="shared" si="6"/>
        <v>51166076182.03969</v>
      </c>
      <c r="L141" s="29" t="s">
        <v>419</v>
      </c>
      <c r="N141" s="420">
        <f>$C$14</f>
        <v>1539.25</v>
      </c>
    </row>
    <row r="142" spans="1:9" ht="12.75">
      <c r="A142"/>
      <c r="D142" s="25">
        <v>2022</v>
      </c>
      <c r="E142" s="23">
        <f>IF(D142&lt;=B129,B124*EXP(B125*(D142-D125)),"")</f>
        <v>1406708136.4145143</v>
      </c>
      <c r="F142" s="24">
        <f>IF(D142&gt;B129,"",IF(B127&gt;D142,"",IF(B127=D142,B128,IF(B127&lt;D142,(D142-B127)*B131+B128,B130))))</f>
        <v>0.17044510385756678</v>
      </c>
      <c r="G142" s="23">
        <f>IF(ISERR(F142*E142),IF(D142&gt;B129,G141,""),F142*E142)</f>
        <v>239766514.40845612</v>
      </c>
      <c r="H142" s="22">
        <f>IF(ISERR(G142-G128),"",(G142-G128))</f>
        <v>195280406.88447356</v>
      </c>
      <c r="I142" s="21">
        <f t="shared" si="6"/>
        <v>55211886609.914444</v>
      </c>
    </row>
    <row r="143" spans="1:9" ht="12.75">
      <c r="A143" t="s">
        <v>34</v>
      </c>
      <c r="B143" s="29">
        <f>B144/(1.58987*10^5)</f>
        <v>675.9799999999999</v>
      </c>
      <c r="D143" s="25">
        <v>2023</v>
      </c>
      <c r="E143" s="23">
        <f>IF(D143&lt;=B129,B124*EXP(B125*(D143-D125)),"")</f>
        <v>1409524367.980165</v>
      </c>
      <c r="F143" s="24">
        <f>IF(D143&gt;B129,"",IF(B127&gt;D143,"",IF(B127=D143,B128,IF(B127&lt;D143,(D143-B127)*B131+B128,B130))))</f>
        <v>0.18029673590504453</v>
      </c>
      <c r="G143" s="23">
        <f>IF(ISERR(F143*E143),IF(D143&gt;B129,G142,""),F143*E143)</f>
        <v>254132642.7254446</v>
      </c>
      <c r="H143" s="22">
        <f>IF(ISERR(G143-G128),"",(G143-G128))</f>
        <v>209646535.20146203</v>
      </c>
      <c r="I143" s="21">
        <f t="shared" si="6"/>
        <v>59273640988.22383</v>
      </c>
    </row>
    <row r="144" spans="1:9" ht="12.75">
      <c r="A144" t="s">
        <v>101</v>
      </c>
      <c r="B144" s="37">
        <v>107472032.25999999</v>
      </c>
      <c r="D144" s="25">
        <v>2024</v>
      </c>
      <c r="E144" s="23">
        <f>IF(D144&lt;=B129,B124*EXP(B125*(D144-D125)),"")</f>
        <v>1412346237.645167</v>
      </c>
      <c r="F144" s="24">
        <f>IF(D144&gt;B129,"",IF(B127&gt;D144,"",IF(B127=D144,B128,IF(B127&lt;D144,(D144-B127)*B131+B128,B130))))</f>
        <v>0.19014836795252227</v>
      </c>
      <c r="G144" s="23">
        <f>IF(ISERR(F144*E144),IF(D144&gt;B129,G143,""),F144*E144)</f>
        <v>268555332.0721137</v>
      </c>
      <c r="H144" s="22">
        <f>IF(ISERR(G144-G128),"",(G144-G128))</f>
        <v>224069224.5481311</v>
      </c>
      <c r="I144" s="21">
        <f t="shared" si="6"/>
        <v>63351386940.94197</v>
      </c>
    </row>
    <row r="145" spans="1:9" ht="12.75">
      <c r="A145"/>
      <c r="D145" s="25">
        <v>2025</v>
      </c>
      <c r="E145" s="23">
        <f>IF(D145&lt;=B129,B124*EXP(B125*(D145-D125)),"")</f>
        <v>1415173756.6970031</v>
      </c>
      <c r="F145" s="24">
        <f>IF(D145&gt;B129,"",IF(B127&gt;D145,"",IF(B127=D145,B128,IF(B127&lt;D145,(D145-B127)*B131+B128,B130))))</f>
        <v>0.2</v>
      </c>
      <c r="G145" s="23">
        <f>IF(ISERR(F145*E145),IF(D145&gt;B129,G144,""),F145*E145)</f>
        <v>283034751.33940065</v>
      </c>
      <c r="H145" s="22">
        <f>IF(ISERR(G145-G128),"",(G145-G128))</f>
        <v>238548643.81541806</v>
      </c>
      <c r="I145" s="21">
        <f t="shared" si="6"/>
        <v>67445172218.82599</v>
      </c>
    </row>
    <row r="146" spans="1:9" ht="12.75">
      <c r="A146" s="452" t="s">
        <v>794</v>
      </c>
      <c r="B146" s="452"/>
      <c r="D146" s="25">
        <v>2026</v>
      </c>
      <c r="E146" s="23">
        <f>IF(D146&lt;=B129,B124*EXP(B125*(D146-D125)),"")</f>
      </c>
      <c r="F146" s="24">
        <f>IF(D146&gt;B129,"",IF(B127&gt;D146,"",IF(B127=D146,B128,IF(B127&lt;D146,(D146-B127)*B131+B128,B130))))</f>
      </c>
      <c r="G146" s="23">
        <f>IF(ISERR(F146*E146),IF(D146&gt;B129,G145,""),F146*E146)</f>
        <v>283034751.33940065</v>
      </c>
      <c r="H146" s="22">
        <f>IF(ISERR(G146-G128),"",(G146-G128))</f>
        <v>238548643.81541806</v>
      </c>
      <c r="I146" s="21">
        <f t="shared" si="6"/>
        <v>67445172218.82599</v>
      </c>
    </row>
    <row r="147" spans="1:9" ht="12.75">
      <c r="A147" s="452"/>
      <c r="B147" s="452"/>
      <c r="D147" s="25">
        <v>2027</v>
      </c>
      <c r="E147" s="23">
        <f>IF(D147&lt;=B129,B124*EXP(B125*(D147-D125)),"")</f>
      </c>
      <c r="F147" s="24">
        <f>IF(D147&gt;B129,"",IF(B127&gt;D147,"",IF(B127=D147,B128,IF(B127&lt;D147,(D147-B127)*B131+B128,B130))))</f>
      </c>
      <c r="G147" s="23">
        <f>IF(ISERR(F147*E147),IF(D147&gt;B129,G146,""),F147*E147)</f>
        <v>283034751.33940065</v>
      </c>
      <c r="H147" s="22">
        <f>IF(ISERR(G147-G128),"",(G147-G128))</f>
        <v>238548643.81541806</v>
      </c>
      <c r="I147" s="21">
        <f t="shared" si="6"/>
        <v>67445172218.82599</v>
      </c>
    </row>
    <row r="148" spans="1:9" ht="12.75">
      <c r="A148" s="453"/>
      <c r="B148" s="453"/>
      <c r="D148" s="25">
        <v>2028</v>
      </c>
      <c r="E148" s="23">
        <f>IF(D148&lt;=B129,B124*EXP(B125*(D148-D125)),"")</f>
      </c>
      <c r="F148" s="24">
        <f>IF(D148&gt;B129,"",IF(B127&gt;D148,"",IF(B127=D148,B128,IF(B127&lt;D148,(D148-B127)*B131+B128,B130))))</f>
      </c>
      <c r="G148" s="23">
        <f>IF(ISERR(F148*E148),IF(D148&gt;B129,G147,""),F148*E148)</f>
        <v>283034751.33940065</v>
      </c>
      <c r="H148" s="22">
        <f>IF(ISERR(G148-G128),"",(G148-G128))</f>
        <v>238548643.81541806</v>
      </c>
      <c r="I148" s="21">
        <f t="shared" si="6"/>
        <v>67445172218.82599</v>
      </c>
    </row>
    <row r="149" spans="1:9" ht="12.75">
      <c r="A149"/>
      <c r="D149" s="25">
        <v>2029</v>
      </c>
      <c r="E149" s="23">
        <f>IF(D149&lt;=B129,B124*EXP(B125*(D149-D125)),"")</f>
      </c>
      <c r="F149" s="24">
        <f>IF(D149&gt;B129,"",IF(B127&gt;D149,"",IF(B127=D149,B128,IF(B127&lt;D149,(D149-B127)*B131+B128,B130))))</f>
      </c>
      <c r="G149" s="23">
        <f>IF(ISERR(F149*E149),IF(D149&gt;B129,G148,""),F149*E149)</f>
        <v>283034751.33940065</v>
      </c>
      <c r="H149" s="22">
        <f>IF(ISERR(G149-G128),"",(G149-G128))</f>
        <v>238548643.81541806</v>
      </c>
      <c r="I149" s="21">
        <f t="shared" si="6"/>
        <v>67445172218.82599</v>
      </c>
    </row>
    <row r="150" spans="1:9" ht="13.5" thickBot="1">
      <c r="A150"/>
      <c r="D150" s="20">
        <v>2030</v>
      </c>
      <c r="E150" s="18">
        <f>IF(D150&lt;=B129,B124*EXP(B125*(D150-D125)),"")</f>
      </c>
      <c r="F150" s="19">
        <f>IF(D150&gt;B129,"",IF(B127&gt;D150,"",IF(B127=D150,B128,IF(B127&lt;D150,(D150-B127)*B131+B128,B130))))</f>
      </c>
      <c r="G150" s="18">
        <f>IF(ISERR(F150*E150),IF(D150&gt;B129,G149,""),F150*E150)</f>
        <v>283034751.33940065</v>
      </c>
      <c r="H150" s="17">
        <f>IF(ISERR(G150-G128),"",(G150-G128))</f>
        <v>238548643.81541806</v>
      </c>
      <c r="I150" s="16">
        <f t="shared" si="6"/>
        <v>67445172218.82599</v>
      </c>
    </row>
    <row r="151" spans="4:7" ht="12.75">
      <c r="D151" t="s">
        <v>952</v>
      </c>
      <c r="G151" s="64" t="s">
        <v>399</v>
      </c>
    </row>
    <row r="152" spans="1:31" s="114" customFormat="1" ht="12.75">
      <c r="A152" s="112"/>
      <c r="B152" s="113"/>
      <c r="D152" s="74" t="s">
        <v>380</v>
      </c>
      <c r="E152" s="74"/>
      <c r="F152" s="74"/>
      <c r="G152" s="47" t="s">
        <v>400</v>
      </c>
      <c r="H152"/>
      <c r="I152"/>
      <c r="K152" s="113"/>
      <c r="L152" s="288"/>
      <c r="M152" s="288"/>
      <c r="N152" s="292"/>
      <c r="O152" s="292"/>
      <c r="P152" s="292"/>
      <c r="Q152" s="292"/>
      <c r="R152" s="292"/>
      <c r="S152" s="292"/>
      <c r="T152" s="292"/>
      <c r="U152" s="292"/>
      <c r="V152" s="294"/>
      <c r="W152" s="294"/>
      <c r="X152" s="294"/>
      <c r="Y152" s="292"/>
      <c r="Z152" s="292"/>
      <c r="AA152" s="292"/>
      <c r="AB152" s="292"/>
      <c r="AC152" s="292"/>
      <c r="AD152" s="292"/>
      <c r="AE152" s="292"/>
    </row>
    <row r="153" spans="1:31" s="114" customFormat="1" ht="12.75">
      <c r="A153" s="112"/>
      <c r="B153" s="113"/>
      <c r="D153" s="74"/>
      <c r="E153" s="74"/>
      <c r="F153" s="74"/>
      <c r="G153" s="47"/>
      <c r="H153"/>
      <c r="I153"/>
      <c r="K153" s="113"/>
      <c r="L153" s="288"/>
      <c r="M153" s="288"/>
      <c r="N153" s="292"/>
      <c r="O153" s="292"/>
      <c r="P153" s="292"/>
      <c r="Q153" s="292"/>
      <c r="R153" s="292"/>
      <c r="S153" s="292"/>
      <c r="T153" s="292"/>
      <c r="U153" s="292"/>
      <c r="V153" s="294"/>
      <c r="W153" s="294"/>
      <c r="X153" s="294"/>
      <c r="Y153" s="292"/>
      <c r="Z153" s="292"/>
      <c r="AA153" s="292"/>
      <c r="AB153" s="292"/>
      <c r="AC153" s="292"/>
      <c r="AD153" s="292"/>
      <c r="AE153" s="292"/>
    </row>
    <row r="154" spans="1:31" s="114" customFormat="1" ht="12.75">
      <c r="A154" s="112"/>
      <c r="B154" s="113"/>
      <c r="D154" s="74"/>
      <c r="E154" s="74"/>
      <c r="F154" s="74"/>
      <c r="G154" s="47"/>
      <c r="H154"/>
      <c r="I154"/>
      <c r="K154" s="113"/>
      <c r="L154" s="288"/>
      <c r="M154" s="288"/>
      <c r="N154" s="292"/>
      <c r="O154" s="292"/>
      <c r="P154" s="292"/>
      <c r="Q154" s="292"/>
      <c r="R154" s="292"/>
      <c r="S154" s="292"/>
      <c r="T154" s="292"/>
      <c r="U154" s="292"/>
      <c r="V154" s="294"/>
      <c r="W154" s="294"/>
      <c r="X154" s="294"/>
      <c r="Y154" s="292"/>
      <c r="Z154" s="292"/>
      <c r="AA154" s="292"/>
      <c r="AB154" s="292"/>
      <c r="AC154" s="292"/>
      <c r="AD154" s="292"/>
      <c r="AE154" s="292"/>
    </row>
    <row r="155" spans="1:31" s="114" customFormat="1" ht="12.75">
      <c r="A155" s="112"/>
      <c r="B155" s="113"/>
      <c r="D155" s="74"/>
      <c r="E155" s="74"/>
      <c r="F155" s="74"/>
      <c r="G155" s="47"/>
      <c r="H155"/>
      <c r="I155"/>
      <c r="K155" s="113"/>
      <c r="L155" s="288"/>
      <c r="M155" s="288"/>
      <c r="N155" s="292"/>
      <c r="O155" s="292"/>
      <c r="P155" s="292"/>
      <c r="Q155" s="292"/>
      <c r="R155" s="292"/>
      <c r="S155" s="292"/>
      <c r="T155" s="292"/>
      <c r="U155" s="292"/>
      <c r="V155" s="294"/>
      <c r="W155" s="294"/>
      <c r="X155" s="294"/>
      <c r="Y155" s="292"/>
      <c r="Z155" s="292"/>
      <c r="AA155" s="292"/>
      <c r="AB155" s="292"/>
      <c r="AC155" s="292"/>
      <c r="AD155" s="292"/>
      <c r="AE155" s="292"/>
    </row>
    <row r="156" spans="1:24" s="316" customFormat="1" ht="12.75">
      <c r="A156" s="315"/>
      <c r="V156" s="318"/>
      <c r="W156" s="318"/>
      <c r="X156" s="318"/>
    </row>
    <row r="159" spans="1:10" ht="30.75" customHeight="1" thickBot="1">
      <c r="A159" s="498" t="s">
        <v>537</v>
      </c>
      <c r="B159" s="499"/>
      <c r="C159" s="499"/>
      <c r="D159" s="499"/>
      <c r="E159" s="499"/>
      <c r="F159" s="499"/>
      <c r="G159" s="499"/>
      <c r="H159" s="499"/>
      <c r="I159" s="499"/>
      <c r="J159" s="64" t="s">
        <v>173</v>
      </c>
    </row>
    <row r="160" spans="1:12" ht="63.75">
      <c r="A160" t="s">
        <v>287</v>
      </c>
      <c r="B160" t="s">
        <v>212</v>
      </c>
      <c r="C160" s="57"/>
      <c r="D160" s="46" t="s">
        <v>801</v>
      </c>
      <c r="E160" s="45" t="s">
        <v>802</v>
      </c>
      <c r="F160" s="45" t="s">
        <v>803</v>
      </c>
      <c r="G160" s="269" t="s">
        <v>541</v>
      </c>
      <c r="H160" s="269" t="s">
        <v>542</v>
      </c>
      <c r="I160" s="44" t="s">
        <v>261</v>
      </c>
      <c r="L160" s="29" t="s">
        <v>554</v>
      </c>
    </row>
    <row r="161" spans="1:13" ht="13.5" thickBot="1">
      <c r="A161" s="74" t="s">
        <v>590</v>
      </c>
      <c r="B161" s="221">
        <v>11716534000</v>
      </c>
      <c r="D161" s="43"/>
      <c r="E161" s="41" t="s">
        <v>263</v>
      </c>
      <c r="F161" s="42" t="s">
        <v>264</v>
      </c>
      <c r="G161" s="41" t="s">
        <v>265</v>
      </c>
      <c r="H161" s="41" t="s">
        <v>266</v>
      </c>
      <c r="I161" s="40" t="s">
        <v>267</v>
      </c>
      <c r="L161" s="29" t="s">
        <v>543</v>
      </c>
      <c r="M161" s="226">
        <f>INDEX($F$6:$K$13,MATCH(L160,$F$6:$F$13,),MATCH(L161,$F$6:$K$6,))</f>
        <v>0.27899124195420494</v>
      </c>
    </row>
    <row r="162" spans="1:13" ht="13.5" thickTop="1">
      <c r="A162" t="s">
        <v>268</v>
      </c>
      <c r="B162" s="31">
        <v>0.021</v>
      </c>
      <c r="C162" s="30"/>
      <c r="D162" s="25">
        <v>2005</v>
      </c>
      <c r="E162" s="23">
        <f>IF(D162&lt;=B166,B161*EXP(B162*(D162-D162)),"")</f>
        <v>11716534000</v>
      </c>
      <c r="F162" s="24">
        <f>IF(D162&gt;B166,"",IF(B164&gt;D162,"",IF(B164=D162,B165,IF(B164&lt;D162,(D162-B164)*B168+B165,B167))))</f>
      </c>
      <c r="G162" s="23">
        <f>IF(ISERR(F162*E162),IF(D162&gt;B166,G161,""),F162*E162)</f>
      </c>
      <c r="H162" s="39"/>
      <c r="I162" s="38"/>
      <c r="L162" s="29" t="s">
        <v>544</v>
      </c>
      <c r="M162" s="226">
        <f>INDEX($F$6:$K$13,MATCH(L160,$F$6:$F$13,),MATCH(L162,$F$6:$K$6,))</f>
        <v>0.7210087580457951</v>
      </c>
    </row>
    <row r="163" spans="1:9" ht="12.75">
      <c r="A163" t="s">
        <v>797</v>
      </c>
      <c r="B163" s="74" t="s">
        <v>545</v>
      </c>
      <c r="D163" s="25">
        <v>2006</v>
      </c>
      <c r="E163" s="23">
        <f>IF(D163&lt;=B166,B161*EXP(B162*(D163-D162)),"")</f>
        <v>11965182889.56086</v>
      </c>
      <c r="F163" s="24">
        <f>IF(D163&gt;B166,"",IF(B164&gt;D163,"",IF(B164=D163,B165,IF(B164&lt;D163,(D163-B164)*B168+B165,B167))))</f>
      </c>
      <c r="G163" s="23">
        <f>IF(ISERR(F163*E163),IF(D163&gt;B166,G162,""),F163*E163)</f>
      </c>
      <c r="H163" s="23"/>
      <c r="I163" s="34"/>
    </row>
    <row r="164" spans="1:9" ht="12.75">
      <c r="A164" t="s">
        <v>752</v>
      </c>
      <c r="B164" s="37">
        <v>2008</v>
      </c>
      <c r="D164" s="25">
        <v>2007</v>
      </c>
      <c r="E164" s="23">
        <f>IF(D164&lt;=B166,B161*EXP(B162*(D164-D162)),"")</f>
        <v>12219108618.695595</v>
      </c>
      <c r="F164" s="24">
        <f>IF(D164&gt;B166,"",IF(B164&gt;D164,"",IF(B164=D164,B165,IF(B164&lt;D164,(D164-B164)*B168+B165,B167))))</f>
      </c>
      <c r="G164" s="23">
        <f>IF(ISERR(F164*E164),IF(D164&gt;B166,G163,""),F164*E164)</f>
      </c>
      <c r="H164" s="23"/>
      <c r="I164" s="34"/>
    </row>
    <row r="165" spans="1:13" ht="12.75">
      <c r="A165" s="33" t="s">
        <v>252</v>
      </c>
      <c r="B165" s="36">
        <f>4000/1348000</f>
        <v>0.002967359050445104</v>
      </c>
      <c r="C165" s="35"/>
      <c r="D165" s="25">
        <v>2008</v>
      </c>
      <c r="E165" s="23">
        <f>IF(D165&lt;=B166,B161*EXP(B162*(D165-D162)),"")</f>
        <v>12478423172.766123</v>
      </c>
      <c r="F165" s="24">
        <f>IF(D165&gt;B166,"",IF(B164&gt;D165,"",IF(B164=D165,B165,IF(B164&lt;D165,(D165-B164)*B168+B165,B167))))</f>
        <v>0.002967359050445104</v>
      </c>
      <c r="G165" s="23">
        <f>IF(ISERR(F165*E165),IF(D165&gt;B166,G164,""),F165*E165)</f>
        <v>37027961.93699146</v>
      </c>
      <c r="H165" s="23"/>
      <c r="I165" s="34"/>
      <c r="L165" s="29" t="s">
        <v>585</v>
      </c>
      <c r="M165" s="29">
        <f>$M$22</f>
        <v>0</v>
      </c>
    </row>
    <row r="166" spans="1:13" ht="12.75">
      <c r="A166" t="s">
        <v>753</v>
      </c>
      <c r="B166" s="32">
        <v>2025</v>
      </c>
      <c r="C166" s="30"/>
      <c r="D166" s="25">
        <v>2009</v>
      </c>
      <c r="E166" s="23">
        <f>IF(D166&lt;=B166,B161*EXP(B162*(D166-D162)),"")</f>
        <v>12743240913.6935</v>
      </c>
      <c r="F166" s="24">
        <f>IF(D166&gt;B166,"",IF(B164&gt;D166,"",IF(B164=D166,B165,IF(B164&lt;D166,(D166-B164)*B168+B165,B167))))</f>
        <v>0.014557514400418923</v>
      </c>
      <c r="G166" s="23">
        <f>IF(ISERR(F166*E166),IF(D166&gt;B166,G165,""),F166*E166)</f>
        <v>185509913.10910073</v>
      </c>
      <c r="H166" s="22">
        <f>IF(ISERR(G166-G165),"",(G166-G165))</f>
        <v>148481951.17210928</v>
      </c>
      <c r="I166" s="21">
        <f>H166*($M$161*$N$176+$M$162*$N$178)</f>
        <v>203219978611.3602</v>
      </c>
      <c r="L166" s="29" t="s">
        <v>586</v>
      </c>
      <c r="M166" s="29">
        <f>$M$23</f>
        <v>0</v>
      </c>
    </row>
    <row r="167" spans="1:9" ht="12.75">
      <c r="A167" t="s">
        <v>251</v>
      </c>
      <c r="B167" s="31">
        <v>0.2</v>
      </c>
      <c r="C167" s="30"/>
      <c r="D167" s="25">
        <v>2010</v>
      </c>
      <c r="E167" s="23">
        <f>IF(D167&lt;=B166,B161*EXP(B162*(D167-D162)),"")</f>
        <v>13013678630.393372</v>
      </c>
      <c r="F167" s="24">
        <f>IF(D167&gt;B166,"",IF(B164&gt;D167,"",IF(B164=D167,B165,IF(B164&lt;D167,(D167-B164)*B168+B165,B167))))</f>
        <v>0.02614766975039274</v>
      </c>
      <c r="G167" s="23">
        <f>IF(ISERR(F167*E167),IF(D167&gt;B166,G166,""),F167*E167)</f>
        <v>340277371.0652692</v>
      </c>
      <c r="H167" s="22">
        <f>IF(ISERR(G167-G165),"",(G167-G165))</f>
        <v>303249409.1282777</v>
      </c>
      <c r="I167" s="21">
        <f aca="true" t="shared" si="7" ref="I167:I187">H167*($M$161*$N$176+$M$162*$N$178)</f>
        <v>415042622692.3939</v>
      </c>
    </row>
    <row r="168" spans="1:9" ht="12.75">
      <c r="A168" s="29" t="s">
        <v>723</v>
      </c>
      <c r="B168" s="271">
        <f>(B167-B165)/(B166-B164)</f>
        <v>0.011590155349973819</v>
      </c>
      <c r="D168" s="25">
        <v>2011</v>
      </c>
      <c r="E168" s="23">
        <f>IF(D168&lt;=B166,B161*EXP(B162*(D168-D162)),"")</f>
        <v>13289855590.281784</v>
      </c>
      <c r="F168" s="24">
        <f>IF(D168&gt;B166,"",IF(B164&gt;D168,"",IF(B164=D168,B165,IF(B164&lt;D168,(D168-B164)*B168+B165,B167))))</f>
        <v>0.03773782510036656</v>
      </c>
      <c r="G168" s="23">
        <f>IF(ISERR(F168*E168),IF(D168&gt;B166,G167,""),F168*E168)</f>
        <v>501530245.87518275</v>
      </c>
      <c r="H168" s="22">
        <f>IF(ISERR(G168-G165),"",(G168-G165))</f>
        <v>464502283.9381913</v>
      </c>
      <c r="I168" s="21">
        <f t="shared" si="7"/>
        <v>635741539370.1971</v>
      </c>
    </row>
    <row r="169" spans="1:14" ht="12.75">
      <c r="A169"/>
      <c r="D169" s="25">
        <v>2012</v>
      </c>
      <c r="E169" s="23">
        <f>IF(D169&lt;=B166,B161*EXP(B162*(D169-D162)),"")</f>
        <v>13571893591.874044</v>
      </c>
      <c r="F169" s="24">
        <f>IF(D169&gt;B166,"",IF(B164&gt;D169,"",IF(B164=D169,B165,IF(B164&lt;D169,(D169-B164)*B168+B165,B167))))</f>
        <v>0.04932798045034038</v>
      </c>
      <c r="G169" s="23">
        <f>IF(ISERR(F169*E169),IF(D169&gt;B166,G168,""),F169*E169)</f>
        <v>669474101.7740628</v>
      </c>
      <c r="H169" s="22">
        <f>IF(ISERR(G169-G165),"",(G169-G165))</f>
        <v>632446139.8370713</v>
      </c>
      <c r="I169" s="21">
        <f t="shared" si="7"/>
        <v>865598074351.4711</v>
      </c>
      <c r="L169" s="29" t="s">
        <v>517</v>
      </c>
      <c r="M169" s="29" t="s">
        <v>518</v>
      </c>
      <c r="N169" s="29" t="s">
        <v>546</v>
      </c>
    </row>
    <row r="170" spans="1:14" ht="12.75">
      <c r="A170"/>
      <c r="D170" s="25">
        <v>2013</v>
      </c>
      <c r="E170" s="23">
        <f>IF(D170&lt;=B166,B161*EXP(B162*(D170-D162)),"")</f>
        <v>13859917018.499836</v>
      </c>
      <c r="F170" s="24">
        <f>IF(D170&gt;B166,"",IF(B164&gt;D170,"",IF(B164=D170,B165,IF(B164&lt;D170,(D170-B164)*B168+B165,B167))))</f>
        <v>0.060918135800314195</v>
      </c>
      <c r="G170" s="23">
        <f>IF(ISERR(F170*E170),IF(D170&gt;B166,G169,""),F170*E170)</f>
        <v>844320307.1140589</v>
      </c>
      <c r="H170" s="22">
        <f>IF(ISERR(G170-G165),"",(G170-G165))</f>
        <v>807292345.1770674</v>
      </c>
      <c r="I170" s="21">
        <f t="shared" si="7"/>
        <v>1104901517153.6548</v>
      </c>
      <c r="L170" s="29" t="s">
        <v>547</v>
      </c>
      <c r="M170" s="29">
        <f>$B$7</f>
        <v>8780</v>
      </c>
      <c r="N170" s="228">
        <f>$C$7</f>
        <v>2319.4126</v>
      </c>
    </row>
    <row r="171" spans="1:14" ht="12.75">
      <c r="A171" t="s">
        <v>33</v>
      </c>
      <c r="B171" s="27">
        <f>VLOOKUP(B166,D162:I187,6,FALSE)</f>
        <v>4830510042236.802</v>
      </c>
      <c r="D171" s="25">
        <v>2014</v>
      </c>
      <c r="E171" s="23">
        <f>IF(D171&lt;=B166,B161*EXP(B162*(D171-D162)),"")</f>
        <v>14154052893.158304</v>
      </c>
      <c r="F171" s="24">
        <f>IF(D171&gt;B166,"",IF(B164&gt;D171,"",IF(B164=D171,B165,IF(B164&lt;D171,(D171-B164)*B168+B165,B167))))</f>
        <v>0.07250829115028802</v>
      </c>
      <c r="G171" s="23">
        <f>IF(ISERR(F171*E171),IF(D171&gt;B166,G170,""),F171*E171)</f>
        <v>1026286188.1336988</v>
      </c>
      <c r="H171" s="22">
        <f>IF(ISERR(G171-G165),"",(G171-G165))</f>
        <v>989258226.1967074</v>
      </c>
      <c r="I171" s="21">
        <f t="shared" si="7"/>
        <v>1353949311561.644</v>
      </c>
      <c r="L171" s="29" t="s">
        <v>548</v>
      </c>
      <c r="M171" s="29">
        <f>$B$8</f>
        <v>3512</v>
      </c>
      <c r="N171" s="228">
        <f>$C$8</f>
        <v>927.76504</v>
      </c>
    </row>
    <row r="172" spans="1:14" ht="12.75">
      <c r="A172" t="s">
        <v>77</v>
      </c>
      <c r="B172" s="27">
        <f>SUM(I166:I187)</f>
        <v>63172505947286.87</v>
      </c>
      <c r="D172" s="25">
        <v>2015</v>
      </c>
      <c r="E172" s="23">
        <f>IF(D172&lt;=B166,B161*EXP(B162*(D172-D162)),"")</f>
        <v>14454430934.53722</v>
      </c>
      <c r="F172" s="24">
        <f>IF(D172&gt;B166,"",IF(B164&gt;D172,"",IF(B164=D172,B165,IF(B164&lt;D172,(D172-B164)*B168+B165,B167))))</f>
        <v>0.08409844650026184</v>
      </c>
      <c r="G172" s="23">
        <f>IF(ISERR(F172*E172),IF(D172&gt;B166,G171,""),F172*E172)</f>
        <v>1215595186.639908</v>
      </c>
      <c r="H172" s="22">
        <f>IF(ISERR(G172-G165),"",(G172-G165))</f>
        <v>1178567224.7029166</v>
      </c>
      <c r="I172" s="21">
        <f t="shared" si="7"/>
        <v>1613047271439.4521</v>
      </c>
      <c r="L172" s="29" t="s">
        <v>549</v>
      </c>
      <c r="M172" s="29">
        <f>$B$9</f>
        <v>7024</v>
      </c>
      <c r="N172" s="228">
        <f>$C$9</f>
        <v>1855.53008</v>
      </c>
    </row>
    <row r="173" spans="1:14" ht="12.75">
      <c r="A173" t="s">
        <v>76</v>
      </c>
      <c r="B173" s="26">
        <f>B171/(10^12)</f>
        <v>4.830510042236802</v>
      </c>
      <c r="D173" s="25">
        <v>2016</v>
      </c>
      <c r="E173" s="23">
        <f>IF(D173&lt;=B166,B161*EXP(B162*(D173-D162)),"")</f>
        <v>14761183614.221062</v>
      </c>
      <c r="F173" s="24">
        <f>IF(D173&gt;B166,"",IF(B164&gt;D173,"",IF(B164=D173,B165,IF(B164&lt;D173,(D173-B164)*B168+B165,B167))))</f>
        <v>0.09568860185023566</v>
      </c>
      <c r="G173" s="23">
        <f>IF(ISERR(F173*E173),IF(D173&gt;B166,G172,""),F173*E173)</f>
        <v>1412477021.6994216</v>
      </c>
      <c r="H173" s="22">
        <f>IF(ISERR(G173-G165),"",(G173-G165))</f>
        <v>1375449059.7624302</v>
      </c>
      <c r="I173" s="21">
        <f t="shared" si="7"/>
        <v>1882509802029.333</v>
      </c>
      <c r="L173" s="29" t="s">
        <v>550</v>
      </c>
      <c r="M173" s="29">
        <f>$B$10</f>
        <v>11652.122500000001</v>
      </c>
      <c r="N173" s="228">
        <f>$C$10</f>
        <v>3078.5</v>
      </c>
    </row>
    <row r="174" spans="1:9" ht="12.75">
      <c r="A174" s="74" t="s">
        <v>786</v>
      </c>
      <c r="B174" s="26">
        <f>B172/(10^12)</f>
        <v>63.172505947286865</v>
      </c>
      <c r="D174" s="25">
        <v>2017</v>
      </c>
      <c r="E174" s="23">
        <f>IF(D174&lt;=B166,B161*EXP(B162*(D174-D162)),"")</f>
        <v>15074446215.113102</v>
      </c>
      <c r="F174" s="24">
        <f>IF(D174&gt;B166,"",IF(B164&gt;D174,"",IF(B164=D174,B165,IF(B164&lt;D174,(D174-B164)*B168+B165,B167))))</f>
        <v>0.10727875720020948</v>
      </c>
      <c r="G174" s="23">
        <f>IF(ISERR(F174*E174),IF(D174&gt;B166,G173,""),F174*E174)</f>
        <v>1617167855.4387352</v>
      </c>
      <c r="H174" s="22">
        <f>IF(ISERR(G174-G165),"",(G174-G165))</f>
        <v>1580139893.5017438</v>
      </c>
      <c r="I174" s="21">
        <f t="shared" si="7"/>
        <v>2162660126874.0566</v>
      </c>
    </row>
    <row r="175" spans="1:9" ht="12.75">
      <c r="A175" s="74" t="s">
        <v>551</v>
      </c>
      <c r="B175" s="110">
        <f>SUM(H166:H187)/(10^6)</f>
        <v>46156.76572539744</v>
      </c>
      <c r="D175" s="25">
        <v>2018</v>
      </c>
      <c r="E175" s="23">
        <f>IF(D175&lt;=B166,B161*EXP(B162*(D175-D162)),"")</f>
        <v>15394356891.097382</v>
      </c>
      <c r="F175" s="24">
        <f>IF(D175&gt;B166,"",IF(B164&gt;D175,"",IF(B164=D175,B165,IF(B164&lt;D175,(D175-B164)*B168+B165,B167))))</f>
        <v>0.1188689125501833</v>
      </c>
      <c r="G175" s="23">
        <f>IF(ISERR(F175*E175),IF(D175&gt;B166,G174,""),F175*E175)</f>
        <v>1829910463.0541663</v>
      </c>
      <c r="H175" s="22">
        <f>IF(ISERR(G175-G165),"",(G175-G165))</f>
        <v>1792882501.1171749</v>
      </c>
      <c r="I175" s="21">
        <f t="shared" si="7"/>
        <v>2453830520501.359</v>
      </c>
    </row>
    <row r="176" spans="1:14" ht="12.75">
      <c r="A176" s="74" t="s">
        <v>791</v>
      </c>
      <c r="B176" s="392">
        <f>VLOOKUP(B166,D162:H187,5,FALSE)/(10^6)</f>
        <v>3529.394900682731</v>
      </c>
      <c r="D176" s="25">
        <v>2019</v>
      </c>
      <c r="E176" s="23">
        <f>IF(D176&lt;=B166,B161*EXP(B162*(D176-D162)),"")</f>
        <v>15721056727.966795</v>
      </c>
      <c r="F176" s="24">
        <f>IF(D176&gt;B166,"",IF(B164&gt;D176,"",IF(B164=D176,B165,IF(B164&lt;D176,(D176-B164)*B168+B165,B167))))</f>
        <v>0.1304590679001571</v>
      </c>
      <c r="G176" s="23">
        <f>IF(ISERR(F176*E176),IF(D176&gt;B166,G175,""),F176*E176)</f>
        <v>2050954407.1360416</v>
      </c>
      <c r="H176" s="22">
        <f>IF(ISERR(G176-G165),"",(G176-G165))</f>
        <v>2013926445.1990502</v>
      </c>
      <c r="I176" s="21">
        <f t="shared" si="7"/>
        <v>2756362547012.9233</v>
      </c>
      <c r="L176" s="29" t="s">
        <v>552</v>
      </c>
      <c r="N176" s="420">
        <f>$C$12</f>
        <v>927.7650400000002</v>
      </c>
    </row>
    <row r="177" spans="1:14" ht="12.75">
      <c r="A177" t="s">
        <v>34</v>
      </c>
      <c r="B177" s="37">
        <v>675.98</v>
      </c>
      <c r="D177" s="25">
        <v>2020</v>
      </c>
      <c r="E177" s="23">
        <f>IF(D177&lt;=B166,B161*EXP(B162*(D177-D162)),"")</f>
        <v>16054689805.644224</v>
      </c>
      <c r="F177" s="24">
        <f>IF(D177&gt;B166,"",IF(B164&gt;D177,"",IF(B164=D177,B165,IF(B164&lt;D177,(D177-B164)*B168+B165,B167))))</f>
        <v>0.14204922325013092</v>
      </c>
      <c r="G177" s="23">
        <f>IF(ISERR(F177*E177),IF(D177&gt;B166,G176,""),F177*E177)</f>
        <v>2280556216.4135575</v>
      </c>
      <c r="H177" s="22">
        <f>IF(ISERR(G177-G165),"",(G177-G165))</f>
        <v>2243528254.476566</v>
      </c>
      <c r="I177" s="21">
        <f t="shared" si="7"/>
        <v>3070607304723.723</v>
      </c>
      <c r="L177" s="29" t="s">
        <v>475</v>
      </c>
      <c r="N177" s="226">
        <f>$C$13</f>
        <v>0.5</v>
      </c>
    </row>
    <row r="178" spans="1:14" ht="12.75">
      <c r="A178" t="s">
        <v>101</v>
      </c>
      <c r="B178" s="29">
        <f>B177*1.58987*10^5</f>
        <v>107472032.25999999</v>
      </c>
      <c r="D178" s="25">
        <v>2021</v>
      </c>
      <c r="E178" s="23">
        <f>IF(D178&lt;=B166,B161*EXP(B162*(D178-D162)),"")</f>
        <v>16395403261.724112</v>
      </c>
      <c r="F178" s="24">
        <f>IF(D178&gt;B166,"",IF(B164&gt;D178,"",IF(B164=D178,B165,IF(B164&lt;D178,(D178-B164)*B168+B165,B167))))</f>
        <v>0.15363937860010474</v>
      </c>
      <c r="G178" s="23">
        <f>IF(ISERR(F178*E178),IF(D178&gt;B166,G177,""),F178*E178)</f>
        <v>2518979569.0294228</v>
      </c>
      <c r="H178" s="22">
        <f>IF(ISERR(G178-G165),"",(G178-G165))</f>
        <v>2481951607.092431</v>
      </c>
      <c r="I178" s="21">
        <f t="shared" si="7"/>
        <v>3396925677001.0547</v>
      </c>
      <c r="L178" s="29" t="s">
        <v>419</v>
      </c>
      <c r="N178" s="420">
        <f>$C$14</f>
        <v>1539.25</v>
      </c>
    </row>
    <row r="179" spans="1:9" ht="12.75">
      <c r="A179"/>
      <c r="D179" s="25">
        <v>2022</v>
      </c>
      <c r="E179" s="23">
        <f>IF(D179&lt;=B166,B161*EXP(B162*(D179-D162)),"")</f>
        <v>16743347356.362524</v>
      </c>
      <c r="F179" s="24">
        <f>IF(D179&gt;B166,"",IF(B164&gt;D179,"",IF(B164=D179,B165,IF(B164&lt;D179,(D179-B164)*B168+B165,B167))))</f>
        <v>0.16522953395007856</v>
      </c>
      <c r="G179" s="23">
        <f>IF(ISERR(F179*E179),IF(D179&gt;B166,G178,""),F179*E179)</f>
        <v>2766495480.4560595</v>
      </c>
      <c r="H179" s="22">
        <f>IF(ISERR(G179-G165),"",(G179-G165))</f>
        <v>2729467518.519068</v>
      </c>
      <c r="I179" s="21">
        <f t="shared" si="7"/>
        <v>3735688589456.2407</v>
      </c>
    </row>
    <row r="180" spans="1:9" ht="12.75">
      <c r="A180" t="s">
        <v>213</v>
      </c>
      <c r="B180" s="29">
        <f>B181/(1.58987*10^5)</f>
        <v>675.9799999999999</v>
      </c>
      <c r="D180" s="25">
        <v>2023</v>
      </c>
      <c r="E180" s="23">
        <f>IF(D180&lt;=B166,B161*EXP(B162*(D180-D162)),"")</f>
        <v>17098675538.544329</v>
      </c>
      <c r="F180" s="24">
        <f>IF(D180&gt;B166,"",IF(B164&gt;D180,"",IF(B164=D180,B165,IF(B164&lt;D180,(D180-B164)*B168+B165,B167))))</f>
        <v>0.17681968930005237</v>
      </c>
      <c r="G180" s="23">
        <f>IF(ISERR(F180*E180),IF(D180&gt;B166,G179,""),F180*E180)</f>
        <v>3023382496.167814</v>
      </c>
      <c r="H180" s="22">
        <f>IF(ISERR(G180-G165),"",(G180-G165))</f>
        <v>2986354534.230822</v>
      </c>
      <c r="I180" s="21">
        <f t="shared" si="7"/>
        <v>4087277273645.656</v>
      </c>
    </row>
    <row r="181" spans="1:9" ht="12.75">
      <c r="A181" t="s">
        <v>214</v>
      </c>
      <c r="B181" s="37">
        <v>107472032.25999999</v>
      </c>
      <c r="D181" s="25">
        <v>2024</v>
      </c>
      <c r="E181" s="23">
        <f>IF(D181&lt;=B166,B161*EXP(B162*(D181-D162)),"")</f>
        <v>17461544513.756664</v>
      </c>
      <c r="F181" s="24">
        <f>IF(D181&gt;B166,"",IF(B164&gt;D181,"",IF(B164=D181,B165,IF(B164&lt;D181,(D181-B164)*B168+B165,B167))))</f>
        <v>0.1884098446500262</v>
      </c>
      <c r="G181" s="23">
        <f>IF(ISERR(F181*E181),IF(D181&gt;B166,G180,""),F181*E181)</f>
        <v>3289926889.1864104</v>
      </c>
      <c r="H181" s="22">
        <f>IF(ISERR(G181-G165),"",(G181-G165))</f>
        <v>3252898927.2494187</v>
      </c>
      <c r="I181" s="21">
        <f t="shared" si="7"/>
        <v>4452083537441.5205</v>
      </c>
    </row>
    <row r="182" spans="1:9" ht="12.75">
      <c r="A182"/>
      <c r="D182" s="25">
        <v>2025</v>
      </c>
      <c r="E182" s="23">
        <f>IF(D182&lt;=B166,B161*EXP(B162*(D182-D162)),"")</f>
        <v>17832114313.098614</v>
      </c>
      <c r="F182" s="24">
        <f>IF(D182&gt;B166,"",IF(B164&gt;D182,"",IF(B164=D182,B165,IF(B164&lt;D182,(D182-B164)*B168+B165,B167))))</f>
        <v>0.2</v>
      </c>
      <c r="G182" s="23">
        <f>IF(ISERR(F182*E182),IF(D182&gt;B166,G181,""),F182*E182)</f>
        <v>3566422862.619723</v>
      </c>
      <c r="H182" s="22">
        <f>IF(ISERR(G182-G165),"",(G182-G165))</f>
        <v>3529394900.682731</v>
      </c>
      <c r="I182" s="21">
        <f t="shared" si="7"/>
        <v>4830510042236.802</v>
      </c>
    </row>
    <row r="183" spans="1:9" ht="12.75">
      <c r="A183" s="452" t="s">
        <v>794</v>
      </c>
      <c r="B183" s="452"/>
      <c r="D183" s="25">
        <v>2026</v>
      </c>
      <c r="E183" s="23">
        <f>IF(D183&lt;=B166,B161*EXP(B162*(D183-D162)),"")</f>
      </c>
      <c r="F183" s="24">
        <f>IF(D183&gt;B166,"",IF(B164&gt;D183,"",IF(B164=D183,B165,IF(B164&lt;D183,(D183-B164)*B168+B165,B167))))</f>
      </c>
      <c r="G183" s="23">
        <f>IF(ISERR(F183*E183),IF(D183&gt;B166,G182,""),F183*E183)</f>
        <v>3566422862.619723</v>
      </c>
      <c r="H183" s="22">
        <f>IF(ISERR(G183-G165),"",(G183-G165))</f>
        <v>3529394900.682731</v>
      </c>
      <c r="I183" s="21">
        <f t="shared" si="7"/>
        <v>4830510042236.802</v>
      </c>
    </row>
    <row r="184" spans="1:9" ht="12.75">
      <c r="A184" s="452"/>
      <c r="B184" s="452"/>
      <c r="D184" s="25">
        <v>2027</v>
      </c>
      <c r="E184" s="23">
        <f>IF(D184&lt;=B166,B161*EXP(B162*(D184-D162)),"")</f>
      </c>
      <c r="F184" s="24">
        <f>IF(D184&gt;B166,"",IF(B164&gt;D184,"",IF(B164=D184,B165,IF(B164&lt;D184,(D184-B164)*B168+B165,B167))))</f>
      </c>
      <c r="G184" s="23">
        <f>IF(ISERR(F184*E184),IF(D184&gt;B166,G183,""),F184*E184)</f>
        <v>3566422862.619723</v>
      </c>
      <c r="H184" s="22">
        <f>IF(ISERR(G184-G165),"",(G184-G165))</f>
        <v>3529394900.682731</v>
      </c>
      <c r="I184" s="21">
        <f t="shared" si="7"/>
        <v>4830510042236.802</v>
      </c>
    </row>
    <row r="185" spans="1:9" ht="12.75">
      <c r="A185" s="453"/>
      <c r="B185" s="453"/>
      <c r="D185" s="25">
        <v>2028</v>
      </c>
      <c r="E185" s="23">
        <f>IF(D185&lt;=B166,B161*EXP(B162*(D185-D162)),"")</f>
      </c>
      <c r="F185" s="24">
        <f>IF(D185&gt;B166,"",IF(B164&gt;D185,"",IF(B164=D185,B165,IF(B164&lt;D185,(D185-B164)*B168+B165,B167))))</f>
      </c>
      <c r="G185" s="23">
        <f>IF(ISERR(F185*E185),IF(D185&gt;B166,G184,""),F185*E185)</f>
        <v>3566422862.619723</v>
      </c>
      <c r="H185" s="22">
        <f>IF(ISERR(G185-G165),"",(G185-G165))</f>
        <v>3529394900.682731</v>
      </c>
      <c r="I185" s="21">
        <f t="shared" si="7"/>
        <v>4830510042236.802</v>
      </c>
    </row>
    <row r="186" spans="1:9" ht="12.75">
      <c r="A186"/>
      <c r="D186" s="25">
        <v>2029</v>
      </c>
      <c r="E186" s="23">
        <f>IF(D186&lt;=B166,B161*EXP(B162*(D186-D162)),"")</f>
      </c>
      <c r="F186" s="24">
        <f>IF(D186&gt;B166,"",IF(B164&gt;D186,"",IF(B164=D186,B165,IF(B164&lt;D186,(D186-B164)*B168+B165,B167))))</f>
      </c>
      <c r="G186" s="23">
        <f>IF(ISERR(F186*E186),IF(D186&gt;B166,G185,""),F186*E186)</f>
        <v>3566422862.619723</v>
      </c>
      <c r="H186" s="22">
        <f>IF(ISERR(G186-G165),"",(G186-G165))</f>
        <v>3529394900.682731</v>
      </c>
      <c r="I186" s="21">
        <f t="shared" si="7"/>
        <v>4830510042236.802</v>
      </c>
    </row>
    <row r="187" spans="1:9" ht="13.5" thickBot="1">
      <c r="A187"/>
      <c r="D187" s="20">
        <v>2030</v>
      </c>
      <c r="E187" s="18">
        <f>IF(D187&lt;=B166,B161*EXP(B162*(D187-D162)),"")</f>
      </c>
      <c r="F187" s="19">
        <f>IF(D187&gt;B166,"",IF(B164&gt;D187,"",IF(B164=D187,B165,IF(B164&lt;D187,(D187-B164)*B168+B165,B167))))</f>
      </c>
      <c r="G187" s="18">
        <f>IF(ISERR(F187*E187),IF(D187&gt;B166,G186,""),F187*E187)</f>
        <v>3566422862.619723</v>
      </c>
      <c r="H187" s="17">
        <f>IF(ISERR(G187-G165),"",(G187-G165))</f>
        <v>3529394900.682731</v>
      </c>
      <c r="I187" s="16">
        <f t="shared" si="7"/>
        <v>4830510042236.802</v>
      </c>
    </row>
    <row r="188" spans="1:4" ht="12.75">
      <c r="A188"/>
      <c r="D188" t="s">
        <v>576</v>
      </c>
    </row>
    <row r="189" spans="1:6" ht="12.75">
      <c r="A189"/>
      <c r="D189" s="74" t="s">
        <v>577</v>
      </c>
      <c r="E189" s="74"/>
      <c r="F189" s="47" t="s">
        <v>464</v>
      </c>
    </row>
    <row r="190" spans="1:6" ht="12.75">
      <c r="A190"/>
      <c r="D190" s="74"/>
      <c r="E190" s="74"/>
      <c r="F190" s="47"/>
    </row>
    <row r="191" spans="1:6" ht="12.75">
      <c r="A191"/>
      <c r="D191" s="74"/>
      <c r="E191" s="74"/>
      <c r="F191" s="47"/>
    </row>
    <row r="192" spans="1:24" s="316" customFormat="1" ht="12.75">
      <c r="A192" s="315"/>
      <c r="V192" s="318"/>
      <c r="W192" s="318"/>
      <c r="X192" s="318"/>
    </row>
    <row r="195" spans="1:10" ht="31.5" customHeight="1" thickBot="1">
      <c r="A195" s="498" t="s">
        <v>539</v>
      </c>
      <c r="B195" s="499"/>
      <c r="C195" s="499"/>
      <c r="D195" s="499"/>
      <c r="E195" s="499"/>
      <c r="F195" s="499"/>
      <c r="G195" s="499"/>
      <c r="H195" s="499"/>
      <c r="I195" s="499"/>
      <c r="J195" s="64" t="s">
        <v>366</v>
      </c>
    </row>
    <row r="196" spans="1:12" ht="63.75">
      <c r="A196" t="s">
        <v>215</v>
      </c>
      <c r="B196" t="s">
        <v>216</v>
      </c>
      <c r="D196" s="46" t="s">
        <v>217</v>
      </c>
      <c r="E196" s="45" t="s">
        <v>218</v>
      </c>
      <c r="F196" s="45" t="s">
        <v>219</v>
      </c>
      <c r="G196" s="269" t="s">
        <v>541</v>
      </c>
      <c r="H196" s="269" t="s">
        <v>542</v>
      </c>
      <c r="I196" s="44" t="s">
        <v>220</v>
      </c>
      <c r="L196" s="29" t="s">
        <v>556</v>
      </c>
    </row>
    <row r="197" spans="1:13" ht="13.5" thickBot="1">
      <c r="A197" s="74" t="s">
        <v>590</v>
      </c>
      <c r="B197" s="221">
        <v>1153712000</v>
      </c>
      <c r="D197" s="43"/>
      <c r="E197" s="41" t="s">
        <v>221</v>
      </c>
      <c r="F197" s="42" t="s">
        <v>222</v>
      </c>
      <c r="G197" s="41" t="s">
        <v>223</v>
      </c>
      <c r="H197" s="41" t="s">
        <v>224</v>
      </c>
      <c r="I197" s="40" t="s">
        <v>225</v>
      </c>
      <c r="L197" s="29" t="s">
        <v>543</v>
      </c>
      <c r="M197" s="226">
        <f>INDEX($F$6:$K$13,MATCH(L196,$F$6:$F$13,),MATCH(L197,$F$6:$K$6,))</f>
        <v>0.15489989462592202</v>
      </c>
    </row>
    <row r="198" spans="1:13" ht="13.5" thickTop="1">
      <c r="A198" t="s">
        <v>227</v>
      </c>
      <c r="B198" s="31">
        <v>0.021</v>
      </c>
      <c r="C198" s="30"/>
      <c r="D198" s="25">
        <v>2005</v>
      </c>
      <c r="E198" s="23">
        <f>IF(D198&lt;=B202,B197*EXP(B198*(D198-D198)),"")</f>
        <v>1153712000</v>
      </c>
      <c r="F198" s="24">
        <f>IF(D198&gt;B202,"",IF(B200&gt;D198,"",IF(B200=D198,B201,IF(B200&lt;D198,(D198-B200)*B204+B201,B203))))</f>
      </c>
      <c r="G198" s="23">
        <f>IF(ISERR(F198*E198),IF(D198&gt;B202,G197,""),F198*E198)</f>
      </c>
      <c r="H198" s="39"/>
      <c r="I198" s="38"/>
      <c r="L198" s="29" t="s">
        <v>544</v>
      </c>
      <c r="M198" s="226">
        <f>INDEX($F$6:$K$13,MATCH(L196,$F$6:$F$13,),MATCH(L198,$F$6:$K$6,))</f>
        <v>0.845100105374078</v>
      </c>
    </row>
    <row r="199" spans="1:9" ht="12.75">
      <c r="A199" t="s">
        <v>228</v>
      </c>
      <c r="B199" s="74" t="s">
        <v>545</v>
      </c>
      <c r="D199" s="25">
        <v>2006</v>
      </c>
      <c r="E199" s="23">
        <f>IF(D199&lt;=B202,B197*EXP(B198*(D199-D198)),"")</f>
        <v>1178196135.6388364</v>
      </c>
      <c r="F199" s="24">
        <f>IF(D199&gt;B202,"",IF(B200&gt;D199,"",IF(B200=D199,B201,IF(B200&lt;D199,(D199-B200)*B204+B201,B203))))</f>
      </c>
      <c r="G199" s="23">
        <f>IF(ISERR(F199*E199),IF(D199&gt;B202,G198,""),F199*E199)</f>
      </c>
      <c r="H199" s="23"/>
      <c r="I199" s="34"/>
    </row>
    <row r="200" spans="1:9" ht="12.75">
      <c r="A200" t="s">
        <v>229</v>
      </c>
      <c r="B200" s="37">
        <v>2008</v>
      </c>
      <c r="D200" s="25">
        <v>2007</v>
      </c>
      <c r="E200" s="23">
        <f>IF(D200&lt;=B202,B197*EXP(B198*(D200-D198)),"")</f>
        <v>1203199874.8685005</v>
      </c>
      <c r="F200" s="24">
        <f>IF(D200&gt;B202,"",IF(B200&gt;D200,"",IF(B200=D200,B201,IF(B200&lt;D200,(D200-B200)*B204+B201,B203))))</f>
      </c>
      <c r="G200" s="23">
        <f>IF(ISERR(F200*E200),IF(D200&gt;B202,G199,""),F200*E200)</f>
      </c>
      <c r="H200" s="23"/>
      <c r="I200" s="34"/>
    </row>
    <row r="201" spans="1:13" ht="12.75">
      <c r="A201" s="33" t="s">
        <v>230</v>
      </c>
      <c r="B201" s="36">
        <v>0.05</v>
      </c>
      <c r="C201" s="35"/>
      <c r="D201" s="25">
        <v>2008</v>
      </c>
      <c r="E201" s="23">
        <f>IF(D201&lt;=B202,B197*EXP(B198*(D201-D198)),"")</f>
        <v>1228734244.7432277</v>
      </c>
      <c r="F201" s="24">
        <f>IF(D201&gt;B202,"",IF(B200&gt;D201,"",IF(B200=D201,B201,IF(B200&lt;D201,(D201-B200)*B204+B201,B203))))</f>
        <v>0.05</v>
      </c>
      <c r="G201" s="23">
        <f>IF(ISERR(F201*E201),IF(D201&gt;B202,G200,""),F201*E201)</f>
        <v>61436712.23716139</v>
      </c>
      <c r="H201" s="23"/>
      <c r="I201" s="34"/>
      <c r="L201" s="29" t="s">
        <v>585</v>
      </c>
      <c r="M201" s="29">
        <f>$M$22</f>
        <v>0</v>
      </c>
    </row>
    <row r="202" spans="1:13" ht="12.75">
      <c r="A202" t="s">
        <v>753</v>
      </c>
      <c r="B202" s="32">
        <v>2013</v>
      </c>
      <c r="C202" s="30"/>
      <c r="D202" s="25">
        <v>2009</v>
      </c>
      <c r="E202" s="23">
        <f>IF(D202&lt;=B202,B197*EXP(B198*(D202-D198)),"")</f>
        <v>1254810506.3339684</v>
      </c>
      <c r="F202" s="24">
        <f>IF(D202&gt;B202,"",IF(B200&gt;D202,"",IF(B200=D202,B201,IF(B200&lt;D202,(D202-B200)*B204+B201,B203))))</f>
        <v>0.14</v>
      </c>
      <c r="G202" s="23">
        <f>IF(ISERR(F202*E202),IF(D202&gt;B202,G201,""),F202*E202)</f>
        <v>175673470.8867556</v>
      </c>
      <c r="H202" s="22">
        <f>IF(ISERR(G202-G201),"",(G202-G201))</f>
        <v>114236758.64959419</v>
      </c>
      <c r="I202" s="21">
        <f aca="true" t="shared" si="8" ref="I202:I223">H202*($M$197*$N$212+$M$198*$N$214)</f>
        <v>165018544250.20096</v>
      </c>
      <c r="L202" s="29" t="s">
        <v>586</v>
      </c>
      <c r="M202" s="29">
        <f>$M$23</f>
        <v>0</v>
      </c>
    </row>
    <row r="203" spans="1:9" ht="12.75">
      <c r="A203" t="s">
        <v>251</v>
      </c>
      <c r="B203" s="31">
        <v>0.5</v>
      </c>
      <c r="C203" s="30"/>
      <c r="D203" s="25">
        <v>2010</v>
      </c>
      <c r="E203" s="23">
        <f>IF(D203&lt;=B202,B197*EXP(B198*(D203-D198)),"")</f>
        <v>1281440159.6947014</v>
      </c>
      <c r="F203" s="24">
        <f>IF(D203&gt;B202,"",IF(B200&gt;D203,"",IF(B200=D203,B201,IF(B200&lt;D203,(D203-B200)*B204+B201,B203))))</f>
        <v>0.22999999999999998</v>
      </c>
      <c r="G203" s="23">
        <f>IF(ISERR(F203*E203),IF(D203&gt;B202,G202,""),F203*E203)</f>
        <v>294731236.7297813</v>
      </c>
      <c r="H203" s="22">
        <f>IF(ISERR(G203-G201),"",(G203-G201))</f>
        <v>233294524.49261993</v>
      </c>
      <c r="I203" s="21">
        <f t="shared" si="8"/>
        <v>337001183055.291</v>
      </c>
    </row>
    <row r="204" spans="1:9" ht="12.75">
      <c r="A204" s="29" t="s">
        <v>231</v>
      </c>
      <c r="B204" s="271">
        <f>(B203-B201)/(B202-B200)</f>
        <v>0.09</v>
      </c>
      <c r="D204" s="25">
        <v>2011</v>
      </c>
      <c r="E204" s="23">
        <f>IF(D204&lt;=B202,B197*EXP(B198*(D204-D198)),"")</f>
        <v>1308634948.9341455</v>
      </c>
      <c r="F204" s="24">
        <f>IF(D204&gt;B202,"",IF(B200&gt;D204,"",IF(B200=D204,B201,IF(B200&lt;D204,(D204-B200)*B204+B201,B203))))</f>
        <v>0.32</v>
      </c>
      <c r="G204" s="23">
        <f>IF(ISERR(F204*E204),IF(D204&gt;B202,G203,""),F204*E204)</f>
        <v>418763183.65892655</v>
      </c>
      <c r="H204" s="22">
        <f>IF(ISERR(G204-G201),"",(G204-G201))</f>
        <v>357326471.42176515</v>
      </c>
      <c r="I204" s="21">
        <f t="shared" si="8"/>
        <v>516169180858.40826</v>
      </c>
    </row>
    <row r="205" spans="1:14" ht="12.75">
      <c r="A205"/>
      <c r="D205" s="25">
        <v>2012</v>
      </c>
      <c r="E205" s="23">
        <f>IF(D205&lt;=B202,B197*EXP(B198*(D205-D198)),"")</f>
        <v>1336406867.3951006</v>
      </c>
      <c r="F205" s="24">
        <f>IF(D205&gt;B202,"",IF(B200&gt;D205,"",IF(B200=D205,B201,IF(B200&lt;D205,(D205-B200)*B204+B201,B203))))</f>
        <v>0.41</v>
      </c>
      <c r="G205" s="23">
        <f>IF(ISERR(F205*E205),IF(D205&gt;B202,G204,""),F205*E205)</f>
        <v>547926815.6319913</v>
      </c>
      <c r="H205" s="22">
        <f>IF(ISERR(G205-G201),"",(G205-G201))</f>
        <v>486490103.39482987</v>
      </c>
      <c r="I205" s="21">
        <f t="shared" si="8"/>
        <v>702750057016.1682</v>
      </c>
      <c r="L205" s="29" t="s">
        <v>517</v>
      </c>
      <c r="M205" s="29" t="s">
        <v>518</v>
      </c>
      <c r="N205" s="29" t="s">
        <v>546</v>
      </c>
    </row>
    <row r="206" spans="1:14" ht="12.75">
      <c r="A206"/>
      <c r="D206" s="25">
        <v>2013</v>
      </c>
      <c r="E206" s="23">
        <f>IF(D206&lt;=B202,B197*EXP(B198*(D206-D198)),"")</f>
        <v>1364768162.943707</v>
      </c>
      <c r="F206" s="24">
        <f>IF(D206&gt;B202,"",IF(B200&gt;D206,"",IF(B200=D206,B201,IF(B200&lt;D206,(D206-B200)*B204+B201,B203))))</f>
        <v>0.49999999999999994</v>
      </c>
      <c r="G206" s="23">
        <f>IF(ISERR(F206*E206),IF(D206&gt;B202,G205,""),F206*E206)</f>
        <v>682384081.4718534</v>
      </c>
      <c r="H206" s="22">
        <f>IF(ISERR(G206-G201),"",(G206-G201))</f>
        <v>620947369.234692</v>
      </c>
      <c r="I206" s="21">
        <f t="shared" si="8"/>
        <v>896977751630.7786</v>
      </c>
      <c r="L206" s="29" t="s">
        <v>547</v>
      </c>
      <c r="M206" s="29">
        <f>$B$7</f>
        <v>8780</v>
      </c>
      <c r="N206" s="228">
        <f>$C$7</f>
        <v>2319.4126</v>
      </c>
    </row>
    <row r="207" spans="1:14" ht="12.75">
      <c r="A207" t="s">
        <v>232</v>
      </c>
      <c r="B207" s="27">
        <f>VLOOKUP(B202,D198:I223,6,FALSE)</f>
        <v>896977751630.7786</v>
      </c>
      <c r="D207" s="25">
        <v>2014</v>
      </c>
      <c r="E207" s="23">
        <f>IF(D207&lt;=B202,B197*EXP(B198*(D207-D198)),"")</f>
      </c>
      <c r="F207" s="24">
        <f>IF(D207&gt;B202,"",IF(B200&gt;D207,"",IF(B200=D207,B201,IF(B200&lt;D207,(D207-B200)*B204+B201,B203))))</f>
      </c>
      <c r="G207" s="23">
        <f>IF(ISERR(F207*E207),IF(D207&gt;B202,G206,""),F207*E207)</f>
        <v>682384081.4718534</v>
      </c>
      <c r="H207" s="22">
        <f>IF(ISERR(G207-G201),"",(G207-G201))</f>
        <v>620947369.234692</v>
      </c>
      <c r="I207" s="21">
        <f t="shared" si="8"/>
        <v>896977751630.7786</v>
      </c>
      <c r="L207" s="29" t="s">
        <v>548</v>
      </c>
      <c r="M207" s="29">
        <f>$B$8</f>
        <v>3512</v>
      </c>
      <c r="N207" s="228">
        <f>$C$8</f>
        <v>927.76504</v>
      </c>
    </row>
    <row r="208" spans="1:14" ht="12.75">
      <c r="A208" t="s">
        <v>77</v>
      </c>
      <c r="B208" s="27">
        <f>SUM(I202:I223)</f>
        <v>17866538494534.086</v>
      </c>
      <c r="D208" s="25">
        <v>2015</v>
      </c>
      <c r="E208" s="23">
        <f>IF(D208&lt;=B202,B197*EXP(B198*(D208-D198)),"")</f>
      </c>
      <c r="F208" s="24">
        <f>IF(D208&gt;B202,"",IF(B200&gt;D208,"",IF(B200=D208,B201,IF(B200&lt;D208,(D208-B200)*B204+B201,B203))))</f>
      </c>
      <c r="G208" s="23">
        <f>IF(ISERR(F208*E208),IF(D208&gt;B202,G207,""),F208*E208)</f>
        <v>682384081.4718534</v>
      </c>
      <c r="H208" s="22">
        <f>IF(ISERR(G208-G201),"",(G208-G201))</f>
        <v>620947369.234692</v>
      </c>
      <c r="I208" s="21">
        <f t="shared" si="8"/>
        <v>896977751630.7786</v>
      </c>
      <c r="L208" s="29" t="s">
        <v>549</v>
      </c>
      <c r="M208" s="29">
        <f>$B$9</f>
        <v>7024</v>
      </c>
      <c r="N208" s="228">
        <f>$C$9</f>
        <v>1855.53008</v>
      </c>
    </row>
    <row r="209" spans="1:14" ht="12.75">
      <c r="A209" t="s">
        <v>233</v>
      </c>
      <c r="B209" s="26">
        <f>B207/(10^12)</f>
        <v>0.8969777516307785</v>
      </c>
      <c r="D209" s="25">
        <v>2016</v>
      </c>
      <c r="E209" s="23">
        <f>IF(D209&lt;=B202,B197*EXP(B198*(D209-D198)),"")</f>
      </c>
      <c r="F209" s="24">
        <f>IF(D209&gt;B202,"",IF(B200&gt;D209,"",IF(B200=D209,B201,IF(B200&lt;D209,(D209-B200)*B204+B201,B203))))</f>
      </c>
      <c r="G209" s="23">
        <f>IF(ISERR(F209*E209),IF(D209&gt;B202,G208,""),F209*E209)</f>
        <v>682384081.4718534</v>
      </c>
      <c r="H209" s="22">
        <f>IF(ISERR(G209-G201),"",(G209-G201))</f>
        <v>620947369.234692</v>
      </c>
      <c r="I209" s="21">
        <f t="shared" si="8"/>
        <v>896977751630.7786</v>
      </c>
      <c r="L209" s="29" t="s">
        <v>550</v>
      </c>
      <c r="M209" s="29">
        <f>$B$10</f>
        <v>11652.122500000001</v>
      </c>
      <c r="N209" s="228">
        <f>$C$10</f>
        <v>3078.5</v>
      </c>
    </row>
    <row r="210" spans="1:9" ht="12.75">
      <c r="A210" t="s">
        <v>234</v>
      </c>
      <c r="B210" s="26">
        <f>B208/(10^12)</f>
        <v>17.866538494534087</v>
      </c>
      <c r="D210" s="25">
        <v>2017</v>
      </c>
      <c r="E210" s="23">
        <f>IF(D210&lt;=B202,B197*EXP(B198*(D210-D198)),"")</f>
      </c>
      <c r="F210" s="24">
        <f>IF(D210&gt;B202,"",IF(B200&gt;D210,"",IF(B200=D210,B201,IF(B200&lt;D210,(D210-B200)*B204+B201,B203))))</f>
      </c>
      <c r="G210" s="23">
        <f>IF(ISERR(F210*E210),IF(D210&gt;B202,G209,""),F210*E210)</f>
        <v>682384081.4718534</v>
      </c>
      <c r="H210" s="22">
        <f>IF(ISERR(G210-G201),"",(G210-G201))</f>
        <v>620947369.234692</v>
      </c>
      <c r="I210" s="21">
        <f t="shared" si="8"/>
        <v>896977751630.7786</v>
      </c>
    </row>
    <row r="211" spans="1:9" ht="12.75">
      <c r="A211" s="74" t="s">
        <v>551</v>
      </c>
      <c r="B211" s="110">
        <f>SUM(H202:H223)/(10^6)</f>
        <v>12368.40050418326</v>
      </c>
      <c r="D211" s="25">
        <v>2018</v>
      </c>
      <c r="E211" s="23">
        <f>IF(D211&lt;=B202,B197*EXP(B198*(D211-D198)),"")</f>
      </c>
      <c r="F211" s="24">
        <f>IF(D211&gt;B202,"",IF(B200&gt;D211,"",IF(B200=D211,B201,IF(B200&lt;D211,(D211-B200)*B204+B201,B203))))</f>
      </c>
      <c r="G211" s="23">
        <f>IF(ISERR(F211*E211),IF(D211&gt;B202,G210,""),F211*E211)</f>
        <v>682384081.4718534</v>
      </c>
      <c r="H211" s="22">
        <f>IF(ISERR(G211-G201),"",(G211-G201))</f>
        <v>620947369.234692</v>
      </c>
      <c r="I211" s="21">
        <f t="shared" si="8"/>
        <v>896977751630.7786</v>
      </c>
    </row>
    <row r="212" spans="1:14" ht="12.75">
      <c r="A212" s="74" t="s">
        <v>791</v>
      </c>
      <c r="B212" s="392">
        <f>VLOOKUP(B202,D198:H223,5,FALSE)/(10^6)</f>
        <v>620.947369234692</v>
      </c>
      <c r="D212" s="25">
        <v>2019</v>
      </c>
      <c r="E212" s="23">
        <f>IF(D212&lt;=B202,B197*EXP(B198*(D212-D198)),"")</f>
      </c>
      <c r="F212" s="24">
        <f>IF(D212&gt;B202,"",IF(B200&gt;D212,"",IF(B200=D212,B201,IF(B200&lt;D212,(D212-B200)*B204+B201,B203))))</f>
      </c>
      <c r="G212" s="23">
        <f>IF(ISERR(F212*E212),IF(D212&gt;B202,G211,""),F212*E212)</f>
        <v>682384081.4718534</v>
      </c>
      <c r="H212" s="22">
        <f>IF(ISERR(G212-G201),"",(G212-G201))</f>
        <v>620947369.234692</v>
      </c>
      <c r="I212" s="21">
        <f t="shared" si="8"/>
        <v>896977751630.7786</v>
      </c>
      <c r="L212" s="29" t="s">
        <v>552</v>
      </c>
      <c r="N212" s="420">
        <f>$C$12</f>
        <v>927.7650400000002</v>
      </c>
    </row>
    <row r="213" spans="1:14" ht="12.75">
      <c r="A213" t="s">
        <v>312</v>
      </c>
      <c r="B213" s="37">
        <v>675.98</v>
      </c>
      <c r="D213" s="25">
        <v>2020</v>
      </c>
      <c r="E213" s="23">
        <f>IF(D213&lt;=B202,B197*EXP(B198*(D213-D198)),"")</f>
      </c>
      <c r="F213" s="24">
        <f>IF(D213&gt;B202,"",IF(B200&gt;D213,"",IF(B200=D213,B201,IF(B200&lt;D213,(D213-B200)*B204+B201,B203))))</f>
      </c>
      <c r="G213" s="23">
        <f>IF(ISERR(F213*E213),IF(D213&gt;B202,G212,""),F213*E213)</f>
        <v>682384081.4718534</v>
      </c>
      <c r="H213" s="22">
        <f>IF(ISERR(G213-G201),"",(G213-G201))</f>
        <v>620947369.234692</v>
      </c>
      <c r="I213" s="21">
        <f t="shared" si="8"/>
        <v>896977751630.7786</v>
      </c>
      <c r="L213" s="29" t="s">
        <v>475</v>
      </c>
      <c r="N213" s="226">
        <f>$C$13</f>
        <v>0.5</v>
      </c>
    </row>
    <row r="214" spans="1:14" ht="12.75">
      <c r="A214" t="s">
        <v>313</v>
      </c>
      <c r="B214" s="29">
        <f>B213*1.58987*10^5</f>
        <v>107472032.25999999</v>
      </c>
      <c r="D214" s="25">
        <v>2021</v>
      </c>
      <c r="E214" s="23">
        <f>IF(D214&lt;=B202,B197*EXP(B198*(D214-D198)),"")</f>
      </c>
      <c r="F214" s="24">
        <f>IF(D214&gt;B202,"",IF(B200&gt;D214,"",IF(B200=D214,B201,IF(B200&lt;D214,(D214-B200)*B204+B201,B203))))</f>
      </c>
      <c r="G214" s="23">
        <f>IF(ISERR(F214*E214),IF(D214&gt;B202,G213,""),F214*E214)</f>
        <v>682384081.4718534</v>
      </c>
      <c r="H214" s="22">
        <f>IF(ISERR(G214-G201),"",(G214-G201))</f>
        <v>620947369.234692</v>
      </c>
      <c r="I214" s="21">
        <f t="shared" si="8"/>
        <v>896977751630.7786</v>
      </c>
      <c r="L214" s="29" t="s">
        <v>419</v>
      </c>
      <c r="N214" s="420">
        <f>$C$14</f>
        <v>1539.25</v>
      </c>
    </row>
    <row r="215" spans="1:9" ht="12.75">
      <c r="A215"/>
      <c r="D215" s="25">
        <v>2022</v>
      </c>
      <c r="E215" s="23">
        <f>IF(D215&lt;=B202,B197*EXP(B198*(D215-D198)),"")</f>
      </c>
      <c r="F215" s="24">
        <f>IF(D215&gt;B202,"",IF(B200&gt;D215,"",IF(B200=D215,B201,IF(B200&lt;D215,(D215-B200)*B204+B201,B203))))</f>
      </c>
      <c r="G215" s="23">
        <f>IF(ISERR(F215*E215),IF(D215&gt;B202,G214,""),F215*E215)</f>
        <v>682384081.4718534</v>
      </c>
      <c r="H215" s="22">
        <f>IF(ISERR(G215-G201),"",(G215-G201))</f>
        <v>620947369.234692</v>
      </c>
      <c r="I215" s="21">
        <f t="shared" si="8"/>
        <v>896977751630.7786</v>
      </c>
    </row>
    <row r="216" spans="1:9" ht="12.75">
      <c r="A216" t="s">
        <v>314</v>
      </c>
      <c r="B216" s="29">
        <f>B217/(1.58987*10^5)</f>
        <v>675.9799999999999</v>
      </c>
      <c r="D216" s="25">
        <v>2023</v>
      </c>
      <c r="E216" s="23">
        <f>IF(D216&lt;=B202,B197*EXP(B198*(D216-D198)),"")</f>
      </c>
      <c r="F216" s="24">
        <f>IF(D216&gt;B202,"",IF(B200&gt;D216,"",IF(B200=D216,B201,IF(B200&lt;D216,(D216-B200)*B204+B201,B203))))</f>
      </c>
      <c r="G216" s="23">
        <f>IF(ISERR(F216*E216),IF(D216&gt;B202,G215,""),F216*E216)</f>
        <v>682384081.4718534</v>
      </c>
      <c r="H216" s="22">
        <f>IF(ISERR(G216-G201),"",(G216-G201))</f>
        <v>620947369.234692</v>
      </c>
      <c r="I216" s="21">
        <f t="shared" si="8"/>
        <v>896977751630.7786</v>
      </c>
    </row>
    <row r="217" spans="1:9" ht="12.75">
      <c r="A217" t="s">
        <v>101</v>
      </c>
      <c r="B217" s="37">
        <v>107472032.25999999</v>
      </c>
      <c r="D217" s="25">
        <v>2024</v>
      </c>
      <c r="E217" s="23">
        <f>IF(D217&lt;=B202,B197*EXP(B198*(D217-D198)),"")</f>
      </c>
      <c r="F217" s="24">
        <f>IF(D217&gt;B202,"",IF(B200&gt;D217,"",IF(B200=D217,B201,IF(B200&lt;D217,(D217-B200)*B204+B201,B203))))</f>
      </c>
      <c r="G217" s="23">
        <f>IF(ISERR(F217*E217),IF(D217&gt;B202,G216,""),F217*E217)</f>
        <v>682384081.4718534</v>
      </c>
      <c r="H217" s="22">
        <f>IF(ISERR(G217-G201),"",(G217-G201))</f>
        <v>620947369.234692</v>
      </c>
      <c r="I217" s="21">
        <f t="shared" si="8"/>
        <v>896977751630.7786</v>
      </c>
    </row>
    <row r="218" spans="1:9" ht="12.75">
      <c r="A218"/>
      <c r="D218" s="25">
        <v>2025</v>
      </c>
      <c r="E218" s="23">
        <f>IF(D218&lt;=B202,B197*EXP(B198*(D218-D198)),"")</f>
      </c>
      <c r="F218" s="24">
        <f>IF(D218&gt;B202,"",IF(B200&gt;D218,"",IF(B200=D218,B201,IF(B200&lt;D218,(D218-B200)*B204+B201,B203))))</f>
      </c>
      <c r="G218" s="23">
        <f>IF(ISERR(F218*E218),IF(D218&gt;B202,G217,""),F218*E218)</f>
        <v>682384081.4718534</v>
      </c>
      <c r="H218" s="22">
        <f>IF(ISERR(G218-G201),"",(G218-G201))</f>
        <v>620947369.234692</v>
      </c>
      <c r="I218" s="21">
        <f t="shared" si="8"/>
        <v>896977751630.7786</v>
      </c>
    </row>
    <row r="219" spans="1:9" ht="12.75">
      <c r="A219"/>
      <c r="D219" s="25">
        <v>2026</v>
      </c>
      <c r="E219" s="23">
        <f>IF(D219&lt;=B202,B197*EXP(B198*(D219-D198)),"")</f>
      </c>
      <c r="F219" s="24">
        <f>IF(D219&gt;B202,"",IF(B200&gt;D219,"",IF(B200=D219,B201,IF(B200&lt;D219,(D219-B200)*B204+B201,B203))))</f>
      </c>
      <c r="G219" s="23">
        <f>IF(ISERR(F219*E219),IF(D219&gt;B202,G218,""),F219*E219)</f>
        <v>682384081.4718534</v>
      </c>
      <c r="H219" s="22">
        <f>IF(ISERR(G219-G201),"",(G219-G201))</f>
        <v>620947369.234692</v>
      </c>
      <c r="I219" s="21">
        <f t="shared" si="8"/>
        <v>896977751630.7786</v>
      </c>
    </row>
    <row r="220" spans="1:9" ht="12.75">
      <c r="A220"/>
      <c r="D220" s="25">
        <v>2027</v>
      </c>
      <c r="E220" s="23">
        <f>IF(D220&lt;=B202,B197*EXP(B198*(D220-D198)),"")</f>
      </c>
      <c r="F220" s="24">
        <f>IF(D220&gt;B202,"",IF(B200&gt;D220,"",IF(B200=D220,B201,IF(B200&lt;D220,(D220-B200)*B204+B201,B203))))</f>
      </c>
      <c r="G220" s="23">
        <f>IF(ISERR(F220*E220),IF(D220&gt;B202,G219,""),F220*E220)</f>
        <v>682384081.4718534</v>
      </c>
      <c r="H220" s="22">
        <f>IF(ISERR(G220-G201),"",(G220-G201))</f>
        <v>620947369.234692</v>
      </c>
      <c r="I220" s="21">
        <f t="shared" si="8"/>
        <v>896977751630.7786</v>
      </c>
    </row>
    <row r="221" spans="1:9" ht="12.75">
      <c r="A221"/>
      <c r="D221" s="25">
        <v>2028</v>
      </c>
      <c r="E221" s="23">
        <f>IF(D221&lt;=B202,B197*EXP(B198*(D221-D198)),"")</f>
      </c>
      <c r="F221" s="24">
        <f>IF(D221&gt;B202,"",IF(B200&gt;D221,"",IF(B200=D221,B201,IF(B200&lt;D221,(D221-B200)*B204+B201,B203))))</f>
      </c>
      <c r="G221" s="23">
        <f>IF(ISERR(F221*E221),IF(D221&gt;B202,G220,""),F221*E221)</f>
        <v>682384081.4718534</v>
      </c>
      <c r="H221" s="22">
        <f>IF(ISERR(G221-G201),"",(G221-G201))</f>
        <v>620947369.234692</v>
      </c>
      <c r="I221" s="21">
        <f t="shared" si="8"/>
        <v>896977751630.7786</v>
      </c>
    </row>
    <row r="222" spans="1:9" ht="12.75">
      <c r="A222"/>
      <c r="D222" s="25">
        <v>2029</v>
      </c>
      <c r="E222" s="23">
        <f>IF(D222&lt;=B202,B197*EXP(B198*(D222-D198)),"")</f>
      </c>
      <c r="F222" s="24">
        <f>IF(D222&gt;B202,"",IF(B200&gt;D222,"",IF(B200=D222,B201,IF(B200&lt;D222,(D222-B200)*B204+B201,B203))))</f>
      </c>
      <c r="G222" s="23">
        <f>IF(ISERR(F222*E222),IF(D222&gt;B202,G221,""),F222*E222)</f>
        <v>682384081.4718534</v>
      </c>
      <c r="H222" s="22">
        <f>IF(ISERR(G222-G201),"",(G222-G201))</f>
        <v>620947369.234692</v>
      </c>
      <c r="I222" s="21">
        <f t="shared" si="8"/>
        <v>896977751630.7786</v>
      </c>
    </row>
    <row r="223" spans="1:9" ht="13.5" thickBot="1">
      <c r="A223"/>
      <c r="D223" s="20">
        <v>2030</v>
      </c>
      <c r="E223" s="18">
        <f>IF(D223&lt;=B202,B197*EXP(B198*(D223-D198)),"")</f>
      </c>
      <c r="F223" s="19">
        <f>IF(D223&gt;B202,"",IF(B200&gt;D223,"",IF(B200=D223,B201,IF(B200&lt;D223,(D223-B200)*B204+B201,B203))))</f>
      </c>
      <c r="G223" s="18">
        <f>IF(ISERR(F223*E223),IF(D223&gt;B202,G222,""),F223*E223)</f>
        <v>682384081.4718534</v>
      </c>
      <c r="H223" s="17">
        <f>IF(ISERR(G223-G201),"",(G223-G201))</f>
        <v>620947369.234692</v>
      </c>
      <c r="I223" s="16">
        <f t="shared" si="8"/>
        <v>896977751630.7786</v>
      </c>
    </row>
    <row r="224" spans="1:8" ht="12.75">
      <c r="A224"/>
      <c r="D224" s="74" t="s">
        <v>576</v>
      </c>
      <c r="E224" s="74"/>
      <c r="F224" s="74"/>
      <c r="G224" s="74"/>
      <c r="H224" s="74"/>
    </row>
    <row r="225" spans="1:31" s="118" customFormat="1" ht="12.75">
      <c r="A225" s="117"/>
      <c r="D225" s="74" t="s">
        <v>380</v>
      </c>
      <c r="E225" s="74"/>
      <c r="F225" s="47" t="s">
        <v>538</v>
      </c>
      <c r="G225" s="74"/>
      <c r="H225" s="74"/>
      <c r="L225" s="289"/>
      <c r="M225" s="289"/>
      <c r="N225" s="289"/>
      <c r="O225" s="289"/>
      <c r="P225" s="289"/>
      <c r="Q225" s="289"/>
      <c r="R225" s="289"/>
      <c r="S225" s="289"/>
      <c r="T225" s="289"/>
      <c r="U225" s="289"/>
      <c r="V225" s="295"/>
      <c r="W225" s="295"/>
      <c r="X225" s="295"/>
      <c r="Y225" s="289"/>
      <c r="Z225" s="289"/>
      <c r="AA225" s="289"/>
      <c r="AB225" s="289"/>
      <c r="AC225" s="289"/>
      <c r="AD225" s="289"/>
      <c r="AE225" s="289"/>
    </row>
    <row r="226" spans="1:31" s="118" customFormat="1" ht="12.75">
      <c r="A226" s="117"/>
      <c r="D226" s="74"/>
      <c r="E226" s="74"/>
      <c r="F226" s="47"/>
      <c r="G226" s="74"/>
      <c r="H226" s="74"/>
      <c r="L226" s="289"/>
      <c r="M226" s="289"/>
      <c r="N226" s="289"/>
      <c r="O226" s="289"/>
      <c r="P226" s="289"/>
      <c r="Q226" s="289"/>
      <c r="R226" s="289"/>
      <c r="S226" s="289"/>
      <c r="T226" s="289"/>
      <c r="U226" s="289"/>
      <c r="V226" s="295"/>
      <c r="W226" s="295"/>
      <c r="X226" s="295"/>
      <c r="Y226" s="289"/>
      <c r="Z226" s="289"/>
      <c r="AA226" s="289"/>
      <c r="AB226" s="289"/>
      <c r="AC226" s="289"/>
      <c r="AD226" s="289"/>
      <c r="AE226" s="289"/>
    </row>
    <row r="227" spans="1:31" s="118" customFormat="1" ht="12.75">
      <c r="A227" s="117"/>
      <c r="D227" s="74"/>
      <c r="E227" s="74"/>
      <c r="F227" s="47"/>
      <c r="G227" s="74"/>
      <c r="H227" s="74"/>
      <c r="L227" s="289"/>
      <c r="M227" s="289"/>
      <c r="N227" s="289"/>
      <c r="O227" s="289"/>
      <c r="P227" s="289"/>
      <c r="Q227" s="289"/>
      <c r="R227" s="289"/>
      <c r="S227" s="289"/>
      <c r="T227" s="289"/>
      <c r="U227" s="289"/>
      <c r="V227" s="295"/>
      <c r="W227" s="295"/>
      <c r="X227" s="295"/>
      <c r="Y227" s="289"/>
      <c r="Z227" s="289"/>
      <c r="AA227" s="289"/>
      <c r="AB227" s="289"/>
      <c r="AC227" s="289"/>
      <c r="AD227" s="289"/>
      <c r="AE227" s="289"/>
    </row>
    <row r="228" spans="1:24" s="326" customFormat="1" ht="12.75">
      <c r="A228" s="325"/>
      <c r="D228" s="316"/>
      <c r="E228" s="316"/>
      <c r="F228" s="321"/>
      <c r="G228" s="316"/>
      <c r="H228" s="316"/>
      <c r="V228" s="327"/>
      <c r="W228" s="327"/>
      <c r="X228" s="327"/>
    </row>
    <row r="229" spans="1:10" ht="31.5" customHeight="1">
      <c r="A229" s="498" t="s">
        <v>315</v>
      </c>
      <c r="B229" s="499"/>
      <c r="C229" s="499"/>
      <c r="D229" s="499"/>
      <c r="E229" s="499"/>
      <c r="F229" s="499"/>
      <c r="G229" s="499"/>
      <c r="H229" s="499"/>
      <c r="I229" s="499"/>
      <c r="J229" s="64" t="s">
        <v>540</v>
      </c>
    </row>
    <row r="230" spans="1:31" s="118" customFormat="1" ht="13.5" thickBot="1">
      <c r="A230" s="117"/>
      <c r="L230" s="289"/>
      <c r="M230" s="289"/>
      <c r="N230" s="289"/>
      <c r="O230" s="289"/>
      <c r="P230" s="289"/>
      <c r="Q230" s="289"/>
      <c r="R230" s="289"/>
      <c r="S230" s="289"/>
      <c r="T230" s="289"/>
      <c r="U230" s="289"/>
      <c r="V230" s="295"/>
      <c r="W230" s="295"/>
      <c r="X230" s="295"/>
      <c r="Y230" s="289"/>
      <c r="Z230" s="289"/>
      <c r="AA230" s="289"/>
      <c r="AB230" s="289"/>
      <c r="AC230" s="289"/>
      <c r="AD230" s="289"/>
      <c r="AE230" s="289"/>
    </row>
    <row r="231" spans="1:30" ht="51">
      <c r="A231" t="s">
        <v>287</v>
      </c>
      <c r="B231" t="s">
        <v>756</v>
      </c>
      <c r="D231" s="46" t="s">
        <v>801</v>
      </c>
      <c r="E231" s="269" t="s">
        <v>226</v>
      </c>
      <c r="F231" s="269" t="s">
        <v>542</v>
      </c>
      <c r="G231" s="273" t="s">
        <v>261</v>
      </c>
      <c r="Q231" s="296" t="s">
        <v>757</v>
      </c>
      <c r="R231" s="297"/>
      <c r="S231" s="297"/>
      <c r="T231" s="297"/>
      <c r="U231" s="297"/>
      <c r="V231" s="297"/>
      <c r="W231" s="297"/>
      <c r="X231" s="297"/>
      <c r="Y231" s="297"/>
      <c r="Z231" s="297"/>
      <c r="AA231" s="298"/>
      <c r="AB231" s="298"/>
      <c r="AC231" s="298"/>
      <c r="AD231" s="299"/>
    </row>
    <row r="232" spans="1:30" ht="77.25" thickBot="1">
      <c r="A232" s="63"/>
      <c r="B232" s="276"/>
      <c r="D232" s="43"/>
      <c r="E232" s="41"/>
      <c r="F232" s="41" t="s">
        <v>266</v>
      </c>
      <c r="G232" s="40" t="s">
        <v>267</v>
      </c>
      <c r="Q232" s="300" t="s">
        <v>575</v>
      </c>
      <c r="R232" s="301" t="s">
        <v>626</v>
      </c>
      <c r="S232" s="301" t="s">
        <v>627</v>
      </c>
      <c r="T232" s="301" t="s">
        <v>247</v>
      </c>
      <c r="U232" s="301" t="s">
        <v>621</v>
      </c>
      <c r="V232" s="301"/>
      <c r="W232" s="301" t="s">
        <v>622</v>
      </c>
      <c r="X232" s="301" t="s">
        <v>623</v>
      </c>
      <c r="Y232" s="301" t="s">
        <v>624</v>
      </c>
      <c r="Z232" s="301" t="s">
        <v>625</v>
      </c>
      <c r="AA232" s="302"/>
      <c r="AB232" s="302"/>
      <c r="AC232" s="302"/>
      <c r="AD232" s="303"/>
    </row>
    <row r="233" spans="1:30" ht="13.5" thickTop="1">
      <c r="A233" s="63"/>
      <c r="B233" s="63"/>
      <c r="C233" s="30"/>
      <c r="D233" s="25">
        <v>2005</v>
      </c>
      <c r="E233" s="23">
        <f>IF(D233&lt;$B$235,"",IF(D233=$B$235,$B$236,IF(D233&gt;$B$237,$B$238,E232+$B$239)))</f>
      </c>
      <c r="F233" s="23">
        <f aca="true" t="shared" si="9" ref="F233:F258">IF(D233&gt;=2009,E233*0.69,"")</f>
      </c>
      <c r="G233" s="38"/>
      <c r="Q233" s="300">
        <v>2007</v>
      </c>
      <c r="R233" s="284">
        <v>6.2</v>
      </c>
      <c r="S233" s="284"/>
      <c r="T233" s="304"/>
      <c r="U233" s="305">
        <f>SUM(R233:T233)*3.785*1000000000</f>
        <v>23467000000.000004</v>
      </c>
      <c r="V233" s="421">
        <f aca="true" t="shared" si="10" ref="V233:V248">J235</f>
        <v>6.2</v>
      </c>
      <c r="W233" s="304">
        <f>SUM(R233:T233)</f>
        <v>6.2</v>
      </c>
      <c r="X233" s="284">
        <f>R233*3.785*1000000000</f>
        <v>23467000000.000004</v>
      </c>
      <c r="Y233" s="285">
        <f aca="true" t="shared" si="11" ref="Y233:Z248">S233*3.785*1000000000</f>
        <v>0</v>
      </c>
      <c r="Z233" s="285">
        <f t="shared" si="11"/>
        <v>0</v>
      </c>
      <c r="AA233" s="285"/>
      <c r="AB233" s="285"/>
      <c r="AC233" s="285"/>
      <c r="AD233" s="306"/>
    </row>
    <row r="234" spans="1:30" ht="12.75">
      <c r="A234" s="63" t="s">
        <v>316</v>
      </c>
      <c r="B234" s="71" t="s">
        <v>545</v>
      </c>
      <c r="D234" s="25">
        <v>2006</v>
      </c>
      <c r="E234" s="23">
        <f>IF(D234&lt;$B$235,"",IF(D234=$B$235,$B$236,IF(D234&gt;$B$237,$B$238,E233+$B$239)))</f>
      </c>
      <c r="F234" s="23">
        <f t="shared" si="9"/>
      </c>
      <c r="G234" s="34"/>
      <c r="I234" s="107" t="s">
        <v>60</v>
      </c>
      <c r="J234" s="107" t="s">
        <v>61</v>
      </c>
      <c r="L234" s="29" t="s">
        <v>507</v>
      </c>
      <c r="Q234" s="300">
        <v>2008</v>
      </c>
      <c r="R234" s="284">
        <v>9</v>
      </c>
      <c r="S234" s="284"/>
      <c r="T234" s="304"/>
      <c r="U234" s="305">
        <f aca="true" t="shared" si="12" ref="U234:U248">SUM(R234:T234)*3.785*1000000000</f>
        <v>34064999999.999996</v>
      </c>
      <c r="V234" s="421">
        <f t="shared" si="10"/>
        <v>8.999999999999998</v>
      </c>
      <c r="W234" s="304">
        <f aca="true" t="shared" si="13" ref="W234:W248">SUM(R234:T234)</f>
        <v>9</v>
      </c>
      <c r="X234" s="284">
        <f aca="true" t="shared" si="14" ref="X234:X248">R234*3.785*1000000000</f>
        <v>34064999999.999996</v>
      </c>
      <c r="Y234" s="285">
        <f t="shared" si="11"/>
        <v>0</v>
      </c>
      <c r="Z234" s="285">
        <f t="shared" si="11"/>
        <v>0</v>
      </c>
      <c r="AA234" s="285"/>
      <c r="AB234" s="285"/>
      <c r="AC234" s="285"/>
      <c r="AD234" s="306"/>
    </row>
    <row r="235" spans="1:30" ht="12.75">
      <c r="A235" s="63" t="s">
        <v>752</v>
      </c>
      <c r="B235" s="280">
        <v>2007</v>
      </c>
      <c r="D235" s="25">
        <v>2007</v>
      </c>
      <c r="E235" s="23">
        <f aca="true" t="shared" si="15" ref="E235:E258">IF(D235&lt;$B$235,"",IF(D235=$B$235,$B$236,IF(D235&gt;$B$237,$B$238,(INDEX($Q$232:$V$248,MATCH(D235,$Q$232:$Q$248,),MATCH("EISA Total",$Q$232:$V$232,))))))</f>
        <v>23467000000</v>
      </c>
      <c r="F235" s="23">
        <f t="shared" si="9"/>
      </c>
      <c r="G235" s="34"/>
      <c r="I235" s="222">
        <f aca="true" t="shared" si="16" ref="I235:I258">E235/1000000</f>
        <v>23467</v>
      </c>
      <c r="J235" s="422">
        <f>E235/3.785/1000000000</f>
        <v>6.2</v>
      </c>
      <c r="L235" s="29" t="s">
        <v>543</v>
      </c>
      <c r="M235" s="226">
        <f>INDEX($F$6:$K$13,MATCH(L234,$F$6:$F$13,),MATCH(L235,$F$6:$K$6,))</f>
        <v>0.734238409035572</v>
      </c>
      <c r="Q235" s="300">
        <v>2009</v>
      </c>
      <c r="R235" s="284">
        <v>10.5</v>
      </c>
      <c r="S235" s="284"/>
      <c r="T235" s="307">
        <v>0.6</v>
      </c>
      <c r="U235" s="305">
        <f t="shared" si="12"/>
        <v>42013500000</v>
      </c>
      <c r="V235" s="421">
        <f t="shared" si="10"/>
        <v>11.1</v>
      </c>
      <c r="W235" s="304">
        <f t="shared" si="13"/>
        <v>11.1</v>
      </c>
      <c r="X235" s="284">
        <f t="shared" si="14"/>
        <v>39742500000</v>
      </c>
      <c r="Y235" s="285">
        <f t="shared" si="11"/>
        <v>0</v>
      </c>
      <c r="Z235" s="285">
        <f t="shared" si="11"/>
        <v>2271000000</v>
      </c>
      <c r="AA235" s="285"/>
      <c r="AB235" s="285"/>
      <c r="AC235" s="285"/>
      <c r="AD235" s="306"/>
    </row>
    <row r="236" spans="1:31" s="33" customFormat="1" ht="12.75">
      <c r="A236" s="281" t="s">
        <v>317</v>
      </c>
      <c r="B236" s="229">
        <f>R233*10^9*3.785</f>
        <v>23467000000</v>
      </c>
      <c r="C236" s="35"/>
      <c r="D236" s="25">
        <v>2008</v>
      </c>
      <c r="E236" s="23">
        <f t="shared" si="15"/>
        <v>34064999999.999996</v>
      </c>
      <c r="F236" s="23">
        <f t="shared" si="9"/>
      </c>
      <c r="G236" s="34"/>
      <c r="I236" s="222">
        <f t="shared" si="16"/>
        <v>34064.99999999999</v>
      </c>
      <c r="J236" s="422">
        <f aca="true" t="shared" si="17" ref="J236:J258">E236/3.785/1000000000</f>
        <v>8.999999999999998</v>
      </c>
      <c r="L236" s="29" t="s">
        <v>544</v>
      </c>
      <c r="M236" s="226">
        <f>INDEX($F$6:$K$13,MATCH(L234,$F$6:$F$13,),MATCH(L236,$F$6:$K$6,))</f>
        <v>0.2657615909644279</v>
      </c>
      <c r="N236" s="29"/>
      <c r="O236" s="227"/>
      <c r="P236" s="227"/>
      <c r="Q236" s="300">
        <v>2010</v>
      </c>
      <c r="R236" s="284">
        <v>12</v>
      </c>
      <c r="S236" s="284">
        <v>0.1</v>
      </c>
      <c r="T236" s="307">
        <v>0.85</v>
      </c>
      <c r="U236" s="305">
        <f t="shared" si="12"/>
        <v>49015750000</v>
      </c>
      <c r="V236" s="421">
        <f t="shared" si="10"/>
        <v>12.95</v>
      </c>
      <c r="W236" s="304">
        <f t="shared" si="13"/>
        <v>12.95</v>
      </c>
      <c r="X236" s="284">
        <f t="shared" si="14"/>
        <v>45420000000</v>
      </c>
      <c r="Y236" s="285">
        <f>S236*3.785*1000000000</f>
        <v>378500000.00000006</v>
      </c>
      <c r="Z236" s="285">
        <f t="shared" si="11"/>
        <v>3217250000</v>
      </c>
      <c r="AA236" s="285"/>
      <c r="AB236" s="285"/>
      <c r="AC236" s="285"/>
      <c r="AD236" s="306"/>
      <c r="AE236" s="29"/>
    </row>
    <row r="237" spans="1:30" ht="12.75">
      <c r="A237" s="63" t="s">
        <v>318</v>
      </c>
      <c r="B237" s="282">
        <v>2022</v>
      </c>
      <c r="C237" s="30"/>
      <c r="D237" s="25">
        <v>2009</v>
      </c>
      <c r="E237" s="23">
        <f t="shared" si="15"/>
        <v>42013500000</v>
      </c>
      <c r="F237" s="22">
        <f t="shared" si="9"/>
        <v>28989314999.999996</v>
      </c>
      <c r="G237" s="21">
        <v>4716129461585.018</v>
      </c>
      <c r="I237" s="222">
        <f t="shared" si="16"/>
        <v>42013.5</v>
      </c>
      <c r="J237" s="422">
        <f t="shared" si="17"/>
        <v>11.1</v>
      </c>
      <c r="Q237" s="300">
        <v>2011</v>
      </c>
      <c r="R237" s="284">
        <v>12.6</v>
      </c>
      <c r="S237" s="284">
        <v>0.25</v>
      </c>
      <c r="T237" s="307">
        <v>1.1</v>
      </c>
      <c r="U237" s="305">
        <f t="shared" si="12"/>
        <v>52800750000</v>
      </c>
      <c r="V237" s="421">
        <f t="shared" si="10"/>
        <v>13.95</v>
      </c>
      <c r="W237" s="304">
        <f t="shared" si="13"/>
        <v>13.95</v>
      </c>
      <c r="X237" s="284">
        <f t="shared" si="14"/>
        <v>47691000000</v>
      </c>
      <c r="Y237" s="285">
        <f t="shared" si="11"/>
        <v>946250000</v>
      </c>
      <c r="Z237" s="285">
        <f t="shared" si="11"/>
        <v>4163500000.000001</v>
      </c>
      <c r="AA237" s="285"/>
      <c r="AB237" s="285"/>
      <c r="AC237" s="285"/>
      <c r="AD237" s="306"/>
    </row>
    <row r="238" spans="1:30" ht="12.75">
      <c r="A238" s="63" t="s">
        <v>319</v>
      </c>
      <c r="B238" s="283">
        <f>36*10^9*3.785</f>
        <v>136260000000</v>
      </c>
      <c r="C238" s="30"/>
      <c r="D238" s="25">
        <v>2010</v>
      </c>
      <c r="E238" s="23">
        <f t="shared" si="15"/>
        <v>49015750000</v>
      </c>
      <c r="F238" s="22">
        <f t="shared" si="9"/>
        <v>33820867499.999996</v>
      </c>
      <c r="G238" s="21">
        <v>6637876527525.734</v>
      </c>
      <c r="I238" s="222">
        <f t="shared" si="16"/>
        <v>49015.75</v>
      </c>
      <c r="J238" s="422">
        <f t="shared" si="17"/>
        <v>12.95</v>
      </c>
      <c r="Q238" s="300">
        <v>2012</v>
      </c>
      <c r="R238" s="284">
        <v>13.2</v>
      </c>
      <c r="S238" s="284">
        <v>0.5</v>
      </c>
      <c r="T238" s="307">
        <v>1.5</v>
      </c>
      <c r="U238" s="305">
        <f t="shared" si="12"/>
        <v>57532000000</v>
      </c>
      <c r="V238" s="421">
        <f t="shared" si="10"/>
        <v>15.2</v>
      </c>
      <c r="W238" s="304">
        <f t="shared" si="13"/>
        <v>15.2</v>
      </c>
      <c r="X238" s="284">
        <f t="shared" si="14"/>
        <v>49962000000</v>
      </c>
      <c r="Y238" s="285">
        <f t="shared" si="11"/>
        <v>1892500000</v>
      </c>
      <c r="Z238" s="285">
        <f t="shared" si="11"/>
        <v>5677500000</v>
      </c>
      <c r="AA238" s="285"/>
      <c r="AB238" s="285"/>
      <c r="AC238" s="285"/>
      <c r="AD238" s="306"/>
    </row>
    <row r="239" spans="1:30" ht="12.75">
      <c r="A239" s="284" t="s">
        <v>620</v>
      </c>
      <c r="B239" s="230">
        <f>(B238-B236)/(B237-B235)</f>
        <v>7519533333.333333</v>
      </c>
      <c r="D239" s="25">
        <v>2011</v>
      </c>
      <c r="E239" s="23">
        <f t="shared" si="15"/>
        <v>52800750000</v>
      </c>
      <c r="F239" s="22">
        <f t="shared" si="9"/>
        <v>36432517500</v>
      </c>
      <c r="G239" s="21">
        <v>8931416803672.49</v>
      </c>
      <c r="I239" s="222">
        <f t="shared" si="16"/>
        <v>52800.75</v>
      </c>
      <c r="J239" s="422">
        <f t="shared" si="17"/>
        <v>13.95</v>
      </c>
      <c r="Q239" s="300">
        <v>2013</v>
      </c>
      <c r="R239" s="284">
        <v>13.8</v>
      </c>
      <c r="S239" s="284">
        <v>1</v>
      </c>
      <c r="T239" s="307">
        <v>1.75</v>
      </c>
      <c r="U239" s="305">
        <f t="shared" si="12"/>
        <v>62641750000</v>
      </c>
      <c r="V239" s="421">
        <f t="shared" si="10"/>
        <v>16.55</v>
      </c>
      <c r="W239" s="304">
        <f t="shared" si="13"/>
        <v>16.55</v>
      </c>
      <c r="X239" s="284">
        <f t="shared" si="14"/>
        <v>52233000000.00001</v>
      </c>
      <c r="Y239" s="285">
        <f t="shared" si="11"/>
        <v>3785000000</v>
      </c>
      <c r="Z239" s="285">
        <f t="shared" si="11"/>
        <v>6623750000</v>
      </c>
      <c r="AA239" s="285"/>
      <c r="AB239" s="285"/>
      <c r="AC239" s="285"/>
      <c r="AD239" s="306"/>
    </row>
    <row r="240" spans="1:30" ht="12.75">
      <c r="A240" s="63"/>
      <c r="B240" s="63"/>
      <c r="D240" s="25">
        <v>2012</v>
      </c>
      <c r="E240" s="23">
        <f t="shared" si="15"/>
        <v>57532000000</v>
      </c>
      <c r="F240" s="22">
        <f t="shared" si="9"/>
        <v>39697080000</v>
      </c>
      <c r="G240" s="21">
        <v>12437577217892.625</v>
      </c>
      <c r="I240" s="222">
        <f t="shared" si="16"/>
        <v>57532</v>
      </c>
      <c r="J240" s="422">
        <f t="shared" si="17"/>
        <v>15.2</v>
      </c>
      <c r="Q240" s="300">
        <v>2014</v>
      </c>
      <c r="R240" s="284">
        <v>14.4</v>
      </c>
      <c r="S240" s="284">
        <v>1.75</v>
      </c>
      <c r="T240" s="307">
        <v>2</v>
      </c>
      <c r="U240" s="305">
        <f t="shared" si="12"/>
        <v>68697750000</v>
      </c>
      <c r="V240" s="421">
        <f t="shared" si="10"/>
        <v>18.15</v>
      </c>
      <c r="W240" s="304">
        <f t="shared" si="13"/>
        <v>18.15</v>
      </c>
      <c r="X240" s="284">
        <f t="shared" si="14"/>
        <v>54504000000.00001</v>
      </c>
      <c r="Y240" s="285">
        <f t="shared" si="11"/>
        <v>6623750000</v>
      </c>
      <c r="Z240" s="285">
        <f t="shared" si="11"/>
        <v>7570000000</v>
      </c>
      <c r="AA240" s="285"/>
      <c r="AB240" s="285"/>
      <c r="AC240" s="285"/>
      <c r="AD240" s="306"/>
    </row>
    <row r="241" spans="1:30" ht="12.75">
      <c r="A241" s="63"/>
      <c r="B241" s="63"/>
      <c r="D241" s="25">
        <v>2013</v>
      </c>
      <c r="E241" s="23">
        <f t="shared" si="15"/>
        <v>62641750000</v>
      </c>
      <c r="F241" s="22">
        <f t="shared" si="9"/>
        <v>43222807500</v>
      </c>
      <c r="G241" s="21">
        <v>17225318414528.566</v>
      </c>
      <c r="I241" s="222">
        <f t="shared" si="16"/>
        <v>62641.75</v>
      </c>
      <c r="J241" s="422">
        <f t="shared" si="17"/>
        <v>16.55</v>
      </c>
      <c r="N241" s="228"/>
      <c r="Q241" s="300">
        <v>2015</v>
      </c>
      <c r="R241" s="284">
        <v>15</v>
      </c>
      <c r="S241" s="284">
        <v>3</v>
      </c>
      <c r="T241" s="307">
        <v>2.5</v>
      </c>
      <c r="U241" s="305">
        <f t="shared" si="12"/>
        <v>77592500000</v>
      </c>
      <c r="V241" s="421">
        <f t="shared" si="10"/>
        <v>20.5</v>
      </c>
      <c r="W241" s="304">
        <f t="shared" si="13"/>
        <v>20.5</v>
      </c>
      <c r="X241" s="284">
        <f t="shared" si="14"/>
        <v>56775000000.00001</v>
      </c>
      <c r="Y241" s="285">
        <f t="shared" si="11"/>
        <v>11355000000</v>
      </c>
      <c r="Z241" s="285">
        <f t="shared" si="11"/>
        <v>9462500000</v>
      </c>
      <c r="AA241" s="285"/>
      <c r="AB241" s="285"/>
      <c r="AC241" s="285"/>
      <c r="AD241" s="306"/>
    </row>
    <row r="242" spans="1:30" ht="12.75">
      <c r="A242" s="63" t="s">
        <v>320</v>
      </c>
      <c r="B242" s="285">
        <f>VLOOKUP(B237,D233:G258,4,FALSE)</f>
        <v>115365692290903.05</v>
      </c>
      <c r="D242" s="25">
        <v>2014</v>
      </c>
      <c r="E242" s="23">
        <f t="shared" si="15"/>
        <v>68697750000</v>
      </c>
      <c r="F242" s="22">
        <f t="shared" si="9"/>
        <v>47401447500</v>
      </c>
      <c r="G242" s="21">
        <v>23632493289681.285</v>
      </c>
      <c r="I242" s="222">
        <f t="shared" si="16"/>
        <v>68697.75</v>
      </c>
      <c r="J242" s="422">
        <f t="shared" si="17"/>
        <v>18.15</v>
      </c>
      <c r="N242" s="228"/>
      <c r="Q242" s="300">
        <v>2016</v>
      </c>
      <c r="R242" s="284">
        <v>15</v>
      </c>
      <c r="S242" s="284">
        <v>4.25</v>
      </c>
      <c r="T242" s="307">
        <v>3</v>
      </c>
      <c r="U242" s="305">
        <f t="shared" si="12"/>
        <v>84216250000</v>
      </c>
      <c r="V242" s="421">
        <f t="shared" si="10"/>
        <v>22.25</v>
      </c>
      <c r="W242" s="304">
        <f t="shared" si="13"/>
        <v>22.25</v>
      </c>
      <c r="X242" s="284">
        <f t="shared" si="14"/>
        <v>56775000000.00001</v>
      </c>
      <c r="Y242" s="285">
        <f t="shared" si="11"/>
        <v>16086250000</v>
      </c>
      <c r="Z242" s="285">
        <f t="shared" si="11"/>
        <v>11355000000</v>
      </c>
      <c r="AA242" s="285"/>
      <c r="AB242" s="285"/>
      <c r="AC242" s="285"/>
      <c r="AD242" s="306"/>
    </row>
    <row r="243" spans="1:30" ht="12.75">
      <c r="A243" s="63" t="s">
        <v>321</v>
      </c>
      <c r="B243" s="285">
        <f>SUM(G237:G258)</f>
        <v>1572800996078431.2</v>
      </c>
      <c r="D243" s="25">
        <v>2015</v>
      </c>
      <c r="E243" s="23">
        <f t="shared" si="15"/>
        <v>77592500000</v>
      </c>
      <c r="F243" s="22">
        <f t="shared" si="9"/>
        <v>53538824999.99999</v>
      </c>
      <c r="G243" s="21">
        <v>33771168164834.008</v>
      </c>
      <c r="I243" s="222">
        <f t="shared" si="16"/>
        <v>77592.5</v>
      </c>
      <c r="J243" s="422">
        <f t="shared" si="17"/>
        <v>20.5</v>
      </c>
      <c r="N243" s="228"/>
      <c r="Q243" s="300">
        <v>2017</v>
      </c>
      <c r="R243" s="284">
        <v>15</v>
      </c>
      <c r="S243" s="284">
        <v>5.5</v>
      </c>
      <c r="T243" s="307">
        <v>3.5</v>
      </c>
      <c r="U243" s="305">
        <f t="shared" si="12"/>
        <v>90840000000</v>
      </c>
      <c r="V243" s="421">
        <f t="shared" si="10"/>
        <v>24</v>
      </c>
      <c r="W243" s="304">
        <f t="shared" si="13"/>
        <v>24</v>
      </c>
      <c r="X243" s="284">
        <f t="shared" si="14"/>
        <v>56775000000.00001</v>
      </c>
      <c r="Y243" s="285">
        <f t="shared" si="11"/>
        <v>20817500000.000004</v>
      </c>
      <c r="Z243" s="285">
        <f t="shared" si="11"/>
        <v>13247500000</v>
      </c>
      <c r="AA243" s="285"/>
      <c r="AB243" s="285"/>
      <c r="AC243" s="285"/>
      <c r="AD243" s="306"/>
    </row>
    <row r="244" spans="1:30" ht="12.75">
      <c r="A244" s="63" t="s">
        <v>322</v>
      </c>
      <c r="B244" s="396">
        <f>B242/(10^12)</f>
        <v>115.36569229090304</v>
      </c>
      <c r="D244" s="25">
        <v>2016</v>
      </c>
      <c r="E244" s="23">
        <f t="shared" si="15"/>
        <v>84216250000</v>
      </c>
      <c r="F244" s="22">
        <f t="shared" si="9"/>
        <v>58109212499.99999</v>
      </c>
      <c r="G244" s="21">
        <v>42856243039986.73</v>
      </c>
      <c r="I244" s="222">
        <f t="shared" si="16"/>
        <v>84216.25</v>
      </c>
      <c r="J244" s="422">
        <f t="shared" si="17"/>
        <v>22.25</v>
      </c>
      <c r="N244" s="228"/>
      <c r="Q244" s="300">
        <v>2018</v>
      </c>
      <c r="R244" s="284">
        <v>15</v>
      </c>
      <c r="S244" s="284">
        <v>7</v>
      </c>
      <c r="T244" s="307">
        <v>4</v>
      </c>
      <c r="U244" s="305">
        <f t="shared" si="12"/>
        <v>98410000000</v>
      </c>
      <c r="V244" s="421">
        <f t="shared" si="10"/>
        <v>26</v>
      </c>
      <c r="W244" s="304">
        <f t="shared" si="13"/>
        <v>26</v>
      </c>
      <c r="X244" s="284">
        <f t="shared" si="14"/>
        <v>56775000000.00001</v>
      </c>
      <c r="Y244" s="285">
        <f t="shared" si="11"/>
        <v>26495000000</v>
      </c>
      <c r="Z244" s="285">
        <f t="shared" si="11"/>
        <v>15140000000</v>
      </c>
      <c r="AA244" s="285"/>
      <c r="AB244" s="285"/>
      <c r="AC244" s="285"/>
      <c r="AD244" s="306"/>
    </row>
    <row r="245" spans="1:30" ht="12.75">
      <c r="A245" t="s">
        <v>323</v>
      </c>
      <c r="B245" s="391">
        <f>B243/(10^12)</f>
        <v>1572.8009960784314</v>
      </c>
      <c r="D245" s="25">
        <v>2017</v>
      </c>
      <c r="E245" s="23">
        <f t="shared" si="15"/>
        <v>90840000000</v>
      </c>
      <c r="F245" s="22">
        <f t="shared" si="9"/>
        <v>62679599999.99999</v>
      </c>
      <c r="G245" s="21">
        <v>51941317915139.45</v>
      </c>
      <c r="I245" s="222">
        <f t="shared" si="16"/>
        <v>90840</v>
      </c>
      <c r="J245" s="422">
        <f t="shared" si="17"/>
        <v>24</v>
      </c>
      <c r="Q245" s="300">
        <v>2019</v>
      </c>
      <c r="R245" s="284">
        <v>15</v>
      </c>
      <c r="S245" s="284">
        <v>8.5</v>
      </c>
      <c r="T245" s="307">
        <v>4.5</v>
      </c>
      <c r="U245" s="305">
        <f t="shared" si="12"/>
        <v>105980000000</v>
      </c>
      <c r="V245" s="421">
        <f t="shared" si="10"/>
        <v>28</v>
      </c>
      <c r="W245" s="304">
        <f t="shared" si="13"/>
        <v>28</v>
      </c>
      <c r="X245" s="284">
        <f t="shared" si="14"/>
        <v>56775000000.00001</v>
      </c>
      <c r="Y245" s="285">
        <f t="shared" si="11"/>
        <v>32172500000</v>
      </c>
      <c r="Z245" s="285">
        <f t="shared" si="11"/>
        <v>17032499999.999998</v>
      </c>
      <c r="AA245" s="285"/>
      <c r="AB245" s="285"/>
      <c r="AC245" s="285"/>
      <c r="AD245" s="306"/>
    </row>
    <row r="246" spans="1:30" ht="12.75">
      <c r="A246" s="74" t="s">
        <v>551</v>
      </c>
      <c r="B246" s="110">
        <f>SUM(F237:F258)/(10^6)</f>
        <v>1555629.3225</v>
      </c>
      <c r="D246" s="25">
        <v>2018</v>
      </c>
      <c r="E246" s="23">
        <f t="shared" si="15"/>
        <v>98410000000</v>
      </c>
      <c r="F246" s="22">
        <f t="shared" si="9"/>
        <v>67902899999.99999</v>
      </c>
      <c r="G246" s="21">
        <v>62343392790292.164</v>
      </c>
      <c r="I246" s="222">
        <f t="shared" si="16"/>
        <v>98410</v>
      </c>
      <c r="J246" s="422">
        <f t="shared" si="17"/>
        <v>26</v>
      </c>
      <c r="Q246" s="300">
        <v>2020</v>
      </c>
      <c r="R246" s="284">
        <v>15</v>
      </c>
      <c r="S246" s="284">
        <v>10.5</v>
      </c>
      <c r="T246" s="307">
        <v>4.5</v>
      </c>
      <c r="U246" s="305">
        <f t="shared" si="12"/>
        <v>113550000000.00002</v>
      </c>
      <c r="V246" s="421">
        <f t="shared" si="10"/>
        <v>30.000000000000004</v>
      </c>
      <c r="W246" s="304">
        <f t="shared" si="13"/>
        <v>30</v>
      </c>
      <c r="X246" s="284">
        <f t="shared" si="14"/>
        <v>56775000000.00001</v>
      </c>
      <c r="Y246" s="285">
        <f t="shared" si="11"/>
        <v>39742500000</v>
      </c>
      <c r="Z246" s="285">
        <f t="shared" si="11"/>
        <v>17032499999.999998</v>
      </c>
      <c r="AA246" s="285"/>
      <c r="AB246" s="285"/>
      <c r="AC246" s="285"/>
      <c r="AD246" s="306"/>
    </row>
    <row r="247" spans="1:30" ht="12.75">
      <c r="A247" s="74" t="s">
        <v>791</v>
      </c>
      <c r="B247" s="392">
        <f>VLOOKUP(B237,D233:F258,3,FALSE)/(10^6)</f>
        <v>94019.39999999998</v>
      </c>
      <c r="D247" s="25">
        <v>2019</v>
      </c>
      <c r="E247" s="23">
        <f t="shared" si="15"/>
        <v>105980000000</v>
      </c>
      <c r="F247" s="22">
        <f t="shared" si="9"/>
        <v>73126200000</v>
      </c>
      <c r="G247" s="21">
        <v>72745467665444.89</v>
      </c>
      <c r="I247" s="222">
        <f t="shared" si="16"/>
        <v>105980</v>
      </c>
      <c r="J247" s="422">
        <f t="shared" si="17"/>
        <v>28</v>
      </c>
      <c r="N247" s="420"/>
      <c r="Q247" s="300">
        <v>2021</v>
      </c>
      <c r="R247" s="284">
        <v>15</v>
      </c>
      <c r="S247" s="284">
        <v>13.5</v>
      </c>
      <c r="T247" s="307">
        <v>4.5</v>
      </c>
      <c r="U247" s="305">
        <f t="shared" si="12"/>
        <v>124905000000</v>
      </c>
      <c r="V247" s="421">
        <f t="shared" si="10"/>
        <v>33</v>
      </c>
      <c r="W247" s="304">
        <f t="shared" si="13"/>
        <v>33</v>
      </c>
      <c r="X247" s="284">
        <f t="shared" si="14"/>
        <v>56775000000.00001</v>
      </c>
      <c r="Y247" s="285">
        <f t="shared" si="11"/>
        <v>51097500000</v>
      </c>
      <c r="Z247" s="285">
        <f t="shared" si="11"/>
        <v>17032499999.999998</v>
      </c>
      <c r="AA247" s="285"/>
      <c r="AB247" s="285"/>
      <c r="AC247" s="285"/>
      <c r="AD247" s="306"/>
    </row>
    <row r="248" spans="1:30" ht="13.5" thickBot="1">
      <c r="A248"/>
      <c r="D248" s="25">
        <v>2020</v>
      </c>
      <c r="E248" s="23">
        <f t="shared" si="15"/>
        <v>113550000000.00002</v>
      </c>
      <c r="F248" s="22">
        <f t="shared" si="9"/>
        <v>78349500000</v>
      </c>
      <c r="G248" s="21">
        <v>83586542540597.61</v>
      </c>
      <c r="I248" s="222">
        <f t="shared" si="16"/>
        <v>113550.00000000001</v>
      </c>
      <c r="J248" s="422">
        <f t="shared" si="17"/>
        <v>30.000000000000004</v>
      </c>
      <c r="N248" s="226"/>
      <c r="Q248" s="308">
        <v>2022</v>
      </c>
      <c r="R248" s="309">
        <v>15</v>
      </c>
      <c r="S248" s="309">
        <v>16</v>
      </c>
      <c r="T248" s="310">
        <v>5</v>
      </c>
      <c r="U248" s="311">
        <f t="shared" si="12"/>
        <v>136259999999.99998</v>
      </c>
      <c r="V248" s="423">
        <f t="shared" si="10"/>
        <v>35.99999999999999</v>
      </c>
      <c r="W248" s="312">
        <f t="shared" si="13"/>
        <v>36</v>
      </c>
      <c r="X248" s="309">
        <f t="shared" si="14"/>
        <v>56775000000.00001</v>
      </c>
      <c r="Y248" s="313">
        <f t="shared" si="11"/>
        <v>60560000000</v>
      </c>
      <c r="Z248" s="313">
        <f t="shared" si="11"/>
        <v>18925000000</v>
      </c>
      <c r="AA248" s="313"/>
      <c r="AB248" s="313"/>
      <c r="AC248" s="313"/>
      <c r="AD248" s="314"/>
    </row>
    <row r="249" spans="1:29" ht="12.75">
      <c r="A249"/>
      <c r="D249" s="25">
        <v>2021</v>
      </c>
      <c r="E249" s="23">
        <f t="shared" si="15"/>
        <v>124905000000</v>
      </c>
      <c r="F249" s="22">
        <f t="shared" si="9"/>
        <v>86184450000</v>
      </c>
      <c r="G249" s="21">
        <v>99695617415750.33</v>
      </c>
      <c r="I249" s="222">
        <f t="shared" si="16"/>
        <v>124905</v>
      </c>
      <c r="J249" s="422">
        <f t="shared" si="17"/>
        <v>33</v>
      </c>
      <c r="N249" s="420"/>
      <c r="Q249" s="284"/>
      <c r="R249" s="284"/>
      <c r="S249" s="284"/>
      <c r="T249" s="284"/>
      <c r="U249" s="284"/>
      <c r="V249" s="284"/>
      <c r="W249" s="284"/>
      <c r="X249" s="284"/>
      <c r="Y249" s="284"/>
      <c r="AA249" s="27"/>
      <c r="AB249" s="27"/>
      <c r="AC249" s="27"/>
    </row>
    <row r="250" spans="1:29" ht="12.75">
      <c r="A250"/>
      <c r="D250" s="25">
        <v>2022</v>
      </c>
      <c r="E250" s="23">
        <f t="shared" si="15"/>
        <v>136259999999.99998</v>
      </c>
      <c r="F250" s="22">
        <f t="shared" si="9"/>
        <v>94019399999.99998</v>
      </c>
      <c r="G250" s="21">
        <v>115365692290903.05</v>
      </c>
      <c r="I250" s="222">
        <f t="shared" si="16"/>
        <v>136259.99999999997</v>
      </c>
      <c r="J250" s="422">
        <f>E250/3.785/1000000000</f>
        <v>35.99999999999999</v>
      </c>
      <c r="Q250" s="284"/>
      <c r="R250" s="284"/>
      <c r="S250" s="284"/>
      <c r="T250" s="284"/>
      <c r="U250" s="284"/>
      <c r="V250" s="284"/>
      <c r="W250" s="284"/>
      <c r="X250" s="284"/>
      <c r="Y250" s="284"/>
      <c r="AA250" s="27"/>
      <c r="AB250" s="27"/>
      <c r="AC250" s="27"/>
    </row>
    <row r="251" spans="1:29" ht="12.75">
      <c r="A251"/>
      <c r="D251" s="25">
        <v>2023</v>
      </c>
      <c r="E251" s="23">
        <f t="shared" si="15"/>
        <v>136260000000</v>
      </c>
      <c r="F251" s="22">
        <f t="shared" si="9"/>
        <v>94019400000</v>
      </c>
      <c r="G251" s="21">
        <v>115670767166055.78</v>
      </c>
      <c r="I251" s="222">
        <f t="shared" si="16"/>
        <v>136260</v>
      </c>
      <c r="J251" s="422">
        <f t="shared" si="17"/>
        <v>36</v>
      </c>
      <c r="Q251" s="284"/>
      <c r="R251" s="284"/>
      <c r="S251" s="284"/>
      <c r="T251" s="284"/>
      <c r="U251" s="284"/>
      <c r="V251" s="284"/>
      <c r="W251" s="284"/>
      <c r="X251" s="284"/>
      <c r="Y251" s="284"/>
      <c r="AA251" s="27"/>
      <c r="AB251" s="27"/>
      <c r="AC251" s="27"/>
    </row>
    <row r="252" spans="1:29" ht="12.75">
      <c r="A252"/>
      <c r="D252" s="25">
        <v>2024</v>
      </c>
      <c r="E252" s="23">
        <f t="shared" si="15"/>
        <v>136260000000</v>
      </c>
      <c r="F252" s="22">
        <f t="shared" si="9"/>
        <v>94019400000</v>
      </c>
      <c r="G252" s="21">
        <v>115975842041208.48</v>
      </c>
      <c r="I252" s="222">
        <f t="shared" si="16"/>
        <v>136260</v>
      </c>
      <c r="J252" s="422">
        <f t="shared" si="17"/>
        <v>36</v>
      </c>
      <c r="Q252" s="284"/>
      <c r="R252" s="284"/>
      <c r="S252" s="284"/>
      <c r="T252" s="284"/>
      <c r="U252" s="284"/>
      <c r="V252" s="284"/>
      <c r="W252" s="284"/>
      <c r="X252" s="284"/>
      <c r="AA252" s="27"/>
      <c r="AB252" s="27"/>
      <c r="AC252" s="27"/>
    </row>
    <row r="253" spans="1:29" ht="12.75">
      <c r="A253"/>
      <c r="D253" s="25">
        <v>2025</v>
      </c>
      <c r="E253" s="23">
        <f t="shared" si="15"/>
        <v>136260000000</v>
      </c>
      <c r="F253" s="22">
        <f t="shared" si="9"/>
        <v>94019400000</v>
      </c>
      <c r="G253" s="21">
        <v>116891066666666.64</v>
      </c>
      <c r="I253" s="222">
        <f t="shared" si="16"/>
        <v>136260</v>
      </c>
      <c r="J253" s="422">
        <f t="shared" si="17"/>
        <v>36</v>
      </c>
      <c r="Q253" s="29" t="s">
        <v>517</v>
      </c>
      <c r="R253" s="29" t="s">
        <v>518</v>
      </c>
      <c r="S253" s="29" t="s">
        <v>546</v>
      </c>
      <c r="T253" s="284"/>
      <c r="U253" s="284"/>
      <c r="V253" s="284"/>
      <c r="W253" s="284"/>
      <c r="X253" s="284"/>
      <c r="Y253" s="284"/>
      <c r="AA253" s="27"/>
      <c r="AB253" s="27"/>
      <c r="AC253" s="27"/>
    </row>
    <row r="254" spans="1:29" ht="12.75">
      <c r="A254"/>
      <c r="D254" s="25">
        <v>2026</v>
      </c>
      <c r="E254" s="23">
        <f t="shared" si="15"/>
        <v>136260000000</v>
      </c>
      <c r="F254" s="22">
        <f t="shared" si="9"/>
        <v>94019400000</v>
      </c>
      <c r="G254" s="21">
        <v>117152515555555.53</v>
      </c>
      <c r="I254" s="222">
        <f t="shared" si="16"/>
        <v>136260</v>
      </c>
      <c r="J254" s="422">
        <f t="shared" si="17"/>
        <v>36</v>
      </c>
      <c r="Q254" s="29" t="s">
        <v>547</v>
      </c>
      <c r="R254" s="424">
        <f>$B$7</f>
        <v>8780</v>
      </c>
      <c r="S254" s="228">
        <f>$C$7</f>
        <v>2319.4126</v>
      </c>
      <c r="T254" s="284"/>
      <c r="U254" s="284"/>
      <c r="V254" s="284"/>
      <c r="W254" s="284"/>
      <c r="X254" s="284"/>
      <c r="Y254" s="284"/>
      <c r="AA254" s="27"/>
      <c r="AB254" s="27"/>
      <c r="AC254" s="27"/>
    </row>
    <row r="255" spans="1:29" ht="12.75">
      <c r="A255"/>
      <c r="D255" s="25">
        <v>2027</v>
      </c>
      <c r="E255" s="23">
        <f t="shared" si="15"/>
        <v>136260000000</v>
      </c>
      <c r="F255" s="22">
        <f t="shared" si="9"/>
        <v>94019400000</v>
      </c>
      <c r="G255" s="21">
        <v>117413964444444.44</v>
      </c>
      <c r="I255" s="222">
        <f t="shared" si="16"/>
        <v>136260</v>
      </c>
      <c r="J255" s="422">
        <f t="shared" si="17"/>
        <v>36</v>
      </c>
      <c r="Q255" s="29" t="s">
        <v>548</v>
      </c>
      <c r="R255" s="424">
        <f>$B$8</f>
        <v>3512</v>
      </c>
      <c r="S255" s="228">
        <f>$C$8</f>
        <v>927.76504</v>
      </c>
      <c r="T255" s="284"/>
      <c r="U255" s="284"/>
      <c r="V255" s="284"/>
      <c r="W255" s="284"/>
      <c r="X255" s="284"/>
      <c r="Y255" s="284"/>
      <c r="AA255" s="27"/>
      <c r="AB255" s="27"/>
      <c r="AC255" s="27"/>
    </row>
    <row r="256" spans="1:29" ht="12.75">
      <c r="A256"/>
      <c r="D256" s="25">
        <v>2028</v>
      </c>
      <c r="E256" s="23">
        <f t="shared" si="15"/>
        <v>136260000000</v>
      </c>
      <c r="F256" s="22">
        <f t="shared" si="9"/>
        <v>94019400000</v>
      </c>
      <c r="G256" s="21">
        <v>117675413333333.33</v>
      </c>
      <c r="I256" s="222">
        <f t="shared" si="16"/>
        <v>136260</v>
      </c>
      <c r="J256" s="422">
        <f t="shared" si="17"/>
        <v>36</v>
      </c>
      <c r="Q256" s="29" t="s">
        <v>549</v>
      </c>
      <c r="R256" s="424">
        <f>$B$9</f>
        <v>7024</v>
      </c>
      <c r="S256" s="228">
        <f>$C$9</f>
        <v>1855.53008</v>
      </c>
      <c r="T256" s="284"/>
      <c r="U256" s="284"/>
      <c r="V256" s="284"/>
      <c r="W256" s="284"/>
      <c r="X256" s="284"/>
      <c r="Y256" s="284"/>
      <c r="AA256" s="27"/>
      <c r="AB256" s="27"/>
      <c r="AC256" s="27"/>
    </row>
    <row r="257" spans="1:29" ht="12.75">
      <c r="A257"/>
      <c r="D257" s="25">
        <v>2029</v>
      </c>
      <c r="E257" s="23">
        <f t="shared" si="15"/>
        <v>136260000000</v>
      </c>
      <c r="F257" s="22">
        <f t="shared" si="9"/>
        <v>94019400000</v>
      </c>
      <c r="G257" s="21">
        <v>117936862222222.2</v>
      </c>
      <c r="I257" s="222">
        <f t="shared" si="16"/>
        <v>136260</v>
      </c>
      <c r="J257" s="422">
        <f t="shared" si="17"/>
        <v>36</v>
      </c>
      <c r="Q257" s="29" t="s">
        <v>550</v>
      </c>
      <c r="R257" s="424">
        <f>$B$10</f>
        <v>11652.122500000001</v>
      </c>
      <c r="S257" s="228">
        <f>$C$10</f>
        <v>3078.5</v>
      </c>
      <c r="T257" s="284"/>
      <c r="U257" s="284"/>
      <c r="V257" s="284"/>
      <c r="W257" s="284"/>
      <c r="X257" s="284"/>
      <c r="Y257" s="284"/>
      <c r="AA257" s="27"/>
      <c r="AB257" s="27"/>
      <c r="AC257" s="27"/>
    </row>
    <row r="258" spans="1:29" ht="13.5" thickBot="1">
      <c r="A258"/>
      <c r="D258" s="20">
        <v>2030</v>
      </c>
      <c r="E258" s="18">
        <f t="shared" si="15"/>
        <v>136260000000</v>
      </c>
      <c r="F258" s="17">
        <f t="shared" si="9"/>
        <v>94019400000</v>
      </c>
      <c r="G258" s="21">
        <v>118198311111111.1</v>
      </c>
      <c r="I258" s="222">
        <f t="shared" si="16"/>
        <v>136260</v>
      </c>
      <c r="J258" s="422">
        <f t="shared" si="17"/>
        <v>36</v>
      </c>
      <c r="T258" s="284"/>
      <c r="U258" s="284"/>
      <c r="V258" s="284"/>
      <c r="W258" s="284"/>
      <c r="X258" s="284"/>
      <c r="Y258" s="284"/>
      <c r="AA258" s="27"/>
      <c r="AB258" s="27"/>
      <c r="AC258" s="27"/>
    </row>
    <row r="259" spans="1:31" s="118" customFormat="1" ht="12.75">
      <c r="A259" s="117"/>
      <c r="D259" s="496" t="s">
        <v>540</v>
      </c>
      <c r="E259" s="497"/>
      <c r="L259" s="289"/>
      <c r="M259" s="289"/>
      <c r="N259" s="289"/>
      <c r="O259" s="289"/>
      <c r="P259" s="289"/>
      <c r="Q259" s="29"/>
      <c r="R259" s="29"/>
      <c r="S259" s="29"/>
      <c r="T259" s="284"/>
      <c r="U259" s="284"/>
      <c r="V259" s="284"/>
      <c r="W259" s="284"/>
      <c r="X259" s="284"/>
      <c r="Y259" s="284"/>
      <c r="Z259" s="29"/>
      <c r="AA259" s="27"/>
      <c r="AB259" s="27"/>
      <c r="AC259" s="27"/>
      <c r="AD259" s="29"/>
      <c r="AE259" s="29"/>
    </row>
    <row r="260" spans="1:31" s="68" customFormat="1" ht="12.75">
      <c r="A260" s="15"/>
      <c r="D260" s="272" t="s">
        <v>755</v>
      </c>
      <c r="L260" s="225"/>
      <c r="M260" s="225"/>
      <c r="N260" s="225"/>
      <c r="O260" s="225"/>
      <c r="P260" s="225"/>
      <c r="Q260" s="29" t="s">
        <v>552</v>
      </c>
      <c r="R260" s="29"/>
      <c r="S260" s="420">
        <f>$C$12</f>
        <v>927.7650400000002</v>
      </c>
      <c r="T260" s="284"/>
      <c r="U260" s="284"/>
      <c r="V260" s="284"/>
      <c r="W260" s="284"/>
      <c r="X260" s="284"/>
      <c r="Y260" s="284"/>
      <c r="Z260" s="29"/>
      <c r="AA260" s="27"/>
      <c r="AB260" s="27"/>
      <c r="AC260" s="27"/>
      <c r="AD260" s="29"/>
      <c r="AE260" s="29"/>
    </row>
    <row r="261" spans="1:31" s="118" customFormat="1" ht="12.75">
      <c r="A261" s="117"/>
      <c r="L261" s="289"/>
      <c r="M261" s="289"/>
      <c r="N261" s="289"/>
      <c r="O261" s="289"/>
      <c r="P261" s="289"/>
      <c r="Q261" s="29" t="s">
        <v>475</v>
      </c>
      <c r="R261" s="29"/>
      <c r="S261" s="226">
        <f>$C$13</f>
        <v>0.5</v>
      </c>
      <c r="T261" s="284"/>
      <c r="U261" s="284"/>
      <c r="V261" s="284"/>
      <c r="W261" s="284"/>
      <c r="X261" s="284"/>
      <c r="Y261" s="284"/>
      <c r="Z261" s="29"/>
      <c r="AA261" s="27"/>
      <c r="AB261" s="27"/>
      <c r="AC261" s="27"/>
      <c r="AD261" s="29"/>
      <c r="AE261" s="29"/>
    </row>
    <row r="262" spans="17:29" ht="12.75">
      <c r="Q262" s="29" t="s">
        <v>248</v>
      </c>
      <c r="S262" s="420">
        <f>$C$14</f>
        <v>1539.25</v>
      </c>
      <c r="V262" s="29"/>
      <c r="W262" s="29"/>
      <c r="X262" s="29"/>
      <c r="AA262" s="27"/>
      <c r="AB262" s="27"/>
      <c r="AC262" s="27"/>
    </row>
    <row r="263" spans="22:29" ht="12.75">
      <c r="V263" s="29"/>
      <c r="W263" s="29"/>
      <c r="X263" s="29"/>
      <c r="AA263" s="27"/>
      <c r="AB263" s="27"/>
      <c r="AC263" s="27"/>
    </row>
    <row r="264" spans="1:24" s="316" customFormat="1" ht="12.75">
      <c r="A264" s="315"/>
      <c r="V264" s="318"/>
      <c r="W264" s="318"/>
      <c r="X264" s="318"/>
    </row>
    <row r="267" spans="1:31" s="68" customFormat="1" ht="71.25" customHeight="1">
      <c r="A267" s="500" t="s">
        <v>628</v>
      </c>
      <c r="B267" s="501"/>
      <c r="C267" s="501"/>
      <c r="D267" s="501"/>
      <c r="E267" s="501"/>
      <c r="F267" s="501"/>
      <c r="G267" s="393"/>
      <c r="H267" s="394"/>
      <c r="I267" s="395"/>
      <c r="J267" s="64" t="s">
        <v>657</v>
      </c>
      <c r="L267" s="225"/>
      <c r="M267" s="225"/>
      <c r="N267" s="225"/>
      <c r="O267" s="225"/>
      <c r="P267" s="225"/>
      <c r="Q267" s="225"/>
      <c r="R267" s="225"/>
      <c r="S267" s="225"/>
      <c r="T267" s="225"/>
      <c r="U267" s="225"/>
      <c r="V267" s="225"/>
      <c r="W267" s="225"/>
      <c r="X267" s="225"/>
      <c r="Y267" s="225"/>
      <c r="Z267" s="225"/>
      <c r="AA267" s="225"/>
      <c r="AB267" s="225"/>
      <c r="AC267" s="225"/>
      <c r="AD267" s="225"/>
      <c r="AE267" s="225"/>
    </row>
    <row r="268" spans="1:31" s="69" customFormat="1" ht="12.75">
      <c r="A268" s="277"/>
      <c r="B268" s="278"/>
      <c r="C268" s="278"/>
      <c r="D268" s="278"/>
      <c r="E268" s="278"/>
      <c r="F268" s="278"/>
      <c r="L268" s="290"/>
      <c r="M268" s="290"/>
      <c r="N268" s="290"/>
      <c r="O268" s="290"/>
      <c r="P268" s="290"/>
      <c r="Q268" s="290"/>
      <c r="R268" s="290"/>
      <c r="S268" s="290"/>
      <c r="T268" s="290"/>
      <c r="U268" s="290"/>
      <c r="V268" s="290"/>
      <c r="W268" s="290"/>
      <c r="X268" s="290"/>
      <c r="Y268" s="290"/>
      <c r="Z268" s="290"/>
      <c r="AA268" s="290"/>
      <c r="AB268" s="290"/>
      <c r="AC268" s="290"/>
      <c r="AD268" s="290"/>
      <c r="AE268" s="290"/>
    </row>
    <row r="269" spans="1:31" s="69" customFormat="1" ht="12.75" customHeight="1">
      <c r="A269" s="279"/>
      <c r="B269" s="278"/>
      <c r="C269" s="278"/>
      <c r="D269" s="278"/>
      <c r="E269" s="278"/>
      <c r="F269" s="278"/>
      <c r="L269" s="290"/>
      <c r="M269" s="290"/>
      <c r="N269" s="290"/>
      <c r="O269" s="290"/>
      <c r="P269" s="290"/>
      <c r="Q269" s="290"/>
      <c r="R269" s="290"/>
      <c r="S269" s="290"/>
      <c r="T269" s="290"/>
      <c r="U269" s="290"/>
      <c r="V269" s="290"/>
      <c r="W269" s="290"/>
      <c r="X269" s="290"/>
      <c r="Y269" s="290"/>
      <c r="Z269" s="290"/>
      <c r="AA269" s="290"/>
      <c r="AB269" s="290"/>
      <c r="AC269" s="290"/>
      <c r="AD269" s="290"/>
      <c r="AE269" s="290"/>
    </row>
    <row r="270" spans="1:31" s="68" customFormat="1" ht="13.5" thickBot="1">
      <c r="A270" s="70"/>
      <c r="B270" s="286"/>
      <c r="C270" s="272"/>
      <c r="D270" s="272"/>
      <c r="E270" s="272"/>
      <c r="F270" s="272"/>
      <c r="L270" s="225"/>
      <c r="M270" s="225"/>
      <c r="N270" s="225"/>
      <c r="O270" s="225"/>
      <c r="P270" s="225"/>
      <c r="Q270" s="225"/>
      <c r="R270" s="225"/>
      <c r="S270" s="225"/>
      <c r="T270" s="225"/>
      <c r="U270" s="225"/>
      <c r="V270" s="225"/>
      <c r="W270" s="225"/>
      <c r="X270" s="225"/>
      <c r="Y270" s="225"/>
      <c r="Z270" s="225"/>
      <c r="AA270" s="225"/>
      <c r="AB270" s="225"/>
      <c r="AC270" s="225"/>
      <c r="AD270" s="225"/>
      <c r="AE270" s="225"/>
    </row>
    <row r="271" spans="1:24" ht="38.25">
      <c r="A271" s="63" t="s">
        <v>629</v>
      </c>
      <c r="B271" s="63" t="s">
        <v>630</v>
      </c>
      <c r="D271" s="46" t="s">
        <v>575</v>
      </c>
      <c r="E271" s="269" t="s">
        <v>769</v>
      </c>
      <c r="F271" s="273" t="s">
        <v>770</v>
      </c>
      <c r="V271" s="29"/>
      <c r="W271" s="29"/>
      <c r="X271" s="29"/>
    </row>
    <row r="272" spans="1:24" ht="13.5" thickBot="1">
      <c r="A272"/>
      <c r="B272" s="57"/>
      <c r="D272" s="43"/>
      <c r="E272" s="41" t="s">
        <v>771</v>
      </c>
      <c r="F272" s="40" t="s">
        <v>772</v>
      </c>
      <c r="V272" s="29"/>
      <c r="W272" s="29"/>
      <c r="X272" s="29"/>
    </row>
    <row r="273" spans="1:24" ht="13.5" thickTop="1">
      <c r="A273"/>
      <c r="C273" s="30"/>
      <c r="D273" s="25">
        <v>2005</v>
      </c>
      <c r="E273" s="34">
        <f>IF(D273&gt;=2009,#REF!*0.69,"")</f>
      </c>
      <c r="F273" s="38"/>
      <c r="V273" s="29"/>
      <c r="W273" s="29"/>
      <c r="X273" s="29"/>
    </row>
    <row r="274" spans="1:24" ht="12.75">
      <c r="A274" t="s">
        <v>773</v>
      </c>
      <c r="B274" s="74" t="s">
        <v>545</v>
      </c>
      <c r="D274" s="25">
        <v>2006</v>
      </c>
      <c r="E274" s="34">
        <f>IF(D274&gt;=2009,#REF!*0.69,"")</f>
      </c>
      <c r="F274" s="34"/>
      <c r="M274" s="29" t="s">
        <v>518</v>
      </c>
      <c r="N274" s="29" t="s">
        <v>546</v>
      </c>
      <c r="V274" s="29"/>
      <c r="W274" s="29"/>
      <c r="X274" s="29"/>
    </row>
    <row r="275" spans="1:24" ht="12.75">
      <c r="A275" t="s">
        <v>774</v>
      </c>
      <c r="B275" s="37">
        <v>2007</v>
      </c>
      <c r="D275" s="25">
        <v>2007</v>
      </c>
      <c r="E275" s="34">
        <f>IF(D275&gt;=2009,#REF!*0.69,"")</f>
      </c>
      <c r="F275" s="34"/>
      <c r="L275" s="29" t="s">
        <v>547</v>
      </c>
      <c r="M275" s="29">
        <v>8780</v>
      </c>
      <c r="N275" s="228">
        <v>2319.4126</v>
      </c>
      <c r="V275" s="29"/>
      <c r="W275" s="29"/>
      <c r="X275" s="29"/>
    </row>
    <row r="276" spans="1:31" s="33" customFormat="1" ht="12.75">
      <c r="A276" s="33" t="s">
        <v>775</v>
      </c>
      <c r="B276" s="274">
        <v>0</v>
      </c>
      <c r="C276" s="35"/>
      <c r="D276" s="25">
        <v>2008</v>
      </c>
      <c r="E276" s="34">
        <f>IF(D276&gt;=2009,#REF!*0.69,"")</f>
      </c>
      <c r="F276" s="34"/>
      <c r="L276" s="227"/>
      <c r="M276" s="227"/>
      <c r="N276" s="227"/>
      <c r="O276" s="227"/>
      <c r="P276" s="227"/>
      <c r="Q276" s="227"/>
      <c r="R276" s="227"/>
      <c r="S276" s="227"/>
      <c r="T276" s="227"/>
      <c r="U276" s="227"/>
      <c r="V276" s="227"/>
      <c r="W276" s="227"/>
      <c r="X276" s="227"/>
      <c r="Y276" s="227"/>
      <c r="Z276" s="227"/>
      <c r="AA276" s="227"/>
      <c r="AB276" s="227"/>
      <c r="AC276" s="227"/>
      <c r="AD276" s="227"/>
      <c r="AE276" s="227"/>
    </row>
    <row r="277" spans="1:24" ht="12.75">
      <c r="A277" t="s">
        <v>776</v>
      </c>
      <c r="B277" s="32">
        <v>2010</v>
      </c>
      <c r="C277" s="30"/>
      <c r="D277" s="25">
        <v>2009</v>
      </c>
      <c r="E277" s="22">
        <v>1000000000</v>
      </c>
      <c r="F277" s="21">
        <f aca="true" t="shared" si="18" ref="F277:F298">E277*0.69*$N$275*(1-$O$277)</f>
        <v>352086832679.99994</v>
      </c>
      <c r="M277" s="227"/>
      <c r="N277" s="293" t="s">
        <v>235</v>
      </c>
      <c r="O277" s="291">
        <v>0.78</v>
      </c>
      <c r="V277" s="29"/>
      <c r="W277" s="29"/>
      <c r="X277" s="29"/>
    </row>
    <row r="278" spans="1:24" ht="12.75">
      <c r="A278" t="s">
        <v>236</v>
      </c>
      <c r="B278" s="275">
        <f>36*10^9*3.785</f>
        <v>136260000000</v>
      </c>
      <c r="C278" s="30"/>
      <c r="D278" s="25">
        <v>2010</v>
      </c>
      <c r="E278" s="22">
        <v>3000000000</v>
      </c>
      <c r="F278" s="21">
        <f t="shared" si="18"/>
        <v>1056260498039.9999</v>
      </c>
      <c r="V278" s="29"/>
      <c r="W278" s="29"/>
      <c r="X278" s="29"/>
    </row>
    <row r="279" spans="1:24" ht="12.75">
      <c r="A279" s="29" t="s">
        <v>620</v>
      </c>
      <c r="B279" s="221">
        <f>(B278-B276)/(B277-B275)</f>
        <v>45420000000</v>
      </c>
      <c r="D279" s="25">
        <v>2011</v>
      </c>
      <c r="E279" s="22">
        <f>$E$278</f>
        <v>3000000000</v>
      </c>
      <c r="F279" s="21">
        <f t="shared" si="18"/>
        <v>1056260498039.9999</v>
      </c>
      <c r="V279" s="29"/>
      <c r="W279" s="29"/>
      <c r="X279" s="29"/>
    </row>
    <row r="280" spans="1:24" ht="12.75">
      <c r="A280"/>
      <c r="D280" s="25">
        <v>2012</v>
      </c>
      <c r="E280" s="22">
        <f aca="true" t="shared" si="19" ref="E280:E298">$E$278</f>
        <v>3000000000</v>
      </c>
      <c r="F280" s="21">
        <f t="shared" si="18"/>
        <v>1056260498039.9999</v>
      </c>
      <c r="V280" s="29"/>
      <c r="W280" s="29"/>
      <c r="X280" s="29"/>
    </row>
    <row r="281" spans="1:24" ht="12.75">
      <c r="A281"/>
      <c r="D281" s="25">
        <v>2013</v>
      </c>
      <c r="E281" s="22">
        <f t="shared" si="19"/>
        <v>3000000000</v>
      </c>
      <c r="F281" s="21">
        <f t="shared" si="18"/>
        <v>1056260498039.9999</v>
      </c>
      <c r="V281" s="29"/>
      <c r="W281" s="29"/>
      <c r="X281" s="29"/>
    </row>
    <row r="282" spans="1:24" ht="12.75">
      <c r="A282" t="s">
        <v>237</v>
      </c>
      <c r="B282" s="27">
        <f>VLOOKUP(B277,D273:F298,3,FALSE)</f>
        <v>1056260498039.9999</v>
      </c>
      <c r="D282" s="25">
        <v>2014</v>
      </c>
      <c r="E282" s="22">
        <f t="shared" si="19"/>
        <v>3000000000</v>
      </c>
      <c r="F282" s="21">
        <f t="shared" si="18"/>
        <v>1056260498039.9999</v>
      </c>
      <c r="V282" s="29"/>
      <c r="W282" s="29"/>
      <c r="X282" s="29"/>
    </row>
    <row r="283" spans="1:24" ht="12.75">
      <c r="A283" t="s">
        <v>238</v>
      </c>
      <c r="B283" s="27">
        <f>SUM(F277:F298)</f>
        <v>22533557291519.996</v>
      </c>
      <c r="D283" s="25">
        <v>2015</v>
      </c>
      <c r="E283" s="22">
        <f t="shared" si="19"/>
        <v>3000000000</v>
      </c>
      <c r="F283" s="21">
        <f t="shared" si="18"/>
        <v>1056260498039.9999</v>
      </c>
      <c r="V283" s="29"/>
      <c r="W283" s="29"/>
      <c r="X283" s="29"/>
    </row>
    <row r="284" spans="1:24" ht="12.75">
      <c r="A284" t="s">
        <v>239</v>
      </c>
      <c r="B284" s="26">
        <f>B282/(10^12)</f>
        <v>1.0562604980399999</v>
      </c>
      <c r="D284" s="25">
        <v>2016</v>
      </c>
      <c r="E284" s="22">
        <f t="shared" si="19"/>
        <v>3000000000</v>
      </c>
      <c r="F284" s="21">
        <f t="shared" si="18"/>
        <v>1056260498039.9999</v>
      </c>
      <c r="V284" s="29"/>
      <c r="W284" s="29"/>
      <c r="X284" s="29"/>
    </row>
    <row r="285" spans="1:24" ht="12.75">
      <c r="A285" t="s">
        <v>240</v>
      </c>
      <c r="B285" s="26">
        <f>B283/(10^12)</f>
        <v>22.533557291519998</v>
      </c>
      <c r="D285" s="25">
        <v>2017</v>
      </c>
      <c r="E285" s="22">
        <f t="shared" si="19"/>
        <v>3000000000</v>
      </c>
      <c r="F285" s="21">
        <f t="shared" si="18"/>
        <v>1056260498039.9999</v>
      </c>
      <c r="V285" s="29"/>
      <c r="W285" s="29"/>
      <c r="X285" s="29"/>
    </row>
    <row r="286" spans="1:24" ht="12.75">
      <c r="A286" s="74" t="s">
        <v>551</v>
      </c>
      <c r="B286" s="110">
        <f>SUM(E277:E298)/(10^6)</f>
        <v>64000</v>
      </c>
      <c r="D286" s="25">
        <v>2018</v>
      </c>
      <c r="E286" s="22">
        <f t="shared" si="19"/>
        <v>3000000000</v>
      </c>
      <c r="F286" s="21">
        <f t="shared" si="18"/>
        <v>1056260498039.9999</v>
      </c>
      <c r="V286" s="29"/>
      <c r="W286" s="29"/>
      <c r="X286" s="29"/>
    </row>
    <row r="287" spans="1:24" ht="12.75">
      <c r="A287" s="74" t="s">
        <v>791</v>
      </c>
      <c r="B287" s="392">
        <f>VLOOKUP(B277,D273:F298,2,FALSE)/(10^6)</f>
        <v>3000</v>
      </c>
      <c r="D287" s="25">
        <v>2019</v>
      </c>
      <c r="E287" s="22">
        <f t="shared" si="19"/>
        <v>3000000000</v>
      </c>
      <c r="F287" s="21">
        <f t="shared" si="18"/>
        <v>1056260498039.9999</v>
      </c>
      <c r="V287" s="29"/>
      <c r="W287" s="29"/>
      <c r="X287" s="29"/>
    </row>
    <row r="288" spans="1:24" ht="12.75">
      <c r="A288"/>
      <c r="D288" s="25">
        <v>2020</v>
      </c>
      <c r="E288" s="22">
        <f t="shared" si="19"/>
        <v>3000000000</v>
      </c>
      <c r="F288" s="21">
        <f t="shared" si="18"/>
        <v>1056260498039.9999</v>
      </c>
      <c r="V288" s="29"/>
      <c r="W288" s="29"/>
      <c r="X288" s="29"/>
    </row>
    <row r="289" spans="1:24" ht="12.75">
      <c r="A289" s="452" t="s">
        <v>794</v>
      </c>
      <c r="B289" s="452"/>
      <c r="D289" s="25">
        <v>2021</v>
      </c>
      <c r="E289" s="22">
        <f t="shared" si="19"/>
        <v>3000000000</v>
      </c>
      <c r="F289" s="21">
        <f t="shared" si="18"/>
        <v>1056260498039.9999</v>
      </c>
      <c r="V289" s="29"/>
      <c r="W289" s="29"/>
      <c r="X289" s="29"/>
    </row>
    <row r="290" spans="1:24" ht="12.75">
      <c r="A290" s="452"/>
      <c r="B290" s="452"/>
      <c r="D290" s="25">
        <v>2022</v>
      </c>
      <c r="E290" s="22">
        <f t="shared" si="19"/>
        <v>3000000000</v>
      </c>
      <c r="F290" s="21">
        <f t="shared" si="18"/>
        <v>1056260498039.9999</v>
      </c>
      <c r="V290" s="29"/>
      <c r="W290" s="29"/>
      <c r="X290" s="29"/>
    </row>
    <row r="291" spans="1:24" ht="12.75">
      <c r="A291" s="453"/>
      <c r="B291" s="453"/>
      <c r="D291" s="25">
        <v>2023</v>
      </c>
      <c r="E291" s="22">
        <f t="shared" si="19"/>
        <v>3000000000</v>
      </c>
      <c r="F291" s="21">
        <f t="shared" si="18"/>
        <v>1056260498039.9999</v>
      </c>
      <c r="V291" s="29"/>
      <c r="W291" s="29"/>
      <c r="X291" s="29"/>
    </row>
    <row r="292" spans="1:24" ht="12.75">
      <c r="A292"/>
      <c r="D292" s="25">
        <v>2024</v>
      </c>
      <c r="E292" s="22">
        <f t="shared" si="19"/>
        <v>3000000000</v>
      </c>
      <c r="F292" s="21">
        <f t="shared" si="18"/>
        <v>1056260498039.9999</v>
      </c>
      <c r="V292" s="29"/>
      <c r="W292" s="29"/>
      <c r="X292" s="29"/>
    </row>
    <row r="293" spans="1:24" ht="12.75">
      <c r="A293"/>
      <c r="D293" s="25">
        <v>2025</v>
      </c>
      <c r="E293" s="22">
        <f t="shared" si="19"/>
        <v>3000000000</v>
      </c>
      <c r="F293" s="21">
        <f t="shared" si="18"/>
        <v>1056260498039.9999</v>
      </c>
      <c r="V293" s="29"/>
      <c r="W293" s="29"/>
      <c r="X293" s="29"/>
    </row>
    <row r="294" spans="1:24" ht="12.75">
      <c r="A294"/>
      <c r="D294" s="25">
        <v>2026</v>
      </c>
      <c r="E294" s="22">
        <f t="shared" si="19"/>
        <v>3000000000</v>
      </c>
      <c r="F294" s="21">
        <f t="shared" si="18"/>
        <v>1056260498039.9999</v>
      </c>
      <c r="V294" s="29"/>
      <c r="W294" s="29"/>
      <c r="X294" s="29"/>
    </row>
    <row r="295" spans="1:24" ht="12.75">
      <c r="A295"/>
      <c r="D295" s="25">
        <v>2027</v>
      </c>
      <c r="E295" s="22">
        <f t="shared" si="19"/>
        <v>3000000000</v>
      </c>
      <c r="F295" s="21">
        <f t="shared" si="18"/>
        <v>1056260498039.9999</v>
      </c>
      <c r="V295" s="29"/>
      <c r="W295" s="29"/>
      <c r="X295" s="29"/>
    </row>
    <row r="296" spans="1:24" ht="12.75">
      <c r="A296"/>
      <c r="D296" s="25">
        <v>2028</v>
      </c>
      <c r="E296" s="22">
        <f t="shared" si="19"/>
        <v>3000000000</v>
      </c>
      <c r="F296" s="21">
        <f t="shared" si="18"/>
        <v>1056260498039.9999</v>
      </c>
      <c r="V296" s="29"/>
      <c r="W296" s="29"/>
      <c r="X296" s="29"/>
    </row>
    <row r="297" spans="1:24" ht="12.75">
      <c r="A297"/>
      <c r="D297" s="25">
        <v>2029</v>
      </c>
      <c r="E297" s="22">
        <f t="shared" si="19"/>
        <v>3000000000</v>
      </c>
      <c r="F297" s="21">
        <f t="shared" si="18"/>
        <v>1056260498039.9999</v>
      </c>
      <c r="V297" s="29"/>
      <c r="W297" s="29"/>
      <c r="X297" s="29"/>
    </row>
    <row r="298" spans="1:24" ht="13.5" thickBot="1">
      <c r="A298"/>
      <c r="D298" s="20">
        <v>2030</v>
      </c>
      <c r="E298" s="17">
        <f t="shared" si="19"/>
        <v>3000000000</v>
      </c>
      <c r="F298" s="16">
        <f t="shared" si="18"/>
        <v>1056260498039.9999</v>
      </c>
      <c r="V298" s="29"/>
      <c r="W298" s="29"/>
      <c r="X298" s="29"/>
    </row>
    <row r="303" spans="1:24" s="316" customFormat="1" ht="12.75">
      <c r="A303" s="315"/>
      <c r="V303" s="318"/>
      <c r="W303" s="318"/>
      <c r="X303" s="318"/>
    </row>
    <row r="306" spans="1:6" ht="12.75">
      <c r="A306" s="508" t="s">
        <v>905</v>
      </c>
      <c r="B306" s="509"/>
      <c r="C306" s="509"/>
      <c r="D306" s="509"/>
      <c r="E306" s="509"/>
      <c r="F306" s="510"/>
    </row>
    <row r="307" spans="1:6" ht="12.75" customHeight="1">
      <c r="A307" s="500" t="s">
        <v>359</v>
      </c>
      <c r="B307" s="501"/>
      <c r="C307" s="501"/>
      <c r="D307" s="501"/>
      <c r="E307" s="501"/>
      <c r="F307" s="511"/>
    </row>
    <row r="308" spans="1:6" ht="72.75" customHeight="1">
      <c r="A308" s="512" t="s">
        <v>692</v>
      </c>
      <c r="B308" s="513"/>
      <c r="C308" s="513"/>
      <c r="D308" s="513"/>
      <c r="E308" s="513"/>
      <c r="F308" s="514"/>
    </row>
    <row r="309" spans="1:6" ht="84.75" customHeight="1">
      <c r="A309" s="512" t="s">
        <v>253</v>
      </c>
      <c r="B309" s="513"/>
      <c r="C309" s="513"/>
      <c r="D309" s="513"/>
      <c r="E309" s="513"/>
      <c r="F309" s="514"/>
    </row>
    <row r="310" spans="1:3" ht="12.75">
      <c r="A310" s="515" t="s">
        <v>371</v>
      </c>
      <c r="B310" s="515"/>
      <c r="C310" s="515"/>
    </row>
    <row r="312" ht="13.5" thickBot="1"/>
    <row r="313" spans="1:6" ht="38.25">
      <c r="A313" s="63" t="s">
        <v>629</v>
      </c>
      <c r="B313" s="63" t="s">
        <v>507</v>
      </c>
      <c r="D313" s="46" t="s">
        <v>575</v>
      </c>
      <c r="E313" s="269" t="s">
        <v>769</v>
      </c>
      <c r="F313" s="273" t="s">
        <v>770</v>
      </c>
    </row>
    <row r="314" spans="1:6" ht="13.5" thickBot="1">
      <c r="A314"/>
      <c r="B314" s="57"/>
      <c r="D314" s="43"/>
      <c r="E314" s="41" t="s">
        <v>771</v>
      </c>
      <c r="F314" s="40" t="s">
        <v>772</v>
      </c>
    </row>
    <row r="315" spans="1:6" ht="13.5" thickTop="1">
      <c r="A315"/>
      <c r="C315" s="30"/>
      <c r="D315" s="25">
        <v>2005</v>
      </c>
      <c r="E315" s="34">
        <f>IF(D315&gt;=2009,#REF!*0.69,"")</f>
      </c>
      <c r="F315" s="38"/>
    </row>
    <row r="316" spans="1:6" ht="12.75">
      <c r="A316" t="s">
        <v>773</v>
      </c>
      <c r="B316" s="74" t="s">
        <v>545</v>
      </c>
      <c r="D316" s="25">
        <v>2006</v>
      </c>
      <c r="E316" s="34">
        <f>IF(D316&gt;=2009,#REF!*0.69,"")</f>
      </c>
      <c r="F316" s="34"/>
    </row>
    <row r="317" spans="1:6" ht="12.75">
      <c r="A317" t="s">
        <v>774</v>
      </c>
      <c r="B317" s="37">
        <v>2007</v>
      </c>
      <c r="D317" s="25">
        <v>2007</v>
      </c>
      <c r="E317" s="22">
        <v>0</v>
      </c>
      <c r="F317" s="22">
        <f>E317*0.69*$N$275*(1-AVERAGE($D$8:$D$9))</f>
        <v>0</v>
      </c>
    </row>
    <row r="318" spans="1:6" ht="12.75">
      <c r="A318" s="33" t="s">
        <v>775</v>
      </c>
      <c r="B318" s="274">
        <v>0</v>
      </c>
      <c r="C318" s="35"/>
      <c r="D318" s="25">
        <v>2008</v>
      </c>
      <c r="E318" s="22">
        <f>(D318-$D$317)*$B$321</f>
        <v>6978593.75</v>
      </c>
      <c r="F318" s="22">
        <f aca="true" t="shared" si="20" ref="F318:F340">E318*0.69*$N$275*(1-AVERAGE($D$8:$D$9))</f>
        <v>6701102645.448938</v>
      </c>
    </row>
    <row r="319" spans="1:6" ht="12.75">
      <c r="A319" t="s">
        <v>776</v>
      </c>
      <c r="B319" s="32">
        <v>2015</v>
      </c>
      <c r="C319" s="30"/>
      <c r="D319" s="25">
        <v>2009</v>
      </c>
      <c r="E319" s="22">
        <f aca="true" t="shared" si="21" ref="E319:E325">(D319-$D$317)*$B$321</f>
        <v>13957187.5</v>
      </c>
      <c r="F319" s="22">
        <f t="shared" si="20"/>
        <v>13402205290.897877</v>
      </c>
    </row>
    <row r="320" spans="1:6" ht="12.75">
      <c r="A320" t="s">
        <v>236</v>
      </c>
      <c r="B320" s="275">
        <f>14.75*3.785*1000000</f>
        <v>55828750</v>
      </c>
      <c r="C320" s="30"/>
      <c r="D320" s="25">
        <v>2010</v>
      </c>
      <c r="E320" s="22">
        <f t="shared" si="21"/>
        <v>20935781.25</v>
      </c>
      <c r="F320" s="22">
        <f t="shared" si="20"/>
        <v>20103307936.34681</v>
      </c>
    </row>
    <row r="321" spans="1:6" ht="12.75">
      <c r="A321" s="29" t="s">
        <v>620</v>
      </c>
      <c r="B321" s="221">
        <f>(B320-B318)/(B319-B317)</f>
        <v>6978593.75</v>
      </c>
      <c r="D321" s="25">
        <v>2011</v>
      </c>
      <c r="E321" s="22">
        <f t="shared" si="21"/>
        <v>27914375</v>
      </c>
      <c r="F321" s="22">
        <f t="shared" si="20"/>
        <v>26804410581.795753</v>
      </c>
    </row>
    <row r="322" spans="1:6" ht="12.75">
      <c r="A322"/>
      <c r="D322" s="25">
        <v>2012</v>
      </c>
      <c r="E322" s="22">
        <f t="shared" si="21"/>
        <v>34892968.75</v>
      </c>
      <c r="F322" s="22">
        <f t="shared" si="20"/>
        <v>33505513227.244686</v>
      </c>
    </row>
    <row r="323" spans="1:6" ht="12.75">
      <c r="A323"/>
      <c r="D323" s="25">
        <v>2013</v>
      </c>
      <c r="E323" s="22">
        <f t="shared" si="21"/>
        <v>41871562.5</v>
      </c>
      <c r="F323" s="22">
        <f t="shared" si="20"/>
        <v>40206615872.69362</v>
      </c>
    </row>
    <row r="324" spans="1:6" ht="12.75">
      <c r="A324" t="s">
        <v>237</v>
      </c>
      <c r="B324" s="27">
        <f>VLOOKUP(B319,D315:F340,3,FALSE)</f>
        <v>53608821163.59151</v>
      </c>
      <c r="D324" s="25">
        <v>2014</v>
      </c>
      <c r="E324" s="22">
        <f t="shared" si="21"/>
        <v>48850156.25</v>
      </c>
      <c r="F324" s="22">
        <f t="shared" si="20"/>
        <v>46907718518.14256</v>
      </c>
    </row>
    <row r="325" spans="1:6" ht="12.75">
      <c r="A325" t="s">
        <v>238</v>
      </c>
      <c r="B325" s="27">
        <f>SUM(F319:F340)</f>
        <v>1038670910044.5858</v>
      </c>
      <c r="D325" s="25">
        <v>2015</v>
      </c>
      <c r="E325" s="22">
        <f t="shared" si="21"/>
        <v>55828750</v>
      </c>
      <c r="F325" s="22">
        <f t="shared" si="20"/>
        <v>53608821163.59151</v>
      </c>
    </row>
    <row r="326" spans="1:6" ht="12.75">
      <c r="A326" t="s">
        <v>239</v>
      </c>
      <c r="B326" s="26">
        <f>B324/(10^12)</f>
        <v>0.05360882116359151</v>
      </c>
      <c r="D326" s="25">
        <v>2016</v>
      </c>
      <c r="E326" s="22">
        <f>$E$325</f>
        <v>55828750</v>
      </c>
      <c r="F326" s="22">
        <f t="shared" si="20"/>
        <v>53608821163.59151</v>
      </c>
    </row>
    <row r="327" spans="1:6" ht="12.75">
      <c r="A327" t="s">
        <v>240</v>
      </c>
      <c r="B327" s="26">
        <f>B325/(10^12)</f>
        <v>1.038670910044586</v>
      </c>
      <c r="D327" s="25">
        <v>2017</v>
      </c>
      <c r="E327" s="22">
        <f aca="true" t="shared" si="22" ref="E327:E340">$E$325</f>
        <v>55828750</v>
      </c>
      <c r="F327" s="22">
        <f t="shared" si="20"/>
        <v>53608821163.59151</v>
      </c>
    </row>
    <row r="328" spans="1:6" ht="12.75">
      <c r="A328" s="74" t="s">
        <v>551</v>
      </c>
      <c r="B328" s="110">
        <f>SUM(E319:E340)/(10^6)</f>
        <v>1081.68203125</v>
      </c>
      <c r="D328" s="25">
        <v>2018</v>
      </c>
      <c r="E328" s="22">
        <f t="shared" si="22"/>
        <v>55828750</v>
      </c>
      <c r="F328" s="22">
        <f t="shared" si="20"/>
        <v>53608821163.59151</v>
      </c>
    </row>
    <row r="329" spans="1:6" ht="12.75">
      <c r="A329" s="74" t="s">
        <v>791</v>
      </c>
      <c r="B329" s="392">
        <f>VLOOKUP(B319,D315:F340,2,FALSE)/(10^6)</f>
        <v>55.82875</v>
      </c>
      <c r="D329" s="25">
        <v>2019</v>
      </c>
      <c r="E329" s="22">
        <f t="shared" si="22"/>
        <v>55828750</v>
      </c>
      <c r="F329" s="22">
        <f t="shared" si="20"/>
        <v>53608821163.59151</v>
      </c>
    </row>
    <row r="330" spans="1:6" ht="12.75">
      <c r="A330"/>
      <c r="D330" s="25">
        <v>2020</v>
      </c>
      <c r="E330" s="22">
        <f t="shared" si="22"/>
        <v>55828750</v>
      </c>
      <c r="F330" s="22">
        <f t="shared" si="20"/>
        <v>53608821163.59151</v>
      </c>
    </row>
    <row r="331" spans="1:6" ht="12.75">
      <c r="A331" s="452" t="s">
        <v>794</v>
      </c>
      <c r="B331" s="452"/>
      <c r="D331" s="25">
        <v>2021</v>
      </c>
      <c r="E331" s="22">
        <f t="shared" si="22"/>
        <v>55828750</v>
      </c>
      <c r="F331" s="22">
        <f t="shared" si="20"/>
        <v>53608821163.59151</v>
      </c>
    </row>
    <row r="332" spans="1:6" ht="12.75">
      <c r="A332" s="452"/>
      <c r="B332" s="452"/>
      <c r="D332" s="25">
        <v>2022</v>
      </c>
      <c r="E332" s="22">
        <f t="shared" si="22"/>
        <v>55828750</v>
      </c>
      <c r="F332" s="22">
        <f t="shared" si="20"/>
        <v>53608821163.59151</v>
      </c>
    </row>
    <row r="333" spans="1:6" ht="12.75">
      <c r="A333" s="453"/>
      <c r="B333" s="453"/>
      <c r="D333" s="25">
        <v>2023</v>
      </c>
      <c r="E333" s="22">
        <f t="shared" si="22"/>
        <v>55828750</v>
      </c>
      <c r="F333" s="22">
        <f t="shared" si="20"/>
        <v>53608821163.59151</v>
      </c>
    </row>
    <row r="334" spans="1:6" ht="12.75">
      <c r="A334"/>
      <c r="D334" s="25">
        <v>2024</v>
      </c>
      <c r="E334" s="22">
        <f t="shared" si="22"/>
        <v>55828750</v>
      </c>
      <c r="F334" s="22">
        <f t="shared" si="20"/>
        <v>53608821163.59151</v>
      </c>
    </row>
    <row r="335" spans="1:6" ht="12.75">
      <c r="A335"/>
      <c r="D335" s="25">
        <v>2025</v>
      </c>
      <c r="E335" s="22">
        <f t="shared" si="22"/>
        <v>55828750</v>
      </c>
      <c r="F335" s="22">
        <f t="shared" si="20"/>
        <v>53608821163.59151</v>
      </c>
    </row>
    <row r="336" spans="1:6" ht="12.75">
      <c r="A336"/>
      <c r="D336" s="25">
        <v>2026</v>
      </c>
      <c r="E336" s="22">
        <f t="shared" si="22"/>
        <v>55828750</v>
      </c>
      <c r="F336" s="22">
        <f t="shared" si="20"/>
        <v>53608821163.59151</v>
      </c>
    </row>
    <row r="337" spans="1:6" ht="12.75">
      <c r="A337"/>
      <c r="D337" s="25">
        <v>2027</v>
      </c>
      <c r="E337" s="22">
        <f t="shared" si="22"/>
        <v>55828750</v>
      </c>
      <c r="F337" s="22">
        <f t="shared" si="20"/>
        <v>53608821163.59151</v>
      </c>
    </row>
    <row r="338" spans="1:6" ht="12.75">
      <c r="A338"/>
      <c r="D338" s="25">
        <v>2028</v>
      </c>
      <c r="E338" s="22">
        <f t="shared" si="22"/>
        <v>55828750</v>
      </c>
      <c r="F338" s="22">
        <f t="shared" si="20"/>
        <v>53608821163.59151</v>
      </c>
    </row>
    <row r="339" spans="1:6" ht="12.75">
      <c r="A339"/>
      <c r="D339" s="25">
        <v>2029</v>
      </c>
      <c r="E339" s="22">
        <f t="shared" si="22"/>
        <v>55828750</v>
      </c>
      <c r="F339" s="22">
        <f t="shared" si="20"/>
        <v>53608821163.59151</v>
      </c>
    </row>
    <row r="340" spans="1:6" ht="13.5" thickBot="1">
      <c r="A340"/>
      <c r="D340" s="20">
        <v>2030</v>
      </c>
      <c r="E340" s="22">
        <f t="shared" si="22"/>
        <v>55828750</v>
      </c>
      <c r="F340" s="22">
        <f t="shared" si="20"/>
        <v>53608821163.59151</v>
      </c>
    </row>
    <row r="343" spans="1:24" s="316" customFormat="1" ht="12.75">
      <c r="A343" s="315"/>
      <c r="V343" s="318"/>
      <c r="W343" s="318"/>
      <c r="X343" s="318"/>
    </row>
    <row r="346" spans="1:9" ht="12.75" customHeight="1">
      <c r="A346" s="425" t="s">
        <v>254</v>
      </c>
      <c r="B346" s="426"/>
      <c r="C346" s="426"/>
      <c r="D346" s="426"/>
      <c r="E346" s="426"/>
      <c r="F346" s="426"/>
      <c r="H346" s="427"/>
      <c r="I346" s="68"/>
    </row>
    <row r="347" spans="1:9" ht="12.75" customHeight="1">
      <c r="A347" s="428" t="s">
        <v>255</v>
      </c>
      <c r="B347" s="429"/>
      <c r="C347" s="429"/>
      <c r="D347" s="429"/>
      <c r="E347" s="429"/>
      <c r="F347" s="429"/>
      <c r="H347" s="68"/>
      <c r="I347" s="68"/>
    </row>
    <row r="348" spans="1:9" ht="36.75" customHeight="1">
      <c r="A348" s="502" t="s">
        <v>256</v>
      </c>
      <c r="B348" s="503"/>
      <c r="C348" s="503"/>
      <c r="D348" s="503"/>
      <c r="E348" s="503"/>
      <c r="F348" s="504"/>
      <c r="H348" s="68"/>
      <c r="I348" s="68"/>
    </row>
    <row r="349" spans="1:9" ht="21.75" customHeight="1">
      <c r="A349" s="505" t="s">
        <v>257</v>
      </c>
      <c r="B349" s="506"/>
      <c r="C349" s="506"/>
      <c r="D349" s="506"/>
      <c r="E349" s="506"/>
      <c r="F349" s="507"/>
      <c r="H349" s="68"/>
      <c r="I349" s="68"/>
    </row>
    <row r="350" spans="1:9" ht="12.75">
      <c r="A350" s="430" t="s">
        <v>258</v>
      </c>
      <c r="B350" s="431"/>
      <c r="C350" s="68"/>
      <c r="D350" s="68"/>
      <c r="E350" s="68"/>
      <c r="F350" s="68"/>
      <c r="H350" s="68"/>
      <c r="I350" s="68"/>
    </row>
    <row r="351" spans="2:9" ht="12.75">
      <c r="B351" s="68"/>
      <c r="C351" s="68"/>
      <c r="D351" s="68"/>
      <c r="E351" s="68"/>
      <c r="F351" s="68"/>
      <c r="G351" s="68"/>
      <c r="H351" s="68"/>
      <c r="I351" s="68"/>
    </row>
    <row r="352" ht="13.5" thickBot="1"/>
    <row r="353" spans="1:31" ht="38.25">
      <c r="A353" s="63" t="s">
        <v>629</v>
      </c>
      <c r="B353" s="63" t="s">
        <v>507</v>
      </c>
      <c r="D353" s="46" t="s">
        <v>575</v>
      </c>
      <c r="E353" s="269" t="s">
        <v>769</v>
      </c>
      <c r="F353" s="273" t="s">
        <v>770</v>
      </c>
      <c r="K353" s="29"/>
      <c r="U353" s="27"/>
      <c r="X353" s="29"/>
      <c r="AE353"/>
    </row>
    <row r="354" spans="1:31" ht="13.5" thickBot="1">
      <c r="A354"/>
      <c r="B354" s="57"/>
      <c r="D354" s="43"/>
      <c r="E354" s="41" t="s">
        <v>771</v>
      </c>
      <c r="F354" s="40" t="s">
        <v>772</v>
      </c>
      <c r="K354" s="29"/>
      <c r="U354" s="27"/>
      <c r="X354" s="29"/>
      <c r="AE354"/>
    </row>
    <row r="355" spans="1:31" ht="13.5" thickTop="1">
      <c r="A355"/>
      <c r="C355" s="30"/>
      <c r="D355" s="25">
        <v>2005</v>
      </c>
      <c r="E355" s="34">
        <f>IF(D355&gt;=2009,#REF!*0.69,"")</f>
      </c>
      <c r="F355" s="38"/>
      <c r="K355" s="29"/>
      <c r="U355" s="27"/>
      <c r="X355" s="29"/>
      <c r="AE355"/>
    </row>
    <row r="356" spans="1:31" ht="12.75">
      <c r="A356" t="s">
        <v>773</v>
      </c>
      <c r="B356" s="74" t="s">
        <v>545</v>
      </c>
      <c r="D356" s="25">
        <v>2006</v>
      </c>
      <c r="E356" s="34">
        <f>IF(D356&gt;=2009,#REF!*0.69,"")</f>
      </c>
      <c r="F356" s="34"/>
      <c r="K356" s="29"/>
      <c r="U356" s="27"/>
      <c r="X356" s="29"/>
      <c r="AE356"/>
    </row>
    <row r="357" spans="1:31" ht="12.75">
      <c r="A357" t="s">
        <v>774</v>
      </c>
      <c r="B357" s="37">
        <v>2007</v>
      </c>
      <c r="D357" s="25">
        <v>2007</v>
      </c>
      <c r="E357" s="22">
        <f aca="true" t="shared" si="23" ref="E357:E362">(D357-$D$357)*$B$361</f>
        <v>0</v>
      </c>
      <c r="F357" s="22">
        <f>E357*0.69*$N$275*(1-AVERAGE($D$8:$D$9))</f>
        <v>0</v>
      </c>
      <c r="K357" s="29"/>
      <c r="U357" s="27"/>
      <c r="X357" s="29"/>
      <c r="AE357"/>
    </row>
    <row r="358" spans="1:31" ht="12.75">
      <c r="A358" s="33" t="s">
        <v>775</v>
      </c>
      <c r="B358" s="274">
        <v>0</v>
      </c>
      <c r="C358" s="35"/>
      <c r="D358" s="25">
        <v>2008</v>
      </c>
      <c r="E358" s="22">
        <f t="shared" si="23"/>
        <v>2081750000</v>
      </c>
      <c r="F358" s="22">
        <f aca="true" t="shared" si="24" ref="F358:F380">E358*0.69*$N$275*(1-AVERAGE($D$8:$D$9))</f>
        <v>1998972992540.7</v>
      </c>
      <c r="G358" s="33"/>
      <c r="H358" s="33"/>
      <c r="K358" s="29"/>
      <c r="U358" s="27"/>
      <c r="X358" s="29"/>
      <c r="AE358"/>
    </row>
    <row r="359" spans="1:31" ht="12.75">
      <c r="A359" t="s">
        <v>776</v>
      </c>
      <c r="B359" s="32">
        <v>2012</v>
      </c>
      <c r="C359" s="30"/>
      <c r="D359" s="25">
        <v>2009</v>
      </c>
      <c r="E359" s="22">
        <f t="shared" si="23"/>
        <v>4163500000</v>
      </c>
      <c r="F359" s="22">
        <f t="shared" si="24"/>
        <v>3997945985081.4</v>
      </c>
      <c r="K359" s="29"/>
      <c r="U359" s="27"/>
      <c r="X359" s="29"/>
      <c r="AE359"/>
    </row>
    <row r="360" spans="1:31" ht="12.75">
      <c r="A360" t="s">
        <v>236</v>
      </c>
      <c r="B360" s="275">
        <f>B361*(B359-B357)</f>
        <v>10408750000</v>
      </c>
      <c r="C360" s="30"/>
      <c r="D360" s="25">
        <v>2010</v>
      </c>
      <c r="E360" s="22">
        <f t="shared" si="23"/>
        <v>6245250000</v>
      </c>
      <c r="F360" s="22">
        <f t="shared" si="24"/>
        <v>5996918977622.1</v>
      </c>
      <c r="K360" s="29"/>
      <c r="U360" s="27"/>
      <c r="X360" s="29"/>
      <c r="AE360"/>
    </row>
    <row r="361" spans="1:31" ht="12.75">
      <c r="A361" s="29" t="s">
        <v>620</v>
      </c>
      <c r="B361" s="221">
        <f>550000000*3.785</f>
        <v>2081750000</v>
      </c>
      <c r="D361" s="25">
        <v>2011</v>
      </c>
      <c r="E361" s="22">
        <f t="shared" si="23"/>
        <v>8327000000</v>
      </c>
      <c r="F361" s="22">
        <f t="shared" si="24"/>
        <v>7995891970162.8</v>
      </c>
      <c r="K361" s="29"/>
      <c r="U361" s="27"/>
      <c r="X361" s="29"/>
      <c r="AE361"/>
    </row>
    <row r="362" spans="1:31" ht="12.75">
      <c r="A362"/>
      <c r="D362" s="25">
        <v>2012</v>
      </c>
      <c r="E362" s="22">
        <f t="shared" si="23"/>
        <v>10408750000</v>
      </c>
      <c r="F362" s="22">
        <f t="shared" si="24"/>
        <v>9994864962703.498</v>
      </c>
      <c r="K362" s="29"/>
      <c r="U362" s="27"/>
      <c r="X362" s="29"/>
      <c r="AE362"/>
    </row>
    <row r="363" spans="1:31" ht="12.75">
      <c r="A363"/>
      <c r="D363" s="25">
        <v>2013</v>
      </c>
      <c r="E363" s="22">
        <f>$E$362</f>
        <v>10408750000</v>
      </c>
      <c r="F363" s="22">
        <f t="shared" si="24"/>
        <v>9994864962703.498</v>
      </c>
      <c r="K363" s="29"/>
      <c r="U363" s="27"/>
      <c r="X363" s="29"/>
      <c r="AE363"/>
    </row>
    <row r="364" spans="1:31" ht="12.75">
      <c r="A364" t="s">
        <v>237</v>
      </c>
      <c r="B364" s="27">
        <f>VLOOKUP(B359,D355:F380,3,FALSE)</f>
        <v>9994864962703.498</v>
      </c>
      <c r="D364" s="25">
        <v>2014</v>
      </c>
      <c r="E364" s="22">
        <f aca="true" t="shared" si="25" ref="E364:E380">$E$362</f>
        <v>10408750000</v>
      </c>
      <c r="F364" s="22">
        <f t="shared" si="24"/>
        <v>9994864962703.498</v>
      </c>
      <c r="K364" s="29"/>
      <c r="U364" s="27"/>
      <c r="X364" s="29"/>
      <c r="AE364"/>
    </row>
    <row r="365" spans="1:31" ht="12.75">
      <c r="A365" t="s">
        <v>238</v>
      </c>
      <c r="B365" s="27">
        <f>SUM(F359:F380)</f>
        <v>207893191224232.78</v>
      </c>
      <c r="D365" s="25">
        <v>2015</v>
      </c>
      <c r="E365" s="22">
        <f t="shared" si="25"/>
        <v>10408750000</v>
      </c>
      <c r="F365" s="22">
        <f t="shared" si="24"/>
        <v>9994864962703.498</v>
      </c>
      <c r="K365" s="29"/>
      <c r="U365" s="27"/>
      <c r="X365" s="29"/>
      <c r="AE365"/>
    </row>
    <row r="366" spans="1:31" ht="12.75">
      <c r="A366" t="s">
        <v>239</v>
      </c>
      <c r="B366" s="26">
        <f>B364/(10^12)</f>
        <v>9.994864962703499</v>
      </c>
      <c r="D366" s="25">
        <v>2016</v>
      </c>
      <c r="E366" s="22">
        <f t="shared" si="25"/>
        <v>10408750000</v>
      </c>
      <c r="F366" s="22">
        <f t="shared" si="24"/>
        <v>9994864962703.498</v>
      </c>
      <c r="K366" s="29"/>
      <c r="U366" s="27"/>
      <c r="X366" s="29"/>
      <c r="AE366"/>
    </row>
    <row r="367" spans="1:31" ht="12.75">
      <c r="A367" t="s">
        <v>240</v>
      </c>
      <c r="B367" s="26">
        <f>B365/(10^12)</f>
        <v>207.8931912242328</v>
      </c>
      <c r="D367" s="25">
        <v>2017</v>
      </c>
      <c r="E367" s="22">
        <f t="shared" si="25"/>
        <v>10408750000</v>
      </c>
      <c r="F367" s="22">
        <f t="shared" si="24"/>
        <v>9994864962703.498</v>
      </c>
      <c r="K367" s="29"/>
      <c r="U367" s="27"/>
      <c r="X367" s="29"/>
      <c r="AE367"/>
    </row>
    <row r="368" spans="1:31" ht="12.75">
      <c r="A368" s="74" t="s">
        <v>551</v>
      </c>
      <c r="B368" s="110">
        <f>SUM(E359:E380)/(10^6)</f>
        <v>216502</v>
      </c>
      <c r="D368" s="25">
        <v>2018</v>
      </c>
      <c r="E368" s="22">
        <f t="shared" si="25"/>
        <v>10408750000</v>
      </c>
      <c r="F368" s="22">
        <f t="shared" si="24"/>
        <v>9994864962703.498</v>
      </c>
      <c r="K368" s="29"/>
      <c r="U368" s="27"/>
      <c r="X368" s="29"/>
      <c r="AE368"/>
    </row>
    <row r="369" spans="1:31" ht="12.75">
      <c r="A369" s="74" t="s">
        <v>791</v>
      </c>
      <c r="B369" s="392">
        <f>VLOOKUP(B359,D355:F380,2,FALSE)/(10^6)</f>
        <v>10408.75</v>
      </c>
      <c r="D369" s="25">
        <v>2019</v>
      </c>
      <c r="E369" s="22">
        <f t="shared" si="25"/>
        <v>10408750000</v>
      </c>
      <c r="F369" s="22">
        <f t="shared" si="24"/>
        <v>9994864962703.498</v>
      </c>
      <c r="K369" s="29"/>
      <c r="U369" s="27"/>
      <c r="X369" s="29"/>
      <c r="AE369"/>
    </row>
    <row r="370" spans="1:31" ht="12.75">
      <c r="A370"/>
      <c r="D370" s="25">
        <v>2020</v>
      </c>
      <c r="E370" s="22">
        <f t="shared" si="25"/>
        <v>10408750000</v>
      </c>
      <c r="F370" s="22">
        <f t="shared" si="24"/>
        <v>9994864962703.498</v>
      </c>
      <c r="K370" s="29"/>
      <c r="U370" s="27"/>
      <c r="X370" s="29"/>
      <c r="AE370"/>
    </row>
    <row r="371" spans="1:31" ht="12.75">
      <c r="A371"/>
      <c r="D371" s="25">
        <v>2021</v>
      </c>
      <c r="E371" s="22">
        <f t="shared" si="25"/>
        <v>10408750000</v>
      </c>
      <c r="F371" s="22">
        <f t="shared" si="24"/>
        <v>9994864962703.498</v>
      </c>
      <c r="K371" s="29"/>
      <c r="U371" s="27"/>
      <c r="X371" s="29"/>
      <c r="AE371"/>
    </row>
    <row r="372" spans="1:31" ht="12.75">
      <c r="A372"/>
      <c r="D372" s="25">
        <v>2022</v>
      </c>
      <c r="E372" s="22">
        <f t="shared" si="25"/>
        <v>10408750000</v>
      </c>
      <c r="F372" s="22">
        <f t="shared" si="24"/>
        <v>9994864962703.498</v>
      </c>
      <c r="K372" s="29"/>
      <c r="U372" s="27"/>
      <c r="X372" s="29"/>
      <c r="AE372"/>
    </row>
    <row r="373" spans="1:31" ht="12.75">
      <c r="A373"/>
      <c r="D373" s="25">
        <v>2023</v>
      </c>
      <c r="E373" s="22">
        <f t="shared" si="25"/>
        <v>10408750000</v>
      </c>
      <c r="F373" s="22">
        <f t="shared" si="24"/>
        <v>9994864962703.498</v>
      </c>
      <c r="K373" s="29"/>
      <c r="U373" s="27"/>
      <c r="X373" s="29"/>
      <c r="AE373"/>
    </row>
    <row r="374" spans="1:31" ht="12.75">
      <c r="A374"/>
      <c r="D374" s="25">
        <v>2024</v>
      </c>
      <c r="E374" s="22">
        <f t="shared" si="25"/>
        <v>10408750000</v>
      </c>
      <c r="F374" s="22">
        <f t="shared" si="24"/>
        <v>9994864962703.498</v>
      </c>
      <c r="K374" s="29"/>
      <c r="U374" s="27"/>
      <c r="X374" s="29"/>
      <c r="AE374"/>
    </row>
    <row r="375" spans="1:31" ht="12.75">
      <c r="A375"/>
      <c r="D375" s="25">
        <v>2025</v>
      </c>
      <c r="E375" s="22">
        <f t="shared" si="25"/>
        <v>10408750000</v>
      </c>
      <c r="F375" s="22">
        <f t="shared" si="24"/>
        <v>9994864962703.498</v>
      </c>
      <c r="K375" s="29"/>
      <c r="U375" s="27"/>
      <c r="X375" s="29"/>
      <c r="AE375"/>
    </row>
    <row r="376" spans="1:31" ht="12.75">
      <c r="A376"/>
      <c r="D376" s="25">
        <v>2026</v>
      </c>
      <c r="E376" s="22">
        <f t="shared" si="25"/>
        <v>10408750000</v>
      </c>
      <c r="F376" s="22">
        <f t="shared" si="24"/>
        <v>9994864962703.498</v>
      </c>
      <c r="K376" s="29"/>
      <c r="U376" s="27"/>
      <c r="X376" s="29"/>
      <c r="AE376"/>
    </row>
    <row r="377" spans="1:31" ht="12.75">
      <c r="A377"/>
      <c r="D377" s="25">
        <v>2027</v>
      </c>
      <c r="E377" s="22">
        <f t="shared" si="25"/>
        <v>10408750000</v>
      </c>
      <c r="F377" s="22">
        <f t="shared" si="24"/>
        <v>9994864962703.498</v>
      </c>
      <c r="K377" s="29"/>
      <c r="U377" s="27"/>
      <c r="X377" s="29"/>
      <c r="AE377"/>
    </row>
    <row r="378" spans="1:31" ht="12.75">
      <c r="A378"/>
      <c r="D378" s="25">
        <v>2028</v>
      </c>
      <c r="E378" s="22">
        <f t="shared" si="25"/>
        <v>10408750000</v>
      </c>
      <c r="F378" s="22">
        <f t="shared" si="24"/>
        <v>9994864962703.498</v>
      </c>
      <c r="K378" s="29"/>
      <c r="U378" s="27"/>
      <c r="X378" s="29"/>
      <c r="AE378"/>
    </row>
    <row r="379" spans="1:31" ht="12.75">
      <c r="A379"/>
      <c r="D379" s="25">
        <v>2029</v>
      </c>
      <c r="E379" s="22">
        <f t="shared" si="25"/>
        <v>10408750000</v>
      </c>
      <c r="F379" s="22">
        <f t="shared" si="24"/>
        <v>9994864962703.498</v>
      </c>
      <c r="K379" s="29"/>
      <c r="U379" s="27"/>
      <c r="X379" s="29"/>
      <c r="AE379"/>
    </row>
    <row r="380" spans="1:31" ht="13.5" thickBot="1">
      <c r="A380"/>
      <c r="D380" s="20">
        <v>2030</v>
      </c>
      <c r="E380" s="22">
        <f t="shared" si="25"/>
        <v>10408750000</v>
      </c>
      <c r="F380" s="22">
        <f t="shared" si="24"/>
        <v>9994864962703.498</v>
      </c>
      <c r="K380" s="29"/>
      <c r="U380" s="27"/>
      <c r="X380" s="29"/>
      <c r="AE380"/>
    </row>
    <row r="381" spans="1:31" ht="12.75">
      <c r="A381" s="117"/>
      <c r="B381" s="118"/>
      <c r="C381" s="118"/>
      <c r="D381" s="118"/>
      <c r="E381" s="118"/>
      <c r="F381" s="118"/>
      <c r="G381" s="118"/>
      <c r="H381" s="118"/>
      <c r="K381" s="29"/>
      <c r="U381" s="27"/>
      <c r="X381" s="29"/>
      <c r="AE381"/>
    </row>
    <row r="382" spans="11:31" ht="12.75">
      <c r="K382" s="29"/>
      <c r="U382" s="27"/>
      <c r="X382" s="29"/>
      <c r="AE382"/>
    </row>
    <row r="383" spans="11:31" ht="12.75">
      <c r="K383" s="29"/>
      <c r="U383" s="27"/>
      <c r="X383" s="29"/>
      <c r="AE383"/>
    </row>
    <row r="384" spans="11:31" ht="12.75">
      <c r="K384" s="29"/>
      <c r="U384" s="27"/>
      <c r="X384" s="29"/>
      <c r="AE384"/>
    </row>
    <row r="385" spans="11:31" ht="12.75">
      <c r="K385" s="29"/>
      <c r="U385" s="27"/>
      <c r="X385" s="29"/>
      <c r="AE385"/>
    </row>
    <row r="386" spans="11:31" ht="12.75">
      <c r="K386" s="29"/>
      <c r="U386" s="27"/>
      <c r="X386" s="29"/>
      <c r="AE386"/>
    </row>
    <row r="387" spans="11:31" ht="12.75">
      <c r="K387" s="29"/>
      <c r="U387" s="27"/>
      <c r="X387" s="29"/>
      <c r="AE387"/>
    </row>
    <row r="388" spans="11:31" ht="12.75">
      <c r="K388" s="29"/>
      <c r="U388" s="27"/>
      <c r="X388" s="29"/>
      <c r="AE388"/>
    </row>
    <row r="389" spans="11:31" ht="12.75">
      <c r="K389" s="29"/>
      <c r="U389" s="27"/>
      <c r="X389" s="29"/>
      <c r="AE389"/>
    </row>
    <row r="390" spans="11:31" ht="12.75">
      <c r="K390" s="29"/>
      <c r="U390" s="27"/>
      <c r="X390" s="29"/>
      <c r="AE390"/>
    </row>
    <row r="391" spans="11:31" ht="12.75">
      <c r="K391" s="29"/>
      <c r="U391" s="27"/>
      <c r="X391" s="29"/>
      <c r="AE391"/>
    </row>
    <row r="392" spans="11:31" ht="12.75">
      <c r="K392" s="29"/>
      <c r="U392" s="27"/>
      <c r="X392" s="29"/>
      <c r="AE392"/>
    </row>
    <row r="393" spans="11:31" ht="12.75">
      <c r="K393" s="29"/>
      <c r="U393" s="27"/>
      <c r="X393" s="29"/>
      <c r="AE393"/>
    </row>
    <row r="394" spans="11:31" ht="12.75">
      <c r="K394" s="29"/>
      <c r="U394" s="27"/>
      <c r="X394" s="29"/>
      <c r="AE394"/>
    </row>
    <row r="395" spans="11:31" ht="12.75">
      <c r="K395" s="29"/>
      <c r="U395" s="27"/>
      <c r="X395" s="29"/>
      <c r="AE395"/>
    </row>
    <row r="396" spans="11:31" ht="12.75">
      <c r="K396" s="29"/>
      <c r="U396" s="27"/>
      <c r="X396" s="29"/>
      <c r="AE396"/>
    </row>
    <row r="397" spans="11:31" ht="12.75">
      <c r="K397" s="29"/>
      <c r="U397" s="27"/>
      <c r="X397" s="29"/>
      <c r="AE397"/>
    </row>
    <row r="398" spans="11:31" ht="12.75">
      <c r="K398" s="29"/>
      <c r="U398" s="27"/>
      <c r="X398" s="29"/>
      <c r="AE398"/>
    </row>
    <row r="399" spans="11:31" ht="12.75">
      <c r="K399" s="29"/>
      <c r="U399" s="27"/>
      <c r="X399" s="29"/>
      <c r="AE399"/>
    </row>
  </sheetData>
  <mergeCells count="26">
    <mergeCell ref="A348:F348"/>
    <mergeCell ref="A349:F349"/>
    <mergeCell ref="A306:F306"/>
    <mergeCell ref="A307:F307"/>
    <mergeCell ref="A308:F308"/>
    <mergeCell ref="A309:F309"/>
    <mergeCell ref="A310:C310"/>
    <mergeCell ref="A331:B333"/>
    <mergeCell ref="A289:B291"/>
    <mergeCell ref="A267:F267"/>
    <mergeCell ref="A40:B42"/>
    <mergeCell ref="A74:B76"/>
    <mergeCell ref="A110:B112"/>
    <mergeCell ref="A146:B148"/>
    <mergeCell ref="A183:B185"/>
    <mergeCell ref="A229:I229"/>
    <mergeCell ref="A1:I1"/>
    <mergeCell ref="D259:E259"/>
    <mergeCell ref="A16:I16"/>
    <mergeCell ref="A86:I86"/>
    <mergeCell ref="D79:F79"/>
    <mergeCell ref="A50:I50"/>
    <mergeCell ref="D115:F115"/>
    <mergeCell ref="A122:I122"/>
    <mergeCell ref="A195:I195"/>
    <mergeCell ref="A159:I159"/>
  </mergeCells>
  <hyperlinks>
    <hyperlink ref="G79" r:id="rId1" display="http://www.iea.org/Textbase/stats/balancetable.asp?COUNTRY_CODE=IT"/>
    <hyperlink ref="G151" r:id="rId2" display="http://www.iea.org/Textbase/stats/balancetable.asp?COUNTRY_CODE=LT"/>
    <hyperlink ref="G115" r:id="rId3" display="http://www.iea.org/Textbase/stats/balancetable.asp?COUNTRY_CODE=IT"/>
    <hyperlink ref="E46" r:id="rId4" display="http://www.iea.org/Textbase/stats/oildata.asp?COUNTRY_CODE=FR"/>
    <hyperlink ref="G80" r:id="rId5" display="http://www.iea.org/Textbase/stats/oildata.asp?COUNTRY_CODE=ES"/>
    <hyperlink ref="G116" r:id="rId6" display="http://www.iea.org/Textbase/stats/oildata.asp?COUNTRY_CODE=IT"/>
    <hyperlink ref="G152" r:id="rId7" display="http://www.iea.org/Textbase/stats/oildata.asp?COUNTRY_CODE=LT"/>
    <hyperlink ref="F189" r:id="rId8" display="http://www.iea.org/Textbase/stats/oildata.asp?COUNTRY_CODE=TR"/>
    <hyperlink ref="F225" r:id="rId9" display="http://www.iea.org/Textbase/stats/oildata.asp?COUNTRY_CODE=PY"/>
    <hyperlink ref="D259" r:id="rId10" display="http://www.ren21.net/wiap/detail.asp?id=154"/>
    <hyperlink ref="A40:B42" location="'Group 4'!A5" display="NOTE: This pledge also contains an electricity component, the benefits of which are not quantified here.  Click this link to view the estimated electricity and RE GHG impact of this pledge."/>
    <hyperlink ref="A74:B76" location="'Group 4'!A41" display="NOTE: This pledge also contains an electricity component, the benefits of which are not quantified here.  Click this link to view the estimated electricity and RE GHG impact of this pledge."/>
    <hyperlink ref="A110:B112" location="'Group 2'!A40" display="NOTE: This pledge also contains an electricity component, the benefits of which are not quantified here.  Click this link to view the estimated electricity and RE GHG impact of this pledge."/>
    <hyperlink ref="A146:B148" location="'Group 4'!A78" display="NOTE: This pledge also contains an electricity component, the benefits of which are not quantified here.  Click this link to view the estimated electricity and RE GHG impact of this pledge."/>
    <hyperlink ref="A183:B185" location="'Group 2'!A221" display="NOTE: This pledge also contains an electricity component, the benefits of which are not quantified here.  Click this link to view the estimated electricity and RE GHG impact of this pledge."/>
    <hyperlink ref="A289:B291" location="'Group 2'!A335" display="NOTE: This pledge also contains an electricity component, the benefits of which are not quantified here.  Click this link to view the estimated electricity and RE GHG impact of this pledge."/>
    <hyperlink ref="B16" r:id="rId11" display="http://www.ren21.net/wiap/detail.asp?id=74"/>
    <hyperlink ref="C16" r:id="rId12" display="http://www.ren21.net/wiap/detail.asp?id=74"/>
    <hyperlink ref="D16" r:id="rId13" display="http://www.ren21.net/wiap/detail.asp?id=74"/>
    <hyperlink ref="E16" r:id="rId14" display="http://www.ren21.net/wiap/detail.asp?id=74"/>
    <hyperlink ref="F16" r:id="rId15" display="http://www.ren21.net/wiap/detail.asp?id=74"/>
    <hyperlink ref="G16" r:id="rId16" display="http://www.ren21.net/wiap/detail.asp?id=74"/>
    <hyperlink ref="H16" r:id="rId17" display="http://www.ren21.net/wiap/detail.asp?id=74"/>
    <hyperlink ref="I16" r:id="rId18" display="http://www.ren21.net/wiap/detail.asp?id=74"/>
    <hyperlink ref="J16" r:id="rId19" display="http://www.ren21.net/wiap/detail.asp?id=74"/>
    <hyperlink ref="J50" r:id="rId20" display="http://www.ren21.net/wiap/detail.asp?id=60"/>
    <hyperlink ref="J86" r:id="rId21" display="http://www.ren21.net/wiap/detail.asp?id=63"/>
    <hyperlink ref="J122" r:id="rId22" display="http://www.ren21.net/wiap/detail.asp?id=108"/>
    <hyperlink ref="J159" r:id="rId23" display="http://www.ren21.net/wiap/detail.asp?id=217"/>
    <hyperlink ref="J195" r:id="rId24" display="http://www.ren21.net/wiap/detail.asp?id=195"/>
    <hyperlink ref="J229" r:id="rId25" display="http://www.ren21.net/wiap/detail.asp?id=154"/>
    <hyperlink ref="J267" r:id="rId26" display="http://www.ren21.net/wiap/detail.asp?id=225"/>
    <hyperlink ref="A310" r:id="rId27" display="http://www.ren21.net/wiap/detail.asp?id=220"/>
    <hyperlink ref="A331:B333" location="'Group 2'!A335" display="NOTE: This pledge also contains an electricity component, the benefits of which are not quantified here.  Click this link to view the estimated electricity and RE GHG impact of this pledge."/>
    <hyperlink ref="A350" r:id="rId28" display="http://www.ren21.net/wiap/detail.asp?id=231"/>
    <hyperlink ref="A331" location="'Group%207'!A119" display="NOTE: This pledge also contains an electricity component, the benefits of which are not quantified here.  Click this link to view the estimated electricity and RE GHG impact of this pledge."/>
    <hyperlink ref="B331" location="'Group%207'!A119" display="'Group%207'!A119"/>
    <hyperlink ref="A332" location="'Group%207'!A119" display="'Group%207'!A119"/>
    <hyperlink ref="B332" location="'Group%207'!A119" display="'Group%207'!A119"/>
    <hyperlink ref="A333" location="'Group%207'!A119" display="'Group%207'!A119"/>
    <hyperlink ref="B333" location="'Group%207'!A119" display="'Group%207'!A119"/>
  </hyperlinks>
  <printOptions/>
  <pageMargins left="0.75" right="0.75" top="1" bottom="1" header="0.5" footer="0.5"/>
  <pageSetup horizontalDpi="600" verticalDpi="600" orientation="portrait"/>
  <drawing r:id="rId29"/>
</worksheet>
</file>

<file path=xl/worksheets/sheet7.xml><?xml version="1.0" encoding="utf-8"?>
<worksheet xmlns="http://schemas.openxmlformats.org/spreadsheetml/2006/main" xmlns:r="http://schemas.openxmlformats.org/officeDocument/2006/relationships">
  <dimension ref="A1:M412"/>
  <sheetViews>
    <sheetView zoomScale="90" zoomScaleNormal="90" workbookViewId="0" topLeftCell="A348">
      <selection activeCell="A376" sqref="A376:F376"/>
    </sheetView>
  </sheetViews>
  <sheetFormatPr defaultColWidth="11.421875" defaultRowHeight="12.75"/>
  <cols>
    <col min="1" max="1" width="43.7109375" style="0" customWidth="1"/>
    <col min="2" max="2" width="12.8515625" style="0" customWidth="1"/>
    <col min="3" max="3" width="12.421875" style="0" customWidth="1"/>
    <col min="4" max="4" width="11.421875" style="0" customWidth="1"/>
    <col min="5" max="5" width="24.421875" style="0" customWidth="1"/>
    <col min="6" max="6" width="18.7109375" style="0" customWidth="1"/>
    <col min="7" max="7" width="11.421875" style="0" customWidth="1"/>
    <col min="8" max="8" width="18.28125" style="0" customWidth="1"/>
  </cols>
  <sheetData>
    <row r="1" spans="1:9" ht="21.75" customHeight="1">
      <c r="A1" s="475" t="s">
        <v>1042</v>
      </c>
      <c r="B1" s="476"/>
      <c r="C1" s="476"/>
      <c r="D1" s="476"/>
      <c r="E1" s="476"/>
      <c r="F1" s="476"/>
      <c r="G1" s="476"/>
      <c r="H1" s="476"/>
      <c r="I1" s="476"/>
    </row>
    <row r="2" spans="1:12" ht="12.75">
      <c r="A2" s="67"/>
      <c r="J2" s="63"/>
      <c r="K2" s="63"/>
      <c r="L2" s="63"/>
    </row>
    <row r="3" spans="1:12" ht="12.75">
      <c r="A3" s="67"/>
      <c r="J3" s="63"/>
      <c r="K3" s="63"/>
      <c r="L3" s="63"/>
    </row>
    <row r="4" spans="1:9" ht="12.75">
      <c r="A4" s="466" t="s">
        <v>748</v>
      </c>
      <c r="B4" s="467"/>
      <c r="C4" s="467"/>
      <c r="D4" s="467"/>
      <c r="E4" s="467"/>
      <c r="F4" s="467"/>
      <c r="G4" s="467"/>
      <c r="H4" s="467"/>
      <c r="I4" s="477"/>
    </row>
    <row r="5" spans="1:9" ht="18" customHeight="1">
      <c r="A5" s="468" t="s">
        <v>747</v>
      </c>
      <c r="B5" s="469"/>
      <c r="C5" s="469"/>
      <c r="D5" s="469"/>
      <c r="E5" s="469"/>
      <c r="F5" s="469"/>
      <c r="G5" s="469"/>
      <c r="H5" s="469"/>
      <c r="I5" s="478"/>
    </row>
    <row r="6" spans="1:9" ht="33.75" customHeight="1">
      <c r="A6" s="470" t="s">
        <v>746</v>
      </c>
      <c r="B6" s="469"/>
      <c r="C6" s="469"/>
      <c r="D6" s="469"/>
      <c r="E6" s="469"/>
      <c r="F6" s="469"/>
      <c r="G6" s="469"/>
      <c r="H6" s="469"/>
      <c r="I6" s="478"/>
    </row>
    <row r="7" spans="1:9" ht="19.5" customHeight="1">
      <c r="A7" s="473" t="s">
        <v>351</v>
      </c>
      <c r="B7" s="474"/>
      <c r="C7" s="474"/>
      <c r="D7" s="474"/>
      <c r="E7" s="474"/>
      <c r="F7" s="474"/>
      <c r="G7" s="474"/>
      <c r="H7" s="474"/>
      <c r="I7" s="480"/>
    </row>
    <row r="8" ht="12.75">
      <c r="A8" s="15"/>
    </row>
    <row r="9" spans="1:8" s="33" customFormat="1" ht="38.25">
      <c r="A9" s="213" t="s">
        <v>350</v>
      </c>
      <c r="B9" s="212" t="s">
        <v>358</v>
      </c>
      <c r="C9" s="212" t="s">
        <v>416</v>
      </c>
      <c r="D9" s="212" t="s">
        <v>415</v>
      </c>
      <c r="E9" s="212" t="s">
        <v>153</v>
      </c>
      <c r="F9" s="212" t="s">
        <v>152</v>
      </c>
      <c r="G9" s="207" t="s">
        <v>151</v>
      </c>
      <c r="H9" s="211"/>
    </row>
    <row r="10" spans="1:8" ht="12.75">
      <c r="A10" s="15"/>
      <c r="B10" s="210">
        <v>1178239</v>
      </c>
      <c r="C10" s="210">
        <f>B10*23.884589663</f>
        <v>28141755.039943457</v>
      </c>
      <c r="D10" s="210">
        <v>14.506</v>
      </c>
      <c r="E10" s="210">
        <f>D10*25199579.631</f>
        <v>365545102.127286</v>
      </c>
      <c r="F10" s="210">
        <v>884.72</v>
      </c>
      <c r="G10" s="134">
        <f>(F10*10^6)/E10</f>
        <v>2.4202758971502583</v>
      </c>
      <c r="H10" s="62"/>
    </row>
    <row r="11" spans="1:8" ht="13.5" thickBot="1">
      <c r="A11" s="15"/>
      <c r="G11" s="209"/>
      <c r="H11" s="62"/>
    </row>
    <row r="12" spans="1:9" ht="51">
      <c r="A12" t="s">
        <v>645</v>
      </c>
      <c r="B12" t="s">
        <v>644</v>
      </c>
      <c r="D12" s="46" t="s">
        <v>643</v>
      </c>
      <c r="E12" s="45" t="s">
        <v>642</v>
      </c>
      <c r="F12" s="45" t="s">
        <v>204</v>
      </c>
      <c r="G12" s="45" t="s">
        <v>203</v>
      </c>
      <c r="H12" s="45" t="s">
        <v>243</v>
      </c>
      <c r="I12" s="44" t="s">
        <v>242</v>
      </c>
    </row>
    <row r="13" spans="1:9" ht="13.5" thickBot="1">
      <c r="A13" t="s">
        <v>241</v>
      </c>
      <c r="B13" s="58">
        <f>C10</f>
        <v>28141755.039943457</v>
      </c>
      <c r="D13" s="43"/>
      <c r="E13" s="41" t="s">
        <v>814</v>
      </c>
      <c r="F13" s="42" t="s">
        <v>813</v>
      </c>
      <c r="G13" s="41" t="s">
        <v>812</v>
      </c>
      <c r="H13" s="41" t="s">
        <v>811</v>
      </c>
      <c r="I13" s="40" t="s">
        <v>810</v>
      </c>
    </row>
    <row r="14" spans="1:9" ht="13.5" thickTop="1">
      <c r="A14" t="s">
        <v>809</v>
      </c>
      <c r="B14" s="31">
        <v>0.008</v>
      </c>
      <c r="C14" s="30"/>
      <c r="D14" s="25">
        <v>2005</v>
      </c>
      <c r="E14" s="23">
        <f>IF(D14&lt;=B18,B13*EXP(B14*(D14-D14)),"")</f>
        <v>28141755.039943457</v>
      </c>
      <c r="F14" s="24">
        <f>IF(D14&gt;B18,"",IF(B16&gt;D14,"",IF(B16=D14,B17,IF(B16&lt;D14,(D14-B16)*B20+B17,B19))))</f>
      </c>
      <c r="G14" s="23">
        <f>IF(ISERR(F14*E14),IF(D14&gt;B18,G13,""),F14*E14)</f>
      </c>
      <c r="H14" s="39"/>
      <c r="I14" s="38"/>
    </row>
    <row r="15" spans="1:9" ht="12.75">
      <c r="A15" t="s">
        <v>808</v>
      </c>
      <c r="B15" s="203">
        <f>G10</f>
        <v>2.4202758971502583</v>
      </c>
      <c r="D15" s="25">
        <v>2006</v>
      </c>
      <c r="E15" s="23">
        <f>IF(D15&lt;=B18,B13*EXP(B14*(D15-D14)),"")</f>
        <v>28367792.022664603</v>
      </c>
      <c r="F15" s="24">
        <f>IF(D15&gt;B18,"",IF(B16&gt;D15,"",IF(B16=D15,B17,IF(B16&lt;D15,(D15-B16)*B20+B17,B19))))</f>
      </c>
      <c r="G15" s="23">
        <f>IF(ISERR(F15*E15),IF(D15&gt;B18,G14,""),F15*E15)</f>
      </c>
      <c r="H15" s="23"/>
      <c r="I15" s="34"/>
    </row>
    <row r="16" spans="1:9" ht="12.75">
      <c r="A16" t="s">
        <v>807</v>
      </c>
      <c r="B16" s="37">
        <v>2008</v>
      </c>
      <c r="D16" s="25">
        <v>2007</v>
      </c>
      <c r="E16" s="23">
        <f>IF(D16&lt;=B18,B13*EXP(B14*(D16-D14)),"")</f>
        <v>28595644.553758092</v>
      </c>
      <c r="F16" s="24">
        <f>IF(D16&gt;B18,"",IF(B16&gt;D16,"",IF(B16=D16,B17,IF(B16&lt;D16,(D16-B16)*B20+B17,B19))))</f>
      </c>
      <c r="G16" s="23">
        <f>IF(ISERR(F16*E16),IF(D16&gt;B18,G15,""),F16*E16)</f>
      </c>
      <c r="H16" s="23"/>
      <c r="I16" s="34"/>
    </row>
    <row r="17" spans="1:9" s="33" customFormat="1" ht="12.75">
      <c r="A17" s="33" t="s">
        <v>806</v>
      </c>
      <c r="B17" s="36">
        <v>0.06</v>
      </c>
      <c r="C17" s="35"/>
      <c r="D17" s="25">
        <v>2008</v>
      </c>
      <c r="E17" s="23">
        <f>IF(D17&lt;=B18,B13*EXP(B14*(D17-D14)),"")</f>
        <v>28825327.215863682</v>
      </c>
      <c r="F17" s="24">
        <f>IF(D17&gt;B18,"",IF(B16&gt;D17,"",IF(B16=D17,B17,IF(B16&lt;D17,(D17-B16)*B20+B17,B19))))</f>
        <v>0.06</v>
      </c>
      <c r="G17" s="23">
        <f>IF(ISERR(F17*E17),IF(D17&gt;B18,G16,""),F17*E17)</f>
        <v>1729519.632951821</v>
      </c>
      <c r="H17" s="23"/>
      <c r="I17" s="34"/>
    </row>
    <row r="18" spans="1:9" ht="12.75">
      <c r="A18" t="s">
        <v>805</v>
      </c>
      <c r="B18" s="32">
        <v>2020</v>
      </c>
      <c r="C18" s="30"/>
      <c r="D18" s="25">
        <v>2009</v>
      </c>
      <c r="E18" s="23">
        <f>IF(D18&lt;=B18,B13*EXP(B14*(D18-D14)),"")</f>
        <v>29056854.70875016</v>
      </c>
      <c r="F18" s="24">
        <f>IF(D18&gt;B18,"",IF(B16&gt;D18,"",IF(B16=D18,B17,IF(B16&lt;D18,(D18-B16)*B20+B17,B19))))</f>
        <v>0.0675</v>
      </c>
      <c r="G18" s="23">
        <f>IF(ISERR(F18*E18),IF(D18&gt;B18,G17,""),F18*E18)</f>
        <v>1961337.6928406358</v>
      </c>
      <c r="H18" s="22">
        <f>IF(ISERR(G18-G17),"",(G18-G17))</f>
        <v>231818.0598888148</v>
      </c>
      <c r="I18" s="21">
        <f>IF(ISERR(B15*H18),"",((B15*H18)))</f>
        <v>561063.6628730336</v>
      </c>
    </row>
    <row r="19" spans="1:9" ht="12.75">
      <c r="A19" t="s">
        <v>804</v>
      </c>
      <c r="B19" s="31">
        <v>0.15</v>
      </c>
      <c r="C19" s="30"/>
      <c r="D19" s="25">
        <v>2010</v>
      </c>
      <c r="E19" s="23">
        <f>IF(D19&lt;=B18,B13*EXP(B14*(D19-D14)),"")</f>
        <v>29290241.850256093</v>
      </c>
      <c r="F19" s="24">
        <f>IF(D19&gt;B18,"",IF(B16&gt;D19,"",IF(B16=D19,B17,IF(B16&lt;D19,(D19-B16)*B20+B17,B19))))</f>
        <v>0.075</v>
      </c>
      <c r="G19" s="23">
        <f>IF(ISERR(F19*E19),IF(D19&gt;B18,G18,""),F19*E19)</f>
        <v>2196768.138769207</v>
      </c>
      <c r="H19" s="22">
        <f>IF(ISERR(G19-G17),"",(G19-G17))</f>
        <v>467248.5058173861</v>
      </c>
      <c r="I19" s="21">
        <f>IF(ISERR(B15*H19),"",((B15*H19)))</f>
        <v>1130870.2966092918</v>
      </c>
    </row>
    <row r="20" spans="1:9" ht="12.75">
      <c r="A20" s="29" t="s">
        <v>737</v>
      </c>
      <c r="B20" s="28">
        <f>(B19-B17)/(B18-B16)</f>
        <v>0.0075</v>
      </c>
      <c r="D20" s="25">
        <v>2011</v>
      </c>
      <c r="E20" s="23">
        <f>IF(D20&lt;=B18,B13*EXP(B14*(D20-D14)),"")</f>
        <v>29525503.577238202</v>
      </c>
      <c r="F20" s="24">
        <f>IF(D20&gt;B18,"",IF(B16&gt;D20,"",IF(B16=D20,B17,IF(B16&lt;D20,(D20-B16)*B20+B17,B19))))</f>
        <v>0.08249999999999999</v>
      </c>
      <c r="G20" s="23">
        <f>IF(ISERR(F20*E20),IF(D20&gt;B18,G19,""),F20*E20)</f>
        <v>2435854.0451221513</v>
      </c>
      <c r="H20" s="22">
        <f>IF(ISERR(G20-G17),"",(G20-G17))</f>
        <v>706334.4121703303</v>
      </c>
      <c r="I20" s="21">
        <f>IF(ISERR(B15*H20),"",((B15*H20)))</f>
        <v>1709524.1531036464</v>
      </c>
    </row>
    <row r="21" spans="4:9" ht="12.75">
      <c r="D21" s="25">
        <v>2012</v>
      </c>
      <c r="E21" s="23">
        <f>IF(D21&lt;=B18,B13*EXP(B14*(D21-D14)),"")</f>
        <v>29762654.946527306</v>
      </c>
      <c r="F21" s="24">
        <f>IF(D21&gt;B18,"",IF(B16&gt;D21,"",IF(B16=D21,B17,IF(B16&lt;D21,(D21-B16)*B20+B17,B19))))</f>
        <v>0.09</v>
      </c>
      <c r="G21" s="23">
        <f>IF(ISERR(F21*E21),IF(D21&gt;B18,G20,""),F21*E21)</f>
        <v>2678638.9451874574</v>
      </c>
      <c r="H21" s="22">
        <f>IF(ISERR(G21-G17),"",(G21-G17))</f>
        <v>949119.3122356364</v>
      </c>
      <c r="I21" s="21">
        <f>IF(ISERR(B15*H21),"",((B15*H21)))</f>
        <v>2297130.594923741</v>
      </c>
    </row>
    <row r="22" spans="4:9" ht="12.75">
      <c r="D22" s="25">
        <v>2013</v>
      </c>
      <c r="E22" s="23">
        <f>IF(D22&lt;=B18,B13*EXP(B14*(D22-D14)),"")</f>
        <v>30001711.135891996</v>
      </c>
      <c r="F22" s="24">
        <f>IF(D22&gt;B18,"",IF(B16&gt;D22,"",IF(B16=D22,B17,IF(B16&lt;D22,(D22-B16)*B20+B17,B19))))</f>
        <v>0.0975</v>
      </c>
      <c r="G22" s="23">
        <f>IF(ISERR(F22*E22),IF(D22&gt;B18,G21,""),F22*E22)</f>
        <v>2925166.8357494697</v>
      </c>
      <c r="H22" s="22">
        <f>IF(ISERR(G22-G17),"",(G22-G17))</f>
        <v>1195647.2027976487</v>
      </c>
      <c r="I22" s="21">
        <f>IF(ISERR(B15*H22),"",((B15*H22)))</f>
        <v>2893796.1064262763</v>
      </c>
    </row>
    <row r="23" spans="1:9" ht="12.75">
      <c r="A23" t="s">
        <v>736</v>
      </c>
      <c r="B23" s="27">
        <f>VLOOKUP(B18,D14:I39,6,FALSE)</f>
        <v>7333294.135033615</v>
      </c>
      <c r="D23" s="25">
        <v>2014</v>
      </c>
      <c r="E23" s="23">
        <f>IF(D23&lt;=B18,B13*EXP(B14*(D23-D14)),"")</f>
        <v>30242687.445009995</v>
      </c>
      <c r="F23" s="24">
        <f>IF(D23&gt;B18,"",IF(B16&gt;D23,"",IF(B16=D23,B17,IF(B16&lt;D23,(D23-B16)*B20+B17,B19))))</f>
        <v>0.105</v>
      </c>
      <c r="G23" s="23">
        <f>IF(ISERR(F23*E23),IF(D23&gt;B18,G22,""),F23*E23)</f>
        <v>3175482.181726049</v>
      </c>
      <c r="H23" s="22">
        <f>IF(ISERR(G23-G17),"",(G23-G17))</f>
        <v>1445962.5487742282</v>
      </c>
      <c r="I23" s="21">
        <f>IF(ISERR(B15*H23),"",((B15*H23)))</f>
        <v>3499628.3049802193</v>
      </c>
    </row>
    <row r="24" spans="1:9" ht="12.75">
      <c r="A24" t="s">
        <v>735</v>
      </c>
      <c r="B24" s="27">
        <f>SUM(I18:I39)</f>
        <v>119672385.52232337</v>
      </c>
      <c r="D24" s="25">
        <v>2015</v>
      </c>
      <c r="E24" s="23">
        <f>IF(D24&lt;=B18,B13*EXP(B14*(D24-D14)),"")</f>
        <v>30485599.296447337</v>
      </c>
      <c r="F24" s="24">
        <f>IF(D24&gt;B18,"",IF(B16&gt;D24,"",IF(B16=D24,B17,IF(B16&lt;D24,(D24-B16)*B20+B17,B19))))</f>
        <v>0.11249999999999999</v>
      </c>
      <c r="G24" s="23">
        <f>IF(ISERR(F24*E24),IF(D24&gt;B18,G23,""),F24*E24)</f>
        <v>3429629.920850325</v>
      </c>
      <c r="H24" s="22">
        <f>IF(ISERR(G24-G17),"",(G24-G17))</f>
        <v>1700110.287898504</v>
      </c>
      <c r="I24" s="21">
        <f>IF(ISERR(B15*H24),"",((B15*H24)))</f>
        <v>4114735.9522979353</v>
      </c>
    </row>
    <row r="25" spans="1:9" ht="12.75">
      <c r="A25" t="s">
        <v>793</v>
      </c>
      <c r="B25" s="26">
        <f>B23/(10^6)</f>
        <v>7.333294135033615</v>
      </c>
      <c r="D25" s="25">
        <v>2016</v>
      </c>
      <c r="E25" s="23">
        <f>IF(D25&lt;=B18,B13*EXP(B14*(D25-D14)),"")</f>
        <v>30730462.23664542</v>
      </c>
      <c r="F25" s="24">
        <f>IF(D25&gt;B18,"",IF(B16&gt;D25,"",IF(B16=D25,B17,IF(B16&lt;D25,(D25-B16)*B20+B17,B19))))</f>
        <v>0.12</v>
      </c>
      <c r="G25" s="23">
        <f>IF(ISERR(F25*E25),IF(D25&gt;B18,G24,""),F25*E25)</f>
        <v>3687655.46839745</v>
      </c>
      <c r="H25" s="22">
        <f>IF(ISERR(G25-G17),"",(G25-G17))</f>
        <v>1958135.8354456292</v>
      </c>
      <c r="I25" s="21">
        <f>IF(ISERR(B15*H25),"",((B15*H25)))</f>
        <v>4739228.965875241</v>
      </c>
    </row>
    <row r="26" spans="1:9" ht="12.75">
      <c r="A26" t="s">
        <v>792</v>
      </c>
      <c r="B26" s="26">
        <f>B24/(10^6)</f>
        <v>119.67238552232337</v>
      </c>
      <c r="D26" s="25">
        <v>2017</v>
      </c>
      <c r="E26" s="23">
        <f>IF(D26&lt;=B18,B13*EXP(B14*(D26-D14)),"")</f>
        <v>30977291.936915994</v>
      </c>
      <c r="F26" s="24">
        <f>IF(D26&gt;B18,"",IF(B16&gt;D26,"",IF(B16=D26,B17,IF(B16&lt;D26,(D26-B16)*B20+B17,B19))))</f>
        <v>0.1275</v>
      </c>
      <c r="G26" s="23">
        <f>IF(ISERR(F26*E26),IF(D26&gt;B18,G25,""),F26*E26)</f>
        <v>3949604.7219567895</v>
      </c>
      <c r="H26" s="22">
        <f>IF(ISERR(G26-G17),"",(G26-G17))</f>
        <v>2220085.0890049683</v>
      </c>
      <c r="I26" s="21">
        <f>IF(ISERR(B15*H26),"",((B15*H26)))</f>
        <v>5373218.430541411</v>
      </c>
    </row>
    <row r="27" spans="4:9" ht="12.75">
      <c r="D27" s="25">
        <v>2018</v>
      </c>
      <c r="E27" s="23">
        <f>IF(D27&lt;=B18,B13*EXP(B14*(D27-D14)),"")</f>
        <v>31226104.194444146</v>
      </c>
      <c r="F27" s="24">
        <f>IF(D27&gt;B18,"",IF(B16&gt;D27,"",IF(B16=D27,B17,IF(B16&lt;D27,(D27-B16)*B20+B17,B19))))</f>
        <v>0.135</v>
      </c>
      <c r="G27" s="23">
        <f>IF(ISERR(F27*E27),IF(D27&gt;B18,G26,""),F27*E27)</f>
        <v>4215524.06624996</v>
      </c>
      <c r="H27" s="22">
        <f>IF(ISERR(G27-G17),"",(G27-G17))</f>
        <v>2486004.433298139</v>
      </c>
      <c r="I27" s="21">
        <f>IF(ISERR(B15*H27),"",((B15*H27)))</f>
        <v>6016816.610120173</v>
      </c>
    </row>
    <row r="28" spans="4:9" ht="12.75">
      <c r="D28" s="25">
        <v>2019</v>
      </c>
      <c r="E28" s="23">
        <f>IF(D28&lt;=B18,B13*EXP(B14*(D28-D14)),"")</f>
        <v>31476914.933299273</v>
      </c>
      <c r="F28" s="24">
        <f>IF(D28&gt;B18,"",IF(B16&gt;D28,"",IF(B16=D28,B17,IF(B16&lt;D28,(D28-B16)*B20+B17,B19))))</f>
        <v>0.1425</v>
      </c>
      <c r="G28" s="23">
        <f>IF(ISERR(F28*E28),IF(D28&gt;B18,G27,""),F28*E28)</f>
        <v>4485460.377995146</v>
      </c>
      <c r="H28" s="22">
        <f>IF(ISERR(G28-G17),"",(G28-G17))</f>
        <v>2755940.7450433252</v>
      </c>
      <c r="I28" s="21">
        <f>IF(ISERR(B15*H28),"",((B15*H28)))</f>
        <v>6670136.959202685</v>
      </c>
    </row>
    <row r="29" spans="4:9" ht="12.75">
      <c r="D29" s="25">
        <v>2020</v>
      </c>
      <c r="E29" s="23">
        <f>IF(D29&lt;=B18,B13*EXP(B14*(D29-D14)),"")</f>
        <v>31729740.205454275</v>
      </c>
      <c r="F29" s="24">
        <f>IF(D29&gt;B18,"",IF(B16&gt;D29,"",IF(B16=D29,B17,IF(B16&lt;D29,(D29-B16)*B20+B17,B19))))</f>
        <v>0.15</v>
      </c>
      <c r="G29" s="23">
        <f>IF(ISERR(F29*E29),IF(D29&gt;B18,G28,""),F29*E29)</f>
        <v>4759461.030818141</v>
      </c>
      <c r="H29" s="22">
        <f>IF(ISERR(G29-G17),"",(G29-G17))</f>
        <v>3029941.39786632</v>
      </c>
      <c r="I29" s="21">
        <f>IF(ISERR(B15*H29),"",((B15*H29)))</f>
        <v>7333294.135033615</v>
      </c>
    </row>
    <row r="30" spans="4:9" ht="12.75">
      <c r="D30" s="25">
        <v>2021</v>
      </c>
      <c r="E30" s="23">
        <f>IF(D30&lt;=B18,B13*EXP(B14*(D30-D14)),"")</f>
      </c>
      <c r="F30" s="24">
        <f>IF(D30&gt;B18,"",IF(B16&gt;D30,"",IF(B16=D30,B17,IF(B16&lt;D30,(D30-B16)*B20+B17,B19))))</f>
      </c>
      <c r="G30" s="23">
        <f>IF(ISERR(F30*E30),IF(D30&gt;B18,G29,""),F30*E30)</f>
        <v>4759461.030818141</v>
      </c>
      <c r="H30" s="22">
        <f>IF(ISERR(G30-G17),"",(G30-G17))</f>
        <v>3029941.39786632</v>
      </c>
      <c r="I30" s="21">
        <f>IF(ISERR(B15*H30),"",((B15*H30)))</f>
        <v>7333294.135033615</v>
      </c>
    </row>
    <row r="31" spans="4:9" ht="12.75">
      <c r="D31" s="25">
        <v>2022</v>
      </c>
      <c r="E31" s="23">
        <f>IF(D31&lt;=B18,B13*EXP(B14*(D31-D14)),"")</f>
      </c>
      <c r="F31" s="24">
        <f>IF(D31&gt;B18,"",IF(B16&gt;D31,"",IF(B16=D31,B17,IF(B16&lt;D31,(D31-B16)*B20+B17,B19))))</f>
      </c>
      <c r="G31" s="23">
        <f>IF(ISERR(F31*E31),IF(D31&gt;B18,G30,""),F31*E31)</f>
        <v>4759461.030818141</v>
      </c>
      <c r="H31" s="22">
        <f>IF(ISERR(G31-G17),"",(G31-G17))</f>
        <v>3029941.39786632</v>
      </c>
      <c r="I31" s="21">
        <f>IF(ISERR(B15*H31),"",((B15*H31)))</f>
        <v>7333294.135033615</v>
      </c>
    </row>
    <row r="32" spans="4:9" ht="12.75">
      <c r="D32" s="25">
        <v>2023</v>
      </c>
      <c r="E32" s="23">
        <f>IF(D32&lt;=B18,B13*EXP(B14*(D32-D14)),"")</f>
      </c>
      <c r="F32" s="24">
        <f>IF(D32&gt;B18,"",IF(B16&gt;D32,"",IF(B16=D32,B17,IF(B16&lt;D32,(D32-B16)*B20+B17,B19))))</f>
      </c>
      <c r="G32" s="23">
        <f>IF(ISERR(F32*E32),IF(D32&gt;B18,G31,""),F32*E32)</f>
        <v>4759461.030818141</v>
      </c>
      <c r="H32" s="22">
        <f>IF(ISERR(G32-G17),"",(G32-G17))</f>
        <v>3029941.39786632</v>
      </c>
      <c r="I32" s="21">
        <f>IF(ISERR(B15*H32),"",((B15*H32)))</f>
        <v>7333294.135033615</v>
      </c>
    </row>
    <row r="33" spans="4:9" ht="12.75">
      <c r="D33" s="25">
        <v>2024</v>
      </c>
      <c r="E33" s="23">
        <f>IF(D33&lt;=B18,B13*EXP(B14*(D33-D14)),"")</f>
      </c>
      <c r="F33" s="24">
        <f>IF(D33&gt;B18,"",IF(B16&gt;D33,"",IF(B16=D33,B17,IF(B16&lt;D33,(D33-B16)*B20+B17,B19))))</f>
      </c>
      <c r="G33" s="23">
        <f>IF(ISERR(F33*E33),IF(D33&gt;B18,G32,""),F33*E33)</f>
        <v>4759461.030818141</v>
      </c>
      <c r="H33" s="22">
        <f>IF(ISERR(G33-G17),"",(G33-G17))</f>
        <v>3029941.39786632</v>
      </c>
      <c r="I33" s="21">
        <f>IF(ISERR(B15*H33),"",((B15*H33)))</f>
        <v>7333294.135033615</v>
      </c>
    </row>
    <row r="34" spans="4:9" ht="12.75">
      <c r="D34" s="25">
        <v>2025</v>
      </c>
      <c r="E34" s="23">
        <f>IF(D34&lt;=B18,B13*EXP(B14*(D34-D14)),"")</f>
      </c>
      <c r="F34" s="24">
        <f>IF(D34&gt;B18,"",IF(B16&gt;D34,"",IF(B16=D34,B17,IF(B16&lt;D34,(D34-B16)*B20+B17,B19))))</f>
      </c>
      <c r="G34" s="23">
        <f>IF(ISERR(F34*E34),IF(D34&gt;B18,G33,""),F34*E34)</f>
        <v>4759461.030818141</v>
      </c>
      <c r="H34" s="22">
        <f>IF(ISERR(G34-G17),"",(G34-G17))</f>
        <v>3029941.39786632</v>
      </c>
      <c r="I34" s="21">
        <f>IF(ISERR(B15*H34),"",((B15*H34)))</f>
        <v>7333294.135033615</v>
      </c>
    </row>
    <row r="35" spans="4:9" ht="12.75">
      <c r="D35" s="25">
        <v>2026</v>
      </c>
      <c r="E35" s="23">
        <f>IF(D35&lt;=B18,B13*EXP(B14*(D35-D14)),"")</f>
      </c>
      <c r="F35" s="24">
        <f>IF(D35&gt;B18,"",IF(B16&gt;D35,"",IF(B16=D35,B17,IF(B16&lt;D35,(D35-B16)*B20+B17,B19))))</f>
      </c>
      <c r="G35" s="23">
        <f>IF(ISERR(F35*E35),IF(D35&gt;B18,G34,""),F35*E35)</f>
        <v>4759461.030818141</v>
      </c>
      <c r="H35" s="22">
        <f>IF(ISERR(G35-G17),"",(G35-G17))</f>
        <v>3029941.39786632</v>
      </c>
      <c r="I35" s="21">
        <f>IF(ISERR(B15*H35),"",((B15*H35)))</f>
        <v>7333294.135033615</v>
      </c>
    </row>
    <row r="36" spans="4:9" ht="12.75">
      <c r="D36" s="25">
        <v>2027</v>
      </c>
      <c r="E36" s="23">
        <f>IF(D36&lt;=B18,B13*EXP(B14*(D36-D14)),"")</f>
      </c>
      <c r="F36" s="24">
        <f>IF(D36&gt;B18,"",IF(B16&gt;D36,"",IF(B16=D36,B17,IF(B16&lt;D36,(D36-B16)*B20+B17,B19))))</f>
      </c>
      <c r="G36" s="23">
        <f>IF(ISERR(F36*E36),IF(D36&gt;B18,G35,""),F36*E36)</f>
        <v>4759461.030818141</v>
      </c>
      <c r="H36" s="22">
        <f>IF(ISERR(G36-G17),"",(G36-G17))</f>
        <v>3029941.39786632</v>
      </c>
      <c r="I36" s="21">
        <f>IF(ISERR(B15*H36),"",((B15*H36)))</f>
        <v>7333294.135033615</v>
      </c>
    </row>
    <row r="37" spans="4:9" ht="12.75">
      <c r="D37" s="25">
        <v>2028</v>
      </c>
      <c r="E37" s="23">
        <f>IF(D37&lt;=B18,B13*EXP(B14*(D37-D14)),"")</f>
      </c>
      <c r="F37" s="24">
        <f>IF(D37&gt;B18,"",IF(B16&gt;D37,"",IF(B16=D37,B17,IF(B16&lt;D37,(D37-B16)*B20+B17,B19))))</f>
      </c>
      <c r="G37" s="23">
        <f>IF(ISERR(F37*E37),IF(D37&gt;B18,G36,""),F37*E37)</f>
        <v>4759461.030818141</v>
      </c>
      <c r="H37" s="22">
        <f>IF(ISERR(G37-G17),"",(G37-G17))</f>
        <v>3029941.39786632</v>
      </c>
      <c r="I37" s="21">
        <f>IF(ISERR(B15*H37),"",((B15*H37)))</f>
        <v>7333294.135033615</v>
      </c>
    </row>
    <row r="38" spans="4:9" ht="12.75">
      <c r="D38" s="25">
        <v>2029</v>
      </c>
      <c r="E38" s="23">
        <f>IF(D38&lt;=B18,B13*EXP(B14*(D38-D14)),"")</f>
      </c>
      <c r="F38" s="24">
        <f>IF(D38&gt;B18,"",IF(B16&gt;D38,"",IF(B16=D38,B17,IF(B16&lt;D38,(D38-B16)*B20+B17,B19))))</f>
      </c>
      <c r="G38" s="23">
        <f>IF(ISERR(F38*E38),IF(D38&gt;B18,G37,""),F38*E38)</f>
        <v>4759461.030818141</v>
      </c>
      <c r="H38" s="22">
        <f>IF(ISERR(G38-G17),"",(G38-G17))</f>
        <v>3029941.39786632</v>
      </c>
      <c r="I38" s="21">
        <f>IF(ISERR(B15*H38),"",((B15*H38)))</f>
        <v>7333294.135033615</v>
      </c>
    </row>
    <row r="39" spans="4:9" ht="13.5" thickBot="1">
      <c r="D39" s="20">
        <v>2030</v>
      </c>
      <c r="E39" s="18">
        <f>IF(D39&lt;=B18,B13*EXP(B14*(D39-D14)),"")</f>
      </c>
      <c r="F39" s="19">
        <f>IF(D39&gt;B18,"",IF(B16&gt;D39,"",IF(B16=D39,B17,IF(B16&lt;D39,(D39-B16)*B20+B17,B19))))</f>
      </c>
      <c r="G39" s="18">
        <f>IF(ISERR(F39*E39),IF(D39&gt;B18,G38,""),F39*E39)</f>
        <v>4759461.030818141</v>
      </c>
      <c r="H39" s="17">
        <f>IF(ISERR(G39-G17),"",(G39-G17))</f>
        <v>3029941.39786632</v>
      </c>
      <c r="I39" s="16">
        <f>IF(ISERR(B15*H39),"",((B15*H39)))</f>
        <v>7333294.135033615</v>
      </c>
    </row>
    <row r="41" spans="1:9" ht="12.75">
      <c r="A41" s="466" t="s">
        <v>651</v>
      </c>
      <c r="B41" s="467"/>
      <c r="C41" s="467"/>
      <c r="D41" s="467"/>
      <c r="E41" s="467"/>
      <c r="F41" s="467"/>
      <c r="G41" s="467"/>
      <c r="H41" s="467"/>
      <c r="I41" s="477"/>
    </row>
    <row r="42" spans="1:9" ht="33" customHeight="1">
      <c r="A42" s="468" t="s">
        <v>131</v>
      </c>
      <c r="B42" s="469"/>
      <c r="C42" s="469"/>
      <c r="D42" s="469"/>
      <c r="E42" s="469"/>
      <c r="F42" s="469"/>
      <c r="G42" s="469"/>
      <c r="H42" s="469"/>
      <c r="I42" s="478"/>
    </row>
    <row r="43" spans="1:9" ht="33" customHeight="1">
      <c r="A43" s="409" t="s">
        <v>766</v>
      </c>
      <c r="B43" s="53"/>
      <c r="C43" s="53"/>
      <c r="D43" s="53"/>
      <c r="E43" s="53"/>
      <c r="F43" s="53"/>
      <c r="G43" s="53"/>
      <c r="H43" s="53"/>
      <c r="I43" s="76"/>
    </row>
    <row r="44" spans="1:9" ht="33.75" customHeight="1">
      <c r="A44" s="470" t="s">
        <v>765</v>
      </c>
      <c r="B44" s="469"/>
      <c r="C44" s="469"/>
      <c r="D44" s="469"/>
      <c r="E44" s="469"/>
      <c r="F44" s="469"/>
      <c r="G44" s="469"/>
      <c r="H44" s="469"/>
      <c r="I44" s="478"/>
    </row>
    <row r="45" spans="1:9" ht="19.5" customHeight="1">
      <c r="A45" s="526"/>
      <c r="B45" s="474"/>
      <c r="C45" s="474"/>
      <c r="D45" s="474"/>
      <c r="E45" s="474"/>
      <c r="F45" s="474"/>
      <c r="G45" s="474"/>
      <c r="H45" s="474"/>
      <c r="I45" s="480"/>
    </row>
    <row r="47" spans="1:7" ht="12.75">
      <c r="A47" t="s">
        <v>997</v>
      </c>
      <c r="D47" t="s">
        <v>764</v>
      </c>
      <c r="E47" s="62"/>
      <c r="F47" s="62"/>
      <c r="G47" s="62"/>
    </row>
    <row r="48" spans="2:7" ht="38.25">
      <c r="B48" s="208" t="s">
        <v>181</v>
      </c>
      <c r="C48" s="208" t="s">
        <v>180</v>
      </c>
      <c r="D48" s="208" t="s">
        <v>179</v>
      </c>
      <c r="E48" s="207" t="s">
        <v>178</v>
      </c>
      <c r="F48" s="62"/>
      <c r="G48" s="62"/>
    </row>
    <row r="49" spans="2:7" ht="13.5" thickBot="1">
      <c r="B49" s="208">
        <v>0.831</v>
      </c>
      <c r="C49" s="208">
        <v>20940850.674</v>
      </c>
      <c r="D49" s="208">
        <f>50.96*10^6</f>
        <v>50960000</v>
      </c>
      <c r="E49" s="207">
        <f>D49/C49</f>
        <v>2.4335210060626404</v>
      </c>
      <c r="F49" s="62"/>
      <c r="G49" s="62"/>
    </row>
    <row r="50" spans="1:8" ht="38.25">
      <c r="A50" t="s">
        <v>743</v>
      </c>
      <c r="B50" t="s">
        <v>177</v>
      </c>
      <c r="D50" s="46" t="s">
        <v>932</v>
      </c>
      <c r="E50" s="45" t="s">
        <v>176</v>
      </c>
      <c r="F50" s="45" t="s">
        <v>175</v>
      </c>
      <c r="G50" s="45" t="s">
        <v>115</v>
      </c>
      <c r="H50" s="44" t="s">
        <v>528</v>
      </c>
    </row>
    <row r="51" spans="1:8" ht="67.5" customHeight="1" thickBot="1">
      <c r="A51" t="s">
        <v>114</v>
      </c>
      <c r="B51" s="37">
        <f>C49</f>
        <v>20940850.674</v>
      </c>
      <c r="D51" s="43"/>
      <c r="E51" s="206" t="s">
        <v>245</v>
      </c>
      <c r="F51" s="205" t="s">
        <v>207</v>
      </c>
      <c r="G51" s="41" t="s">
        <v>206</v>
      </c>
      <c r="H51" s="40" t="s">
        <v>205</v>
      </c>
    </row>
    <row r="52" spans="1:8" ht="13.5" thickTop="1">
      <c r="A52" t="s">
        <v>260</v>
      </c>
      <c r="B52" s="31">
        <v>0.008</v>
      </c>
      <c r="C52" s="30"/>
      <c r="D52" s="25">
        <v>2005</v>
      </c>
      <c r="E52" s="23">
        <f>B51*EXP(B52*(D52-D52))</f>
        <v>20940850.674</v>
      </c>
      <c r="F52" s="23">
        <f>B51*EXP(B52*(D52-D52))</f>
        <v>20940850.674</v>
      </c>
      <c r="G52" s="23">
        <f aca="true" t="shared" si="0" ref="G52:G72">E52-F52</f>
        <v>0</v>
      </c>
      <c r="H52" s="38"/>
    </row>
    <row r="53" spans="1:8" ht="12.75">
      <c r="A53" s="204" t="s">
        <v>641</v>
      </c>
      <c r="B53" s="31">
        <f>(0-15)/(2025-2007)/100</f>
        <v>-0.008333333333333333</v>
      </c>
      <c r="D53" s="25">
        <v>2006</v>
      </c>
      <c r="E53" s="23">
        <f>B51*EXP(B52*(D53-D52))</f>
        <v>21109049.37714579</v>
      </c>
      <c r="F53" s="23">
        <f>B51*EXP(B52*(D53-D52))</f>
        <v>21109049.37714579</v>
      </c>
      <c r="G53" s="23">
        <f t="shared" si="0"/>
        <v>0</v>
      </c>
      <c r="H53" s="34"/>
    </row>
    <row r="54" spans="1:8" ht="12.75">
      <c r="A54" t="s">
        <v>640</v>
      </c>
      <c r="B54" s="203">
        <v>2.4335210060626404</v>
      </c>
      <c r="D54" s="25">
        <v>2007</v>
      </c>
      <c r="E54" s="23">
        <f>B51*EXP(B52*(D54-D52))</f>
        <v>21278599.066656955</v>
      </c>
      <c r="F54" s="23">
        <f>B51*EXP(B52*(D54-D52))</f>
        <v>21278599.066656955</v>
      </c>
      <c r="G54" s="23">
        <f t="shared" si="0"/>
        <v>0</v>
      </c>
      <c r="H54" s="34"/>
    </row>
    <row r="55" spans="1:8" s="33" customFormat="1" ht="12.75">
      <c r="A55"/>
      <c r="B55"/>
      <c r="C55" s="35"/>
      <c r="D55" s="25">
        <v>2008</v>
      </c>
      <c r="E55" s="23">
        <f>B51*EXP(B52*(D55-D52))</f>
        <v>21449510.593771495</v>
      </c>
      <c r="F55" s="23">
        <f>F54*EXP(B53*(D55-D54))</f>
        <v>21102014.19994808</v>
      </c>
      <c r="G55" s="23">
        <f t="shared" si="0"/>
        <v>347496.39382341504</v>
      </c>
      <c r="H55" s="34"/>
    </row>
    <row r="56" spans="3:8" ht="12.75">
      <c r="C56" s="30"/>
      <c r="D56" s="25">
        <v>2009</v>
      </c>
      <c r="E56" s="23">
        <f>B51*EXP(B52*(D56-D52))</f>
        <v>21621794.896885484</v>
      </c>
      <c r="F56" s="23">
        <f>F54*EXP(B53*(D56-D54))</f>
        <v>20926894.759372428</v>
      </c>
      <c r="G56" s="22">
        <f t="shared" si="0"/>
        <v>694900.1375130564</v>
      </c>
      <c r="H56" s="21">
        <f>G56*B54</f>
        <v>1691054.0817538402</v>
      </c>
    </row>
    <row r="57" spans="1:8" ht="12.75">
      <c r="A57" t="s">
        <v>854</v>
      </c>
      <c r="B57" s="32">
        <v>2025</v>
      </c>
      <c r="C57" s="30"/>
      <c r="D57" s="25">
        <v>2010</v>
      </c>
      <c r="E57" s="23">
        <f>B51*EXP(B52*(D57-D52))</f>
        <v>21795463.002253134</v>
      </c>
      <c r="F57" s="23">
        <f>F54*EXP(B53*(D57-D54))</f>
        <v>20753228.583787356</v>
      </c>
      <c r="G57" s="22">
        <f t="shared" si="0"/>
        <v>1042234.4184657782</v>
      </c>
      <c r="H57" s="21">
        <f>G57*B54</f>
        <v>2536299.3505779514</v>
      </c>
    </row>
    <row r="58" spans="4:8" ht="12.75">
      <c r="D58" s="25">
        <v>2011</v>
      </c>
      <c r="E58" s="23">
        <f>B51*EXP(B52*(D58-D52))</f>
        <v>21970526.02469246</v>
      </c>
      <c r="F58" s="23">
        <f>F54*EXP(B53*(D58-D54))</f>
        <v>20581003.61297199</v>
      </c>
      <c r="G58" s="22">
        <f t="shared" si="0"/>
        <v>1389522.4117204696</v>
      </c>
      <c r="H58" s="21">
        <f>G58*B54</f>
        <v>3381431.9773165835</v>
      </c>
    </row>
    <row r="59" spans="4:8" ht="12.75">
      <c r="D59" s="25">
        <v>2012</v>
      </c>
      <c r="E59" s="23">
        <f>B51*EXP(B52*(D59-D52))</f>
        <v>22146995.168296654</v>
      </c>
      <c r="F59" s="23">
        <f>F54*EXP(B53*(D59-D54))</f>
        <v>20410207.8867897</v>
      </c>
      <c r="G59" s="22">
        <f t="shared" si="0"/>
        <v>1736787.2815069556</v>
      </c>
      <c r="H59" s="21">
        <f>G59*B54</f>
        <v>4226508.332609605</v>
      </c>
    </row>
    <row r="60" spans="4:8" ht="12.75">
      <c r="D60" s="25">
        <v>2013</v>
      </c>
      <c r="E60" s="23">
        <f>B51*EXP(B52*(D60-D52))</f>
        <v>22324881.72715114</v>
      </c>
      <c r="F60" s="23">
        <f>F54*EXP(B53*(D60-D54))</f>
        <v>20240829.544357527</v>
      </c>
      <c r="G60" s="22">
        <f t="shared" si="0"/>
        <v>2084052.1827936135</v>
      </c>
      <c r="H60" s="21">
        <f>G60*B54</f>
        <v>5071584.764558956</v>
      </c>
    </row>
    <row r="61" spans="1:8" ht="12.75">
      <c r="A61" t="s">
        <v>41</v>
      </c>
      <c r="B61" s="27">
        <f>VLOOKUP(B57,D52:H77,5,FALSE)</f>
        <v>15233004.29355674</v>
      </c>
      <c r="D61" s="25">
        <v>2014</v>
      </c>
      <c r="E61" s="23">
        <f>B51*EXP(B52*(D61-D52))</f>
        <v>22504197.08605641</v>
      </c>
      <c r="F61" s="23">
        <f>F54*EXP(B53*(D61-D54))</f>
        <v>20072856.823222507</v>
      </c>
      <c r="G61" s="22">
        <f t="shared" si="0"/>
        <v>2431340.2628339045</v>
      </c>
      <c r="H61" s="21">
        <f>G61*B54</f>
        <v>5916717.602492168</v>
      </c>
    </row>
    <row r="62" spans="1:8" ht="12.75">
      <c r="A62" t="s">
        <v>914</v>
      </c>
      <c r="B62" s="27">
        <f>SUM(H56:H77)</f>
        <v>219923769.9916469</v>
      </c>
      <c r="D62" s="25">
        <v>2015</v>
      </c>
      <c r="E62" s="23">
        <f>B51*EXP(B52*(D62-D52))</f>
        <v>22684952.72125664</v>
      </c>
      <c r="F62" s="23">
        <f>F54*EXP(B53*(D62-D54))</f>
        <v>19906278.058544844</v>
      </c>
      <c r="G62" s="22">
        <f t="shared" si="0"/>
        <v>2778674.6627117954</v>
      </c>
      <c r="H62" s="21">
        <f>G62*B54</f>
        <v>6761963.160723177</v>
      </c>
    </row>
    <row r="63" spans="1:8" ht="12.75">
      <c r="A63" t="s">
        <v>1068</v>
      </c>
      <c r="B63" s="26">
        <f>B61/(10^6)</f>
        <v>15.233004293556741</v>
      </c>
      <c r="D63" s="25">
        <v>2016</v>
      </c>
      <c r="E63" s="23">
        <f>B51*EXP(B52*(D63-D52))</f>
        <v>22867160.201174174</v>
      </c>
      <c r="F63" s="23">
        <f>F54*EXP(B53*(D63-D54))</f>
        <v>19741081.682287812</v>
      </c>
      <c r="G63" s="22">
        <f t="shared" si="0"/>
        <v>3126078.5188863613</v>
      </c>
      <c r="H63" s="21">
        <f>G63*B54</f>
        <v>7607377.742311147</v>
      </c>
    </row>
    <row r="64" spans="1:8" ht="12.75">
      <c r="A64" t="s">
        <v>1067</v>
      </c>
      <c r="B64" s="26">
        <f>B62/(10^6)</f>
        <v>219.92376999164688</v>
      </c>
      <c r="D64" s="25">
        <v>2017</v>
      </c>
      <c r="E64" s="23">
        <f>B51*EXP(B52*(D64-D52))</f>
        <v>23050831.18714992</v>
      </c>
      <c r="F64" s="23">
        <f>F54*EXP(B53*(D64-D54))</f>
        <v>19577256.222414464</v>
      </c>
      <c r="G64" s="22">
        <f t="shared" si="0"/>
        <v>3473574.964735456</v>
      </c>
      <c r="H64" s="21">
        <f>G64*B54</f>
        <v>8453017.642817028</v>
      </c>
    </row>
    <row r="65" spans="4:8" ht="12.75">
      <c r="D65" s="25">
        <v>2018</v>
      </c>
      <c r="E65" s="23">
        <f>B51*EXP(B52*(D65-D52))</f>
        <v>23235977.43418968</v>
      </c>
      <c r="F65" s="23">
        <f>F54*EXP(B53*(D65-D54))</f>
        <v>19414790.3020909</v>
      </c>
      <c r="G65" s="22">
        <f t="shared" si="0"/>
        <v>3821187.132098783</v>
      </c>
      <c r="H65" s="21">
        <f>G65*B54</f>
        <v>9298939.154058646</v>
      </c>
    </row>
    <row r="66" spans="4:8" ht="12.75">
      <c r="D66" s="25">
        <v>2019</v>
      </c>
      <c r="E66" s="23">
        <f>B51*EXP(B52*(D66-D52))</f>
        <v>23422610.79171646</v>
      </c>
      <c r="F66" s="23">
        <f>F54*EXP(B53*(D66-D54))</f>
        <v>19253672.638896257</v>
      </c>
      <c r="G66" s="22">
        <f t="shared" si="0"/>
        <v>4168938.1528202035</v>
      </c>
      <c r="H66" s="21">
        <f>G66*B54</f>
        <v>10145198.567863947</v>
      </c>
    </row>
    <row r="67" spans="4:8" ht="12.75">
      <c r="D67" s="25">
        <v>2020</v>
      </c>
      <c r="E67" s="23">
        <f>B51*EXP(B52*(D67-D52))</f>
        <v>23610743.204328846</v>
      </c>
      <c r="F67" s="23">
        <f>F54*EXP(B53*(D67-D54))</f>
        <v>19093892.04403918</v>
      </c>
      <c r="G67" s="22">
        <f t="shared" si="0"/>
        <v>4516851.160289668</v>
      </c>
      <c r="H67" s="21">
        <f>G67*B54</f>
        <v>10991852.179823317</v>
      </c>
    </row>
    <row r="68" spans="4:8" ht="12.75">
      <c r="D68" s="25">
        <v>2021</v>
      </c>
      <c r="E68" s="23">
        <f>B51*EXP(B52*(D68-D52))</f>
        <v>23800386.712565456</v>
      </c>
      <c r="F68" s="23">
        <f>F54*EXP(B53*(D68-D54))</f>
        <v>18935437.421580803</v>
      </c>
      <c r="G68" s="22">
        <f t="shared" si="0"/>
        <v>4864949.290984653</v>
      </c>
      <c r="H68" s="21">
        <f>G68*B54</f>
        <v>11838956.293040702</v>
      </c>
    </row>
    <row r="69" spans="4:8" ht="12.75">
      <c r="D69" s="25">
        <v>2022</v>
      </c>
      <c r="E69" s="23">
        <f>B51*EXP(B52*(D69-D52))</f>
        <v>23991553.453675557</v>
      </c>
      <c r="F69" s="23">
        <f>F54*EXP(B53*(D69-D54))</f>
        <v>18778297.767664228</v>
      </c>
      <c r="G69" s="22">
        <f t="shared" si="0"/>
        <v>5213255.686011329</v>
      </c>
      <c r="H69" s="21">
        <f>G69*B54</f>
        <v>12686567.22188407</v>
      </c>
    </row>
    <row r="70" spans="4:8" ht="12.75">
      <c r="D70" s="25">
        <v>2023</v>
      </c>
      <c r="E70" s="23">
        <f>B51*EXP(B52*(D70-D52))</f>
        <v>24184255.662395827</v>
      </c>
      <c r="F70" s="23">
        <f>F54*EXP(B53*(D70-D54))</f>
        <v>18622462.169750333</v>
      </c>
      <c r="G70" s="22">
        <f t="shared" si="0"/>
        <v>5561793.492645495</v>
      </c>
      <c r="H70" s="21">
        <f>G70*B54</f>
        <v>13534741.29573531</v>
      </c>
    </row>
    <row r="71" spans="4:8" ht="12.75">
      <c r="D71" s="25">
        <v>2024</v>
      </c>
      <c r="E71" s="23">
        <f>B51*EXP(B52*(D71-D52))</f>
        <v>24378505.671733398</v>
      </c>
      <c r="F71" s="23">
        <f>F54*EXP(B53*(D71-D54))</f>
        <v>18467919.80585997</v>
      </c>
      <c r="G71" s="22">
        <f t="shared" si="0"/>
        <v>5910585.865873426</v>
      </c>
      <c r="H71" s="21">
        <f>G71*B54</f>
        <v>14383534.862739922</v>
      </c>
    </row>
    <row r="72" spans="4:8" ht="12.75">
      <c r="D72" s="25">
        <v>2025</v>
      </c>
      <c r="E72" s="23">
        <f>B51*EXP(B52*(D72-D52))</f>
        <v>24574315.913755175</v>
      </c>
      <c r="F72" s="23">
        <f>F54*EXP(B53*(D72-D54))</f>
        <v>18314659.943822432</v>
      </c>
      <c r="G72" s="22">
        <f t="shared" si="0"/>
        <v>6259655.969932742</v>
      </c>
      <c r="H72" s="21">
        <f>G72*B54</f>
        <v>15233004.29355674</v>
      </c>
    </row>
    <row r="73" spans="4:8" ht="12.75">
      <c r="D73" s="25">
        <v>2026</v>
      </c>
      <c r="E73" s="23">
        <f>IF(D73&lt;=B57,B51*EXP(B52*(D73-D52)),"")</f>
      </c>
      <c r="F73" s="24">
        <f>IF(D73&gt;B57,"",IF(B55&gt;D73,"",IF(B55=D73,B56,IF(B55&lt;D73,(D73-B55)*B59+B56,B58))))</f>
      </c>
      <c r="G73" s="22">
        <f>IF(ISERR(F73*E73),IF(D73&gt;B57,G72,""),F73*E73)</f>
        <v>6259655.969932742</v>
      </c>
      <c r="H73" s="21">
        <f>G73*B54</f>
        <v>15233004.29355674</v>
      </c>
    </row>
    <row r="74" spans="4:8" ht="12.75">
      <c r="D74" s="25">
        <v>2027</v>
      </c>
      <c r="E74" s="23">
        <f>IF(D74&lt;=B57,B51*EXP(B52*(D74-D52)),"")</f>
      </c>
      <c r="F74" s="24">
        <f>IF(D74&gt;B57,"",IF(B55&gt;D74,"",IF(B55=D74,B56,IF(B55&lt;D74,(D74-B55)*B59+B56,B58))))</f>
      </c>
      <c r="G74" s="22">
        <f>IF(ISERR(F74*E74),IF(D74&gt;B57,G73,""),F74*E74)</f>
        <v>6259655.969932742</v>
      </c>
      <c r="H74" s="21">
        <f>G74*B54</f>
        <v>15233004.29355674</v>
      </c>
    </row>
    <row r="75" spans="4:8" ht="12.75">
      <c r="D75" s="25">
        <v>2028</v>
      </c>
      <c r="E75" s="23">
        <f>IF(D75&lt;=B57,B51*EXP(B52*(D75-D52)),"")</f>
      </c>
      <c r="F75" s="24">
        <f>IF(D75&gt;B57,"",IF(B55&gt;D75,"",IF(B55=D75,B56,IF(B55&lt;D75,(D75-B55)*B59+B56,B58))))</f>
      </c>
      <c r="G75" s="22">
        <f>IF(ISERR(F75*E75),IF(D75&gt;B57,G74,""),F75*E75)</f>
        <v>6259655.969932742</v>
      </c>
      <c r="H75" s="21">
        <f>G75*B54</f>
        <v>15233004.29355674</v>
      </c>
    </row>
    <row r="76" spans="4:8" ht="12.75">
      <c r="D76" s="25">
        <v>2029</v>
      </c>
      <c r="E76" s="23">
        <f>IF(D76&lt;=B57,B51*EXP(B52*(D76-D52)),"")</f>
      </c>
      <c r="F76" s="24">
        <f>IF(D76&gt;B57,"",IF(B55&gt;D76,"",IF(B55=D76,B56,IF(B55&lt;D76,(D76-B55)*B59+B56,B58))))</f>
      </c>
      <c r="G76" s="22">
        <f>IF(ISERR(F76*E76),IF(D76&gt;B57,G75,""),F76*E76)</f>
        <v>6259655.969932742</v>
      </c>
      <c r="H76" s="21">
        <f>G76*B54</f>
        <v>15233004.29355674</v>
      </c>
    </row>
    <row r="77" spans="4:8" ht="13.5" thickBot="1">
      <c r="D77" s="20">
        <v>2030</v>
      </c>
      <c r="E77" s="18">
        <f>IF(D77&lt;=B57,B51*EXP(B52*(D77-D52)),"")</f>
      </c>
      <c r="F77" s="19">
        <f>IF(D77&gt;B57,"",IF(B55&gt;D77,"",IF(B55=D77,B56,IF(B55&lt;D77,(D77-B55)*B59+B56,B58))))</f>
      </c>
      <c r="G77" s="17">
        <f>IF(ISERR(F77*E77),IF(D77&gt;B57,G76,""),F77*E77)</f>
        <v>6259655.969932742</v>
      </c>
      <c r="H77" s="16">
        <f>G77*B54</f>
        <v>15233004.29355674</v>
      </c>
    </row>
    <row r="80" spans="1:12" ht="15.75" customHeight="1">
      <c r="A80" s="466" t="s">
        <v>639</v>
      </c>
      <c r="B80" s="461"/>
      <c r="C80" s="461"/>
      <c r="D80" s="461"/>
      <c r="E80" s="461"/>
      <c r="F80" s="461"/>
      <c r="G80" s="461"/>
      <c r="H80" s="461"/>
      <c r="I80" s="529"/>
      <c r="J80" s="440"/>
      <c r="K80" s="440"/>
      <c r="L80" s="440"/>
    </row>
    <row r="81" spans="1:12" ht="45.75" customHeight="1">
      <c r="A81" s="468" t="s">
        <v>768</v>
      </c>
      <c r="B81" s="463"/>
      <c r="C81" s="463"/>
      <c r="D81" s="463"/>
      <c r="E81" s="463"/>
      <c r="F81" s="463"/>
      <c r="G81" s="463"/>
      <c r="H81" s="463"/>
      <c r="I81" s="450"/>
      <c r="J81" s="440"/>
      <c r="K81" s="440"/>
      <c r="L81" s="440"/>
    </row>
    <row r="82" spans="1:12" ht="32.25" customHeight="1">
      <c r="A82" s="470" t="s">
        <v>99</v>
      </c>
      <c r="B82" s="446"/>
      <c r="C82" s="446"/>
      <c r="D82" s="446"/>
      <c r="E82" s="446"/>
      <c r="F82" s="446"/>
      <c r="G82" s="446"/>
      <c r="H82" s="446"/>
      <c r="I82" s="451"/>
      <c r="J82" s="438"/>
      <c r="K82" s="438"/>
      <c r="L82" s="438"/>
    </row>
    <row r="83" spans="1:12" ht="24.75" customHeight="1">
      <c r="A83" s="473" t="s">
        <v>638</v>
      </c>
      <c r="B83" s="445"/>
      <c r="C83" s="445"/>
      <c r="D83" s="445"/>
      <c r="E83" s="445"/>
      <c r="F83" s="445"/>
      <c r="G83" s="445"/>
      <c r="H83" s="445"/>
      <c r="I83" s="528"/>
      <c r="J83" s="98"/>
      <c r="K83" s="98"/>
      <c r="L83" s="98"/>
    </row>
    <row r="84" ht="13.5" thickBot="1">
      <c r="A84" s="15"/>
    </row>
    <row r="85" spans="1:7" ht="48" customHeight="1" thickBot="1">
      <c r="A85" s="15"/>
      <c r="B85" s="333" t="s">
        <v>575</v>
      </c>
      <c r="C85" s="334" t="s">
        <v>502</v>
      </c>
      <c r="G85" s="194"/>
    </row>
    <row r="86" spans="1:7" ht="13.5" thickTop="1">
      <c r="A86" s="15"/>
      <c r="B86" s="189">
        <f>B87-1</f>
        <v>2005</v>
      </c>
      <c r="C86" s="193"/>
      <c r="G86" s="63"/>
    </row>
    <row r="87" spans="1:7" ht="12.75">
      <c r="A87" s="15"/>
      <c r="B87" s="189">
        <f>B88-1</f>
        <v>2006</v>
      </c>
      <c r="C87" s="193"/>
      <c r="G87" s="63"/>
    </row>
    <row r="88" spans="1:7" ht="12.75">
      <c r="A88" s="15"/>
      <c r="B88" s="189">
        <f>B89-1</f>
        <v>2007</v>
      </c>
      <c r="C88" s="192"/>
      <c r="G88" s="63"/>
    </row>
    <row r="89" spans="1:7" ht="12.75">
      <c r="A89" s="15"/>
      <c r="B89" s="189">
        <v>2008</v>
      </c>
      <c r="C89" s="191">
        <v>0</v>
      </c>
      <c r="G89" s="63"/>
    </row>
    <row r="90" spans="1:7" ht="12.75">
      <c r="A90" s="15"/>
      <c r="B90" s="189">
        <f aca="true" t="shared" si="1" ref="B90:B111">B89+1</f>
        <v>2009</v>
      </c>
      <c r="C90" s="188">
        <f>((C101-C89)/12)+C89</f>
        <v>5.3500000000000005</v>
      </c>
      <c r="G90" s="63"/>
    </row>
    <row r="91" spans="1:7" ht="12.75">
      <c r="A91" s="15"/>
      <c r="B91" s="189">
        <f t="shared" si="1"/>
        <v>2010</v>
      </c>
      <c r="C91" s="188">
        <f>((C101-C89)/12)+C90</f>
        <v>10.700000000000001</v>
      </c>
      <c r="G91" s="63"/>
    </row>
    <row r="92" spans="1:7" ht="12.75">
      <c r="A92" s="15"/>
      <c r="B92" s="189">
        <f t="shared" si="1"/>
        <v>2011</v>
      </c>
      <c r="C92" s="188">
        <f>((C101-C89)/12)+C91</f>
        <v>16.05</v>
      </c>
      <c r="G92" s="63"/>
    </row>
    <row r="93" spans="1:7" ht="12.75">
      <c r="A93" s="15"/>
      <c r="B93" s="189">
        <f t="shared" si="1"/>
        <v>2012</v>
      </c>
      <c r="C93" s="188">
        <f>((C101-C89)/12)+C92</f>
        <v>21.400000000000002</v>
      </c>
      <c r="G93" s="63"/>
    </row>
    <row r="94" spans="1:7" ht="12.75">
      <c r="A94" s="15"/>
      <c r="B94" s="189">
        <f t="shared" si="1"/>
        <v>2013</v>
      </c>
      <c r="C94" s="188">
        <f>((C101-C89)/12)+C93</f>
        <v>26.750000000000004</v>
      </c>
      <c r="G94" s="63"/>
    </row>
    <row r="95" spans="1:7" ht="12.75" customHeight="1">
      <c r="A95" s="15"/>
      <c r="B95" s="189">
        <f t="shared" si="1"/>
        <v>2014</v>
      </c>
      <c r="C95" s="188">
        <f>((C101-C89)/12)+C94</f>
        <v>32.1</v>
      </c>
      <c r="G95" s="63"/>
    </row>
    <row r="96" spans="1:7" s="74" customFormat="1" ht="12.75" customHeight="1">
      <c r="A96" s="81"/>
      <c r="B96" s="190">
        <f t="shared" si="1"/>
        <v>2015</v>
      </c>
      <c r="C96" s="188">
        <f>((C101-C89)/12)+C95</f>
        <v>37.45</v>
      </c>
      <c r="D96"/>
      <c r="E96"/>
      <c r="G96" s="71"/>
    </row>
    <row r="97" spans="1:7" ht="12.75" customHeight="1">
      <c r="A97" s="15"/>
      <c r="B97" s="189">
        <f t="shared" si="1"/>
        <v>2016</v>
      </c>
      <c r="C97" s="188">
        <f>((C101-C89)/12)+C96</f>
        <v>42.800000000000004</v>
      </c>
      <c r="G97" s="63"/>
    </row>
    <row r="98" spans="1:7" ht="12.75" customHeight="1">
      <c r="A98" s="15"/>
      <c r="B98" s="189">
        <f t="shared" si="1"/>
        <v>2017</v>
      </c>
      <c r="C98" s="188">
        <f>((C101-C89)/12)+C97</f>
        <v>48.150000000000006</v>
      </c>
      <c r="G98" s="63"/>
    </row>
    <row r="99" spans="1:7" ht="12.75">
      <c r="A99" s="15"/>
      <c r="B99" s="189">
        <f t="shared" si="1"/>
        <v>2018</v>
      </c>
      <c r="C99" s="188">
        <f>((C101-C89)/12)+C98</f>
        <v>53.50000000000001</v>
      </c>
      <c r="G99" s="63"/>
    </row>
    <row r="100" spans="1:7" ht="12.75">
      <c r="A100" s="15"/>
      <c r="B100" s="189">
        <f t="shared" si="1"/>
        <v>2019</v>
      </c>
      <c r="C100" s="188">
        <f>((C101-C89)/12)+C99</f>
        <v>58.85000000000001</v>
      </c>
      <c r="G100" s="63"/>
    </row>
    <row r="101" spans="1:7" s="74" customFormat="1" ht="12.75">
      <c r="A101" s="81"/>
      <c r="B101" s="190">
        <f t="shared" si="1"/>
        <v>2020</v>
      </c>
      <c r="C101" s="191">
        <v>64.2</v>
      </c>
      <c r="D101"/>
      <c r="E101"/>
      <c r="G101" s="71"/>
    </row>
    <row r="102" spans="1:7" ht="12.75">
      <c r="A102" s="15"/>
      <c r="B102" s="189">
        <f t="shared" si="1"/>
        <v>2021</v>
      </c>
      <c r="C102" s="191">
        <v>64.2</v>
      </c>
      <c r="G102" s="63"/>
    </row>
    <row r="103" spans="1:7" ht="12.75">
      <c r="A103" s="15"/>
      <c r="B103" s="189">
        <f t="shared" si="1"/>
        <v>2022</v>
      </c>
      <c r="C103" s="191">
        <v>64.2</v>
      </c>
      <c r="G103" s="63"/>
    </row>
    <row r="104" spans="1:7" ht="12.75">
      <c r="A104" s="15"/>
      <c r="B104" s="189">
        <f t="shared" si="1"/>
        <v>2023</v>
      </c>
      <c r="C104" s="191">
        <v>64.2</v>
      </c>
      <c r="G104" s="63"/>
    </row>
    <row r="105" spans="1:7" ht="12.75">
      <c r="A105" s="15"/>
      <c r="B105" s="189">
        <f t="shared" si="1"/>
        <v>2024</v>
      </c>
      <c r="C105" s="191">
        <v>64.2</v>
      </c>
      <c r="G105" s="63"/>
    </row>
    <row r="106" spans="1:7" ht="12.75">
      <c r="A106" s="15"/>
      <c r="B106" s="189">
        <f t="shared" si="1"/>
        <v>2025</v>
      </c>
      <c r="C106" s="191">
        <v>64.2</v>
      </c>
      <c r="G106" s="63"/>
    </row>
    <row r="107" spans="1:7" ht="12.75">
      <c r="A107" s="15"/>
      <c r="B107" s="189">
        <f t="shared" si="1"/>
        <v>2026</v>
      </c>
      <c r="C107" s="191">
        <v>64.2</v>
      </c>
      <c r="G107" s="63"/>
    </row>
    <row r="108" spans="1:7" ht="12.75">
      <c r="A108" s="15"/>
      <c r="B108" s="189">
        <f t="shared" si="1"/>
        <v>2027</v>
      </c>
      <c r="C108" s="191">
        <v>64.2</v>
      </c>
      <c r="G108" s="63"/>
    </row>
    <row r="109" spans="1:7" ht="12.75">
      <c r="A109" s="15"/>
      <c r="B109" s="189">
        <f t="shared" si="1"/>
        <v>2028</v>
      </c>
      <c r="C109" s="191">
        <v>64.2</v>
      </c>
      <c r="G109" s="63"/>
    </row>
    <row r="110" spans="1:7" ht="12.75">
      <c r="A110" s="15"/>
      <c r="B110" s="189">
        <f t="shared" si="1"/>
        <v>2029</v>
      </c>
      <c r="C110" s="191">
        <v>64.2</v>
      </c>
      <c r="G110" s="63"/>
    </row>
    <row r="111" spans="1:7" ht="13.5" thickBot="1">
      <c r="A111" s="15"/>
      <c r="B111" s="187">
        <f t="shared" si="1"/>
        <v>2030</v>
      </c>
      <c r="C111" s="202">
        <v>64.2</v>
      </c>
      <c r="G111" s="63"/>
    </row>
    <row r="112" spans="1:11" ht="12.75">
      <c r="A112" s="15"/>
      <c r="K112" s="63"/>
    </row>
    <row r="113" spans="1:6" ht="12.75">
      <c r="A113" s="458" t="s">
        <v>578</v>
      </c>
      <c r="B113" s="516"/>
      <c r="C113" s="516"/>
      <c r="D113" s="516"/>
      <c r="E113" s="517"/>
      <c r="F113" s="185">
        <f>C101</f>
        <v>64.2</v>
      </c>
    </row>
    <row r="114" spans="1:12" ht="12.75">
      <c r="A114" s="458" t="s">
        <v>582</v>
      </c>
      <c r="B114" s="516"/>
      <c r="C114" s="516"/>
      <c r="D114" s="516"/>
      <c r="E114" s="517"/>
      <c r="F114" s="181">
        <f>SUM(C89:C111)</f>
        <v>1059.3000000000004</v>
      </c>
      <c r="J114" s="71"/>
      <c r="K114" s="71"/>
      <c r="L114" s="71"/>
    </row>
    <row r="117" spans="1:9" s="73" customFormat="1" ht="12" customHeight="1">
      <c r="A117" s="481" t="s">
        <v>637</v>
      </c>
      <c r="B117" s="518"/>
      <c r="C117" s="518"/>
      <c r="D117" s="518"/>
      <c r="E117" s="518"/>
      <c r="F117" s="518"/>
      <c r="G117" s="518"/>
      <c r="H117" s="518"/>
      <c r="I117" s="519"/>
    </row>
    <row r="118" spans="1:9" s="74" customFormat="1" ht="19.5" customHeight="1">
      <c r="A118" s="488" t="s">
        <v>636</v>
      </c>
      <c r="B118" s="469"/>
      <c r="C118" s="469"/>
      <c r="D118" s="469"/>
      <c r="E118" s="469"/>
      <c r="F118" s="469"/>
      <c r="G118" s="469"/>
      <c r="H118" s="469"/>
      <c r="I118" s="478"/>
    </row>
    <row r="119" spans="1:9" s="74" customFormat="1" ht="19.5" customHeight="1">
      <c r="A119" s="410" t="s">
        <v>143</v>
      </c>
      <c r="B119" s="53"/>
      <c r="C119" s="53"/>
      <c r="D119" s="53"/>
      <c r="E119" s="53"/>
      <c r="F119" s="53"/>
      <c r="G119" s="53"/>
      <c r="H119" s="53"/>
      <c r="I119" s="76"/>
    </row>
    <row r="120" spans="1:9" s="73" customFormat="1" ht="12.75">
      <c r="A120" s="472" t="s">
        <v>142</v>
      </c>
      <c r="B120" s="527"/>
      <c r="C120" s="527"/>
      <c r="D120" s="527"/>
      <c r="E120" s="527"/>
      <c r="F120" s="527"/>
      <c r="G120" s="527"/>
      <c r="H120" s="527"/>
      <c r="I120" s="522"/>
    </row>
    <row r="121" spans="1:9" ht="12" customHeight="1">
      <c r="A121" s="201"/>
      <c r="B121" s="59"/>
      <c r="C121" s="59"/>
      <c r="D121" s="59"/>
      <c r="E121" s="59"/>
      <c r="F121" s="59"/>
      <c r="G121" s="59"/>
      <c r="H121" s="59"/>
      <c r="I121" s="72"/>
    </row>
    <row r="122" ht="15.75" customHeight="1" thickBot="1">
      <c r="A122" s="15"/>
    </row>
    <row r="123" spans="1:3" ht="54" customHeight="1" thickBot="1">
      <c r="A123" s="15"/>
      <c r="B123" s="333" t="s">
        <v>575</v>
      </c>
      <c r="C123" s="335" t="s">
        <v>502</v>
      </c>
    </row>
    <row r="124" spans="1:3" ht="13.5" thickTop="1">
      <c r="A124" s="15"/>
      <c r="B124" s="190">
        <v>2005</v>
      </c>
      <c r="C124" s="200"/>
    </row>
    <row r="125" spans="1:3" ht="12.75">
      <c r="A125" s="15"/>
      <c r="B125" s="190">
        <v>2006</v>
      </c>
      <c r="C125" s="200"/>
    </row>
    <row r="126" spans="1:3" ht="12.75">
      <c r="A126" s="15"/>
      <c r="B126" s="190">
        <v>2007</v>
      </c>
      <c r="C126" s="200"/>
    </row>
    <row r="127" spans="1:3" ht="12.75">
      <c r="A127" s="15"/>
      <c r="B127" s="190">
        <v>2008</v>
      </c>
      <c r="C127" s="200"/>
    </row>
    <row r="128" spans="1:3" ht="12.75">
      <c r="A128" s="15"/>
      <c r="B128" s="190">
        <v>2009</v>
      </c>
      <c r="C128" s="199">
        <f>C131*0.25</f>
        <v>0.02057461</v>
      </c>
    </row>
    <row r="129" spans="1:3" ht="12.75">
      <c r="A129" s="15"/>
      <c r="B129" s="190">
        <v>2010</v>
      </c>
      <c r="C129" s="199">
        <f>C131*0.5</f>
        <v>0.04114922</v>
      </c>
    </row>
    <row r="130" spans="1:3" ht="12.75">
      <c r="A130" s="15"/>
      <c r="B130" s="190">
        <v>2011</v>
      </c>
      <c r="C130" s="199">
        <f>C131*0.75</f>
        <v>0.06172383</v>
      </c>
    </row>
    <row r="131" spans="1:3" ht="12.75">
      <c r="A131" s="15"/>
      <c r="B131" s="190">
        <v>2012</v>
      </c>
      <c r="C131" s="199">
        <f>82298.44/1000000</f>
        <v>0.08229844</v>
      </c>
    </row>
    <row r="132" spans="1:3" ht="12.75">
      <c r="A132" s="15"/>
      <c r="B132" s="190">
        <v>2013</v>
      </c>
      <c r="C132" s="199">
        <v>0.08229844</v>
      </c>
    </row>
    <row r="133" spans="1:3" ht="12.75">
      <c r="A133" s="15"/>
      <c r="B133" s="190">
        <v>2014</v>
      </c>
      <c r="C133" s="199">
        <v>0.08229844</v>
      </c>
    </row>
    <row r="134" spans="1:3" ht="12.75">
      <c r="A134" s="15"/>
      <c r="B134" s="189">
        <v>2015</v>
      </c>
      <c r="C134" s="199">
        <v>0.08229844</v>
      </c>
    </row>
    <row r="135" spans="1:3" ht="12.75">
      <c r="A135" s="15"/>
      <c r="B135" s="189">
        <v>2016</v>
      </c>
      <c r="C135" s="199">
        <v>0.08229844</v>
      </c>
    </row>
    <row r="136" spans="1:3" ht="12.75">
      <c r="A136" s="15"/>
      <c r="B136" s="189">
        <v>2017</v>
      </c>
      <c r="C136" s="199">
        <v>0.08229844</v>
      </c>
    </row>
    <row r="137" spans="1:3" ht="12.75">
      <c r="A137" s="15"/>
      <c r="B137" s="189">
        <v>2018</v>
      </c>
      <c r="C137" s="199">
        <v>0.08229844</v>
      </c>
    </row>
    <row r="138" spans="1:3" ht="12.75">
      <c r="A138" s="15"/>
      <c r="B138" s="189">
        <v>2019</v>
      </c>
      <c r="C138" s="199">
        <v>0.08229844</v>
      </c>
    </row>
    <row r="139" spans="1:3" ht="12.75">
      <c r="A139" s="15"/>
      <c r="B139" s="190">
        <v>2020</v>
      </c>
      <c r="C139" s="199">
        <v>0.08229844</v>
      </c>
    </row>
    <row r="140" spans="1:3" ht="12.75">
      <c r="A140" s="15"/>
      <c r="B140" s="189">
        <v>2021</v>
      </c>
      <c r="C140" s="199">
        <v>0.08229844</v>
      </c>
    </row>
    <row r="141" spans="1:3" ht="12.75">
      <c r="A141" s="15"/>
      <c r="B141" s="189">
        <v>2022</v>
      </c>
      <c r="C141" s="199">
        <v>0.08229844</v>
      </c>
    </row>
    <row r="142" spans="1:3" ht="12.75">
      <c r="A142" s="15"/>
      <c r="B142" s="189">
        <v>2023</v>
      </c>
      <c r="C142" s="199">
        <v>0.08229844</v>
      </c>
    </row>
    <row r="143" spans="1:3" ht="12.75">
      <c r="A143" s="15"/>
      <c r="B143" s="189">
        <v>2024</v>
      </c>
      <c r="C143" s="199">
        <v>0.08229844</v>
      </c>
    </row>
    <row r="144" spans="1:3" ht="12.75">
      <c r="A144" s="15"/>
      <c r="B144" s="189">
        <v>2025</v>
      </c>
      <c r="C144" s="199">
        <v>0.08229844</v>
      </c>
    </row>
    <row r="145" spans="1:3" ht="12.75">
      <c r="A145" s="15"/>
      <c r="B145" s="189">
        <v>2026</v>
      </c>
      <c r="C145" s="199">
        <v>0.08229844</v>
      </c>
    </row>
    <row r="146" spans="1:3" ht="12.75">
      <c r="A146" s="15"/>
      <c r="B146" s="189">
        <v>2027</v>
      </c>
      <c r="C146" s="199">
        <v>0.08229844</v>
      </c>
    </row>
    <row r="147" spans="1:3" ht="12.75">
      <c r="A147" s="15"/>
      <c r="B147" s="189">
        <v>2028</v>
      </c>
      <c r="C147" s="199">
        <v>0.08229844</v>
      </c>
    </row>
    <row r="148" spans="1:3" ht="12.75">
      <c r="A148" s="15"/>
      <c r="B148" s="189">
        <v>2029</v>
      </c>
      <c r="C148" s="199">
        <v>0.08229844</v>
      </c>
    </row>
    <row r="149" spans="1:3" ht="13.5" thickBot="1">
      <c r="A149" s="15"/>
      <c r="B149" s="187">
        <v>2030</v>
      </c>
      <c r="C149" s="198">
        <v>0.08229844</v>
      </c>
    </row>
    <row r="150" ht="12.75">
      <c r="A150" s="15"/>
    </row>
    <row r="151" spans="1:6" ht="12.75">
      <c r="A151" s="458" t="s">
        <v>578</v>
      </c>
      <c r="B151" s="534"/>
      <c r="C151" s="534"/>
      <c r="D151" s="534"/>
      <c r="E151" s="535"/>
      <c r="F151" s="185">
        <f>C131</f>
        <v>0.08229844</v>
      </c>
    </row>
    <row r="152" spans="1:6" ht="12.75">
      <c r="A152" s="458" t="s">
        <v>582</v>
      </c>
      <c r="B152" s="534"/>
      <c r="C152" s="534"/>
      <c r="D152" s="534"/>
      <c r="E152" s="535"/>
      <c r="F152" s="185">
        <f>SUM(C128:C149)</f>
        <v>1.6871180199999996</v>
      </c>
    </row>
    <row r="154" spans="1:9" s="73" customFormat="1" ht="12" customHeight="1">
      <c r="A154" s="197" t="s">
        <v>759</v>
      </c>
      <c r="B154" s="56"/>
      <c r="C154" s="56"/>
      <c r="D154" s="56"/>
      <c r="E154" s="56"/>
      <c r="F154" s="56"/>
      <c r="G154" s="56"/>
      <c r="H154" s="56"/>
      <c r="I154" s="77"/>
    </row>
    <row r="155" spans="1:9" s="74" customFormat="1" ht="19.5" customHeight="1">
      <c r="A155" s="196" t="s">
        <v>597</v>
      </c>
      <c r="B155" s="53"/>
      <c r="C155" s="53"/>
      <c r="D155" s="53"/>
      <c r="E155" s="53"/>
      <c r="F155" s="53"/>
      <c r="G155" s="53"/>
      <c r="H155" s="53"/>
      <c r="I155" s="76"/>
    </row>
    <row r="156" spans="1:9" s="74" customFormat="1" ht="19.5" customHeight="1">
      <c r="A156" s="410" t="s">
        <v>367</v>
      </c>
      <c r="B156" s="53"/>
      <c r="C156" s="53"/>
      <c r="D156" s="53"/>
      <c r="E156" s="53"/>
      <c r="F156" s="53"/>
      <c r="G156" s="53"/>
      <c r="H156" s="53"/>
      <c r="I156" s="76"/>
    </row>
    <row r="157" spans="1:9" s="73" customFormat="1" ht="12.75">
      <c r="A157" s="195" t="s">
        <v>133</v>
      </c>
      <c r="B157" s="59"/>
      <c r="C157" s="59"/>
      <c r="D157" s="59"/>
      <c r="E157" s="59"/>
      <c r="F157" s="59"/>
      <c r="G157" s="59"/>
      <c r="H157" s="59"/>
      <c r="I157" s="72"/>
    </row>
    <row r="158" ht="12.75">
      <c r="A158" s="15"/>
    </row>
    <row r="159" ht="13.5" thickBot="1">
      <c r="A159" s="15"/>
    </row>
    <row r="160" spans="1:9" ht="51">
      <c r="A160" t="s">
        <v>743</v>
      </c>
      <c r="B160" t="s">
        <v>132</v>
      </c>
      <c r="D160" s="46" t="s">
        <v>932</v>
      </c>
      <c r="E160" s="45" t="s">
        <v>931</v>
      </c>
      <c r="F160" s="45" t="s">
        <v>930</v>
      </c>
      <c r="G160" s="45" t="s">
        <v>929</v>
      </c>
      <c r="H160" s="45" t="s">
        <v>1086</v>
      </c>
      <c r="I160" s="44" t="s">
        <v>928</v>
      </c>
    </row>
    <row r="161" spans="1:9" ht="13.5" thickBot="1">
      <c r="A161" t="s">
        <v>927</v>
      </c>
      <c r="B161" s="58">
        <f>2866*10^6</f>
        <v>2866000000</v>
      </c>
      <c r="D161" s="43"/>
      <c r="E161" s="41" t="s">
        <v>863</v>
      </c>
      <c r="F161" s="42" t="s">
        <v>862</v>
      </c>
      <c r="G161" s="41" t="s">
        <v>861</v>
      </c>
      <c r="H161" s="41" t="s">
        <v>860</v>
      </c>
      <c r="I161" s="40" t="s">
        <v>859</v>
      </c>
    </row>
    <row r="162" spans="1:9" ht="13.5" thickTop="1">
      <c r="A162" t="s">
        <v>858</v>
      </c>
      <c r="B162" s="31">
        <v>0.029</v>
      </c>
      <c r="C162" s="30"/>
      <c r="D162" s="25">
        <v>2005</v>
      </c>
      <c r="E162" s="23">
        <f>IF(D162&lt;=B166,B161*EXP(B162*(D162-D162)),"")</f>
        <v>2866000000</v>
      </c>
      <c r="F162" s="24">
        <f>IF(D162&gt;B166,"",IF(B164&gt;D162,"",IF(B164=D162,B165,IF(B164&lt;D162,(D162-B164)*B168+B165,B167))))</f>
      </c>
      <c r="G162" s="23">
        <f>IF(ISERR(F162*E162),IF(D162&gt;B166,G161,""),F162*E162)</f>
      </c>
      <c r="H162" s="39"/>
      <c r="I162" s="38"/>
    </row>
    <row r="163" spans="1:9" ht="12.75">
      <c r="A163" t="s">
        <v>857</v>
      </c>
      <c r="B163" s="32">
        <v>538.7694</v>
      </c>
      <c r="D163" s="25">
        <v>2006</v>
      </c>
      <c r="E163" s="23">
        <f>IF(D163&lt;=B166,B161*EXP(B162*(D163-D162)),"")</f>
        <v>2950330887.7657247</v>
      </c>
      <c r="F163" s="24">
        <f>IF(D163&gt;B166,"",IF(B164&gt;D163,"",IF(B164=D163,B165,IF(B164&lt;D163,(D163-B164)*B168+B165,B167))))</f>
      </c>
      <c r="G163" s="23">
        <f>IF(ISERR(F163*E163),IF(D163&gt;B166,G162,""),F163*E163)</f>
      </c>
      <c r="H163" s="23"/>
      <c r="I163" s="34"/>
    </row>
    <row r="164" spans="1:9" ht="12.75">
      <c r="A164" t="s">
        <v>856</v>
      </c>
      <c r="B164" s="37">
        <v>2008</v>
      </c>
      <c r="D164" s="25">
        <v>2007</v>
      </c>
      <c r="E164" s="23">
        <f>IF(D164&lt;=B166,B161*EXP(B162*(D164-D162)),"")</f>
        <v>3037143177.705684</v>
      </c>
      <c r="F164" s="24">
        <f>IF(D164&gt;B166,"",IF(B164&gt;D164,"",IF(B164=D164,B165,IF(B164&lt;D164,(D164-B164)*B168+B165,B167))))</f>
      </c>
      <c r="G164" s="23">
        <f>IF(ISERR(F164*E164),IF(D164&gt;B166,G163,""),F164*E164)</f>
      </c>
      <c r="H164" s="23"/>
      <c r="I164" s="34"/>
    </row>
    <row r="165" spans="1:9" s="33" customFormat="1" ht="12.75">
      <c r="A165" s="33" t="s">
        <v>855</v>
      </c>
      <c r="B165" s="36">
        <v>0.27</v>
      </c>
      <c r="C165" s="35"/>
      <c r="D165" s="25">
        <v>2008</v>
      </c>
      <c r="E165" s="23">
        <f>IF(D165&lt;=B166,B161*EXP(B162*(D165-D162)),"")</f>
        <v>3126509884.072584</v>
      </c>
      <c r="F165" s="24">
        <f>IF(D165&gt;B166,"",IF(B164&gt;D165,"",IF(B164=D165,B165,IF(B164&lt;D165,(D165-B164)*B168+B165,B167))))</f>
        <v>0.27</v>
      </c>
      <c r="G165" s="23">
        <f>IF(ISERR(F165*E165),IF(D165&gt;B166,G164,""),F165*E165)</f>
        <v>844157668.6995978</v>
      </c>
      <c r="H165" s="23"/>
      <c r="I165" s="34"/>
    </row>
    <row r="166" spans="1:9" ht="12.75">
      <c r="A166" t="s">
        <v>854</v>
      </c>
      <c r="B166" s="32">
        <v>2011</v>
      </c>
      <c r="C166" s="30"/>
      <c r="D166" s="25">
        <v>2009</v>
      </c>
      <c r="E166" s="23">
        <f>IF(D166&lt;=B166,B161*EXP(B162*(D166-D162)),"")</f>
        <v>3218506169.533908</v>
      </c>
      <c r="F166" s="24">
        <f>IF(D166&gt;B166,"",IF(B164&gt;D166,"",IF(B164=D166,B165,IF(B164&lt;D166,(D166-B164)*B168+B165,B167))))</f>
        <v>0.3066666666666667</v>
      </c>
      <c r="G166" s="23">
        <f>IF(ISERR(F166*E166),IF(D166&gt;B166,G165,""),F166*E166)</f>
        <v>987008558.6570652</v>
      </c>
      <c r="H166" s="22">
        <f>IF(ISERR(G166-G165),"",(G166-G165))</f>
        <v>142850889.95746732</v>
      </c>
      <c r="I166" s="21">
        <f>IF(ISERR(B163*H166),"",((B163*H166)))</f>
        <v>76963688271.8507</v>
      </c>
    </row>
    <row r="167" spans="1:9" ht="12.75">
      <c r="A167" t="s">
        <v>921</v>
      </c>
      <c r="B167" s="31">
        <v>0.38</v>
      </c>
      <c r="C167" s="30"/>
      <c r="D167" s="25">
        <v>2010</v>
      </c>
      <c r="E167" s="23">
        <f>IF(D167&lt;=B166,B161*EXP(B162*(D167-D162)),"")</f>
        <v>3313209408.38815</v>
      </c>
      <c r="F167" s="24">
        <f>IF(D167&gt;B166,"",IF(B164&gt;D167,"",IF(B164=D167,B165,IF(B164&lt;D167,(D167-B164)*B168+B165,B167))))</f>
        <v>0.3433333333333333</v>
      </c>
      <c r="G167" s="23">
        <f>IF(ISERR(F167*E167),IF(D167&gt;B166,G166,""),F167*E167)</f>
        <v>1137535230.213265</v>
      </c>
      <c r="H167" s="22">
        <f>IF(ISERR(G167-G165),"",(G167-G165))</f>
        <v>293377561.5136671</v>
      </c>
      <c r="I167" s="21">
        <f>IF(ISERR(B163*H167),"",((B163*H167)))</f>
        <v>158062852790.18152</v>
      </c>
    </row>
    <row r="168" spans="1:9" ht="12.75">
      <c r="A168" s="29" t="s">
        <v>920</v>
      </c>
      <c r="B168" s="28">
        <f>(B167-B165)/(B166-B164)</f>
        <v>0.03666666666666666</v>
      </c>
      <c r="D168" s="25">
        <v>2011</v>
      </c>
      <c r="E168" s="23">
        <f>IF(D168&lt;=B166,B161*EXP(B162*(D168-D162)),"")</f>
        <v>3410699251.6411595</v>
      </c>
      <c r="F168" s="24">
        <f>IF(D168&gt;B166,"",IF(B164&gt;D168,"",IF(B164=D168,B165,IF(B164&lt;D168,(D168-B164)*B168+B165,B167))))</f>
        <v>0.38</v>
      </c>
      <c r="G168" s="23">
        <f>IF(ISERR(F168*E168),IF(D168&gt;B166,G167,""),F168*E168)</f>
        <v>1296065715.6236405</v>
      </c>
      <c r="H168" s="22">
        <f>IF(ISERR(G168-G165),"",(G168-G165))</f>
        <v>451908046.9240427</v>
      </c>
      <c r="I168" s="21">
        <f>IF(ISERR(B163*H168),"",((B163*H168)))</f>
        <v>243474227296.43835</v>
      </c>
    </row>
    <row r="169" spans="4:9" ht="12.75">
      <c r="D169" s="25">
        <v>2012</v>
      </c>
      <c r="E169" s="23">
        <f>IF(D169&lt;=B166,B161*EXP(B162*(D169-D162)),"")</f>
      </c>
      <c r="F169" s="24">
        <f>IF(D169&gt;B166,"",IF(B164&gt;D169,"",IF(B164=D169,B165,IF(B164&lt;D169,(D169-B164)*B168+B165,B167))))</f>
      </c>
      <c r="G169" s="23">
        <f>IF(ISERR(F169*E169),IF(D169&gt;B166,G168,""),F169*E169)</f>
        <v>1296065715.6236405</v>
      </c>
      <c r="H169" s="22">
        <f>IF(ISERR(G169-G165),"",(G169-G165))</f>
        <v>451908046.9240427</v>
      </c>
      <c r="I169" s="21">
        <f>IF(ISERR(B163*H169),"",((B163*H169)))</f>
        <v>243474227296.43835</v>
      </c>
    </row>
    <row r="170" spans="4:9" ht="12.75">
      <c r="D170" s="25">
        <v>2013</v>
      </c>
      <c r="E170" s="23">
        <f>IF(D170&lt;=B166,B161*EXP(B162*(D170-D162)),"")</f>
      </c>
      <c r="F170" s="24">
        <f>IF(D170&gt;B166,"",IF(B164&gt;D170,"",IF(B164=D170,B165,IF(B164&lt;D170,(D170-B164)*B168+B165,B167))))</f>
      </c>
      <c r="G170" s="23">
        <f>IF(ISERR(F170*E170),IF(D170&gt;B166,G169,""),F170*E170)</f>
        <v>1296065715.6236405</v>
      </c>
      <c r="H170" s="22">
        <f>IF(ISERR(G170-G165),"",(G170-G165))</f>
        <v>451908046.9240427</v>
      </c>
      <c r="I170" s="21">
        <f>IF(ISERR(B163*H170),"",((B163*H170)))</f>
        <v>243474227296.43835</v>
      </c>
    </row>
    <row r="171" spans="1:9" ht="12.75">
      <c r="A171" t="s">
        <v>915</v>
      </c>
      <c r="B171" s="27">
        <f>VLOOKUP(B166,D162:I187,6,FALSE)</f>
        <v>243474227296.43835</v>
      </c>
      <c r="D171" s="25">
        <v>2014</v>
      </c>
      <c r="E171" s="23">
        <f>IF(D171&lt;=B166,B161*EXP(B162*(D171-D162)),"")</f>
      </c>
      <c r="F171" s="24">
        <f>IF(D171&gt;B166,"",IF(B164&gt;D171,"",IF(B164=D171,B165,IF(B164&lt;D171,(D171-B164)*B168+B165,B167))))</f>
      </c>
      <c r="G171" s="23">
        <f>IF(ISERR(F171*E171),IF(D171&gt;B166,G170,""),F171*E171)</f>
        <v>1296065715.6236405</v>
      </c>
      <c r="H171" s="22">
        <f>IF(ISERR(G171-G165),"",(G171-G165))</f>
        <v>451908046.9240427</v>
      </c>
      <c r="I171" s="21">
        <f>IF(ISERR(B163*H171),"",((B163*H171)))</f>
        <v>243474227296.43835</v>
      </c>
    </row>
    <row r="172" spans="1:9" ht="12.75">
      <c r="A172" t="s">
        <v>914</v>
      </c>
      <c r="B172" s="27">
        <f>SUM(I166:I187)</f>
        <v>5104511086990.801</v>
      </c>
      <c r="D172" s="25">
        <v>2015</v>
      </c>
      <c r="E172" s="23">
        <f>IF(D172&lt;=B166,B161*EXP(B162*(D172-D162)),"")</f>
      </c>
      <c r="F172" s="24">
        <f>IF(D172&gt;B166,"",IF(B164&gt;D172,"",IF(B164=D172,B165,IF(B164&lt;D172,(D172-B164)*B168+B165,B167))))</f>
      </c>
      <c r="G172" s="23">
        <f>IF(ISERR(F172*E172),IF(D172&gt;B166,G171,""),F172*E172)</f>
        <v>1296065715.6236405</v>
      </c>
      <c r="H172" s="22">
        <f>IF(ISERR(G172-G165),"",(G172-G165))</f>
        <v>451908046.9240427</v>
      </c>
      <c r="I172" s="21">
        <f>IF(ISERR(B163*H172),"",((B163*H172)))</f>
        <v>243474227296.43835</v>
      </c>
    </row>
    <row r="173" spans="1:9" ht="12.75">
      <c r="A173" t="s">
        <v>1068</v>
      </c>
      <c r="B173" s="26">
        <f>B171/(10^12)</f>
        <v>0.24347422729643836</v>
      </c>
      <c r="D173" s="25">
        <v>2016</v>
      </c>
      <c r="E173" s="23">
        <f>IF(D173&lt;=B166,B161*EXP(B162*(D173-D162)),"")</f>
      </c>
      <c r="F173" s="24">
        <f>IF(D173&gt;B166,"",IF(B164&gt;D173,"",IF(B164=D173,B165,IF(B164&lt;D173,(D173-B164)*B168+B165,B167))))</f>
      </c>
      <c r="G173" s="23">
        <f>IF(ISERR(F173*E173),IF(D173&gt;B166,G172,""),F173*E173)</f>
        <v>1296065715.6236405</v>
      </c>
      <c r="H173" s="22">
        <f>IF(ISERR(G173-G165),"",(G173-G165))</f>
        <v>451908046.9240427</v>
      </c>
      <c r="I173" s="21">
        <f>IF(ISERR(B163*H173),"",((B163*H173)))</f>
        <v>243474227296.43835</v>
      </c>
    </row>
    <row r="174" spans="1:9" ht="12.75">
      <c r="A174" t="s">
        <v>1067</v>
      </c>
      <c r="B174" s="26">
        <f>B172/(10^12)</f>
        <v>5.104511086990801</v>
      </c>
      <c r="D174" s="25">
        <v>2017</v>
      </c>
      <c r="E174" s="23">
        <f>IF(D174&lt;=B166,B161*EXP(B162*(D174-D162)),"")</f>
      </c>
      <c r="F174" s="24">
        <f>IF(D174&gt;B166,"",IF(B164&gt;D174,"",IF(B164=D174,B165,IF(B164&lt;D174,(D174-B164)*B168+B165,B167))))</f>
      </c>
      <c r="G174" s="23">
        <f>IF(ISERR(F174*E174),IF(D174&gt;B166,G173,""),F174*E174)</f>
        <v>1296065715.6236405</v>
      </c>
      <c r="H174" s="22">
        <f>IF(ISERR(G174-G165),"",(G174-G165))</f>
        <v>451908046.9240427</v>
      </c>
      <c r="I174" s="21">
        <f>IF(ISERR(B163*H174),"",((B163*H174)))</f>
        <v>243474227296.43835</v>
      </c>
    </row>
    <row r="175" spans="4:9" ht="12.75">
      <c r="D175" s="25">
        <v>2018</v>
      </c>
      <c r="E175" s="23">
        <f>IF(D175&lt;=B166,B161*EXP(B162*(D175-D162)),"")</f>
      </c>
      <c r="F175" s="24">
        <f>IF(D175&gt;B166,"",IF(B164&gt;D175,"",IF(B164=D175,B165,IF(B164&lt;D175,(D175-B164)*B168+B165,B167))))</f>
      </c>
      <c r="G175" s="23">
        <f>IF(ISERR(F175*E175),IF(D175&gt;B166,G174,""),F175*E175)</f>
        <v>1296065715.6236405</v>
      </c>
      <c r="H175" s="22">
        <f>IF(ISERR(G175-G165),"",(G175-G165))</f>
        <v>451908046.9240427</v>
      </c>
      <c r="I175" s="21">
        <f>IF(ISERR(B163*H175),"",((B163*H175)))</f>
        <v>243474227296.43835</v>
      </c>
    </row>
    <row r="176" spans="4:9" ht="12.75">
      <c r="D176" s="25">
        <v>2019</v>
      </c>
      <c r="E176" s="23">
        <f>IF(D176&lt;=B166,B161*EXP(B162*(D176-D162)),"")</f>
      </c>
      <c r="F176" s="24">
        <f>IF(D176&gt;B166,"",IF(B164&gt;D176,"",IF(B164=D176,B165,IF(B164&lt;D176,(D176-B164)*B168+B165,B167))))</f>
      </c>
      <c r="G176" s="23">
        <f>IF(ISERR(F176*E176),IF(D176&gt;B166,G175,""),F176*E176)</f>
        <v>1296065715.6236405</v>
      </c>
      <c r="H176" s="22">
        <f>IF(ISERR(G176-G165),"",(G176-G165))</f>
        <v>451908046.9240427</v>
      </c>
      <c r="I176" s="21">
        <f>IF(ISERR(B163*H176),"",((B163*H176)))</f>
        <v>243474227296.43835</v>
      </c>
    </row>
    <row r="177" spans="4:9" ht="12.75">
      <c r="D177" s="25">
        <v>2020</v>
      </c>
      <c r="E177" s="23">
        <f>IF(D177&lt;=B166,B161*EXP(B162*(D177-D162)),"")</f>
      </c>
      <c r="F177" s="24">
        <f>IF(D177&gt;B166,"",IF(B164&gt;D177,"",IF(B164=D177,B165,IF(B164&lt;D177,(D177-B164)*B168+B165,B167))))</f>
      </c>
      <c r="G177" s="23">
        <f>IF(ISERR(F177*E177),IF(D177&gt;B166,G176,""),F177*E177)</f>
        <v>1296065715.6236405</v>
      </c>
      <c r="H177" s="22">
        <f>IF(ISERR(G177-G165),"",(G177-G165))</f>
        <v>451908046.9240427</v>
      </c>
      <c r="I177" s="21">
        <f>IF(ISERR(B163*H177),"",((B163*H177)))</f>
        <v>243474227296.43835</v>
      </c>
    </row>
    <row r="178" spans="4:9" ht="12.75">
      <c r="D178" s="25">
        <v>2021</v>
      </c>
      <c r="E178" s="23">
        <f>IF(D178&lt;=B166,B161*EXP(B162*(D178-D162)),"")</f>
      </c>
      <c r="F178" s="24">
        <f>IF(D178&gt;B166,"",IF(B164&gt;D178,"",IF(B164=D178,B165,IF(B164&lt;D178,(D178-B164)*B168+B165,B167))))</f>
      </c>
      <c r="G178" s="23">
        <f>IF(ISERR(F178*E178),IF(D178&gt;B166,G177,""),F178*E178)</f>
        <v>1296065715.6236405</v>
      </c>
      <c r="H178" s="22">
        <f>IF(ISERR(G178-G165),"",(G178-G165))</f>
        <v>451908046.9240427</v>
      </c>
      <c r="I178" s="21">
        <f>IF(ISERR(B163*H178),"",((B163*H178)))</f>
        <v>243474227296.43835</v>
      </c>
    </row>
    <row r="179" spans="4:9" ht="12.75">
      <c r="D179" s="25">
        <v>2022</v>
      </c>
      <c r="E179" s="23">
        <f>IF(D179&lt;=B166,B161*EXP(B162*(D179-D162)),"")</f>
      </c>
      <c r="F179" s="24">
        <f>IF(D179&gt;B166,"",IF(B164&gt;D179,"",IF(B164=D179,B165,IF(B164&lt;D179,(D179-B164)*B168+B165,B167))))</f>
      </c>
      <c r="G179" s="23">
        <f>IF(ISERR(F179*E179),IF(D179&gt;B166,G178,""),F179*E179)</f>
        <v>1296065715.6236405</v>
      </c>
      <c r="H179" s="22">
        <f>IF(ISERR(G179-G165),"",(G179-G165))</f>
        <v>451908046.9240427</v>
      </c>
      <c r="I179" s="21">
        <f>IF(ISERR(B163*H179),"",((B163*H179)))</f>
        <v>243474227296.43835</v>
      </c>
    </row>
    <row r="180" spans="4:9" ht="12.75">
      <c r="D180" s="25">
        <v>2023</v>
      </c>
      <c r="E180" s="23">
        <f>IF(D180&lt;=B166,B161*EXP(B162*(D180-D162)),"")</f>
      </c>
      <c r="F180" s="24">
        <f>IF(D180&gt;B166,"",IF(B164&gt;D180,"",IF(B164=D180,B165,IF(B164&lt;D180,(D180-B164)*B168+B165,B167))))</f>
      </c>
      <c r="G180" s="23">
        <f>IF(ISERR(F180*E180),IF(D180&gt;B166,G179,""),F180*E180)</f>
        <v>1296065715.6236405</v>
      </c>
      <c r="H180" s="22">
        <f>IF(ISERR(G180-G165),"",(G180-G165))</f>
        <v>451908046.9240427</v>
      </c>
      <c r="I180" s="21">
        <f>IF(ISERR(B163*H180),"",((B163*H180)))</f>
        <v>243474227296.43835</v>
      </c>
    </row>
    <row r="181" spans="4:9" ht="12.75">
      <c r="D181" s="25">
        <v>2024</v>
      </c>
      <c r="E181" s="23">
        <f>IF(D181&lt;=B166,B161*EXP(B162*(D181-D162)),"")</f>
      </c>
      <c r="F181" s="24">
        <f>IF(D181&gt;B166,"",IF(B164&gt;D181,"",IF(B164=D181,B165,IF(B164&lt;D181,(D181-B164)*B168+B165,B167))))</f>
      </c>
      <c r="G181" s="23">
        <f>IF(ISERR(F181*E181),IF(D181&gt;B166,G180,""),F181*E181)</f>
        <v>1296065715.6236405</v>
      </c>
      <c r="H181" s="22">
        <f>IF(ISERR(G181-G165),"",(G181-G165))</f>
        <v>451908046.9240427</v>
      </c>
      <c r="I181" s="21">
        <f>IF(ISERR(B163*H181),"",((B163*H181)))</f>
        <v>243474227296.43835</v>
      </c>
    </row>
    <row r="182" spans="4:9" ht="12.75">
      <c r="D182" s="25">
        <v>2025</v>
      </c>
      <c r="E182" s="23">
        <f>IF(D182&lt;=B166,B161*EXP(B162*(D182-D162)),"")</f>
      </c>
      <c r="F182" s="24">
        <f>IF(D182&gt;B166,"",IF(B164&gt;D182,"",IF(B164=D182,B165,IF(B164&lt;D182,(D182-B164)*B168+B165,B167))))</f>
      </c>
      <c r="G182" s="23">
        <f>IF(ISERR(F182*E182),IF(D182&gt;B166,G181,""),F182*E182)</f>
        <v>1296065715.6236405</v>
      </c>
      <c r="H182" s="22">
        <f>IF(ISERR(G182-G165),"",(G182-G165))</f>
        <v>451908046.9240427</v>
      </c>
      <c r="I182" s="21">
        <f>IF(ISERR(B163*H182),"",((B163*H182)))</f>
        <v>243474227296.43835</v>
      </c>
    </row>
    <row r="183" spans="4:9" ht="12.75">
      <c r="D183" s="25">
        <v>2026</v>
      </c>
      <c r="E183" s="23">
        <f>IF(D183&lt;=B166,B161*EXP(B162*(D183-D162)),"")</f>
      </c>
      <c r="F183" s="24">
        <f>IF(D183&gt;B166,"",IF(B164&gt;D183,"",IF(B164=D183,B165,IF(B164&lt;D183,(D183-B164)*B168+B165,B167))))</f>
      </c>
      <c r="G183" s="23">
        <f>IF(ISERR(F183*E183),IF(D183&gt;B166,G182,""),F183*E183)</f>
        <v>1296065715.6236405</v>
      </c>
      <c r="H183" s="22">
        <f>IF(ISERR(G183-G165),"",(G183-G165))</f>
        <v>451908046.9240427</v>
      </c>
      <c r="I183" s="21">
        <f>IF(ISERR(B163*H183),"",((B163*H183)))</f>
        <v>243474227296.43835</v>
      </c>
    </row>
    <row r="184" spans="4:9" ht="12.75">
      <c r="D184" s="25">
        <v>2027</v>
      </c>
      <c r="E184" s="23">
        <f>IF(D184&lt;=B166,B161*EXP(B162*(D184-D162)),"")</f>
      </c>
      <c r="F184" s="24">
        <f>IF(D184&gt;B166,"",IF(B164&gt;D184,"",IF(B164=D184,B165,IF(B164&lt;D184,(D184-B164)*B168+B165,B167))))</f>
      </c>
      <c r="G184" s="23">
        <f>IF(ISERR(F184*E184),IF(D184&gt;B166,G183,""),F184*E184)</f>
        <v>1296065715.6236405</v>
      </c>
      <c r="H184" s="22">
        <f>IF(ISERR(G184-G165),"",(G184-G165))</f>
        <v>451908046.9240427</v>
      </c>
      <c r="I184" s="21">
        <f>IF(ISERR(B163*H184),"",((B163*H184)))</f>
        <v>243474227296.43835</v>
      </c>
    </row>
    <row r="185" spans="4:9" ht="12.75">
      <c r="D185" s="25">
        <v>2028</v>
      </c>
      <c r="E185" s="23">
        <f>IF(D185&lt;=B166,B161*EXP(B162*(D185-D162)),"")</f>
      </c>
      <c r="F185" s="24">
        <f>IF(D185&gt;B166,"",IF(B164&gt;D185,"",IF(B164=D185,B165,IF(B164&lt;D185,(D185-B164)*B168+B165,B167))))</f>
      </c>
      <c r="G185" s="23">
        <f>IF(ISERR(F185*E185),IF(D185&gt;B166,G184,""),F185*E185)</f>
        <v>1296065715.6236405</v>
      </c>
      <c r="H185" s="22">
        <f>IF(ISERR(G185-G165),"",(G185-G165))</f>
        <v>451908046.9240427</v>
      </c>
      <c r="I185" s="21">
        <f>IF(ISERR(B163*H185),"",((B163*H185)))</f>
        <v>243474227296.43835</v>
      </c>
    </row>
    <row r="186" spans="4:9" ht="12.75">
      <c r="D186" s="25">
        <v>2029</v>
      </c>
      <c r="E186" s="23">
        <f>IF(D186&lt;=B166,B161*EXP(B162*(D186-D162)),"")</f>
      </c>
      <c r="F186" s="24">
        <f>IF(D186&gt;B166,"",IF(B164&gt;D186,"",IF(B164=D186,B165,IF(B164&lt;D186,(D186-B164)*B168+B165,B167))))</f>
      </c>
      <c r="G186" s="23">
        <f>IF(ISERR(F186*E186),IF(D186&gt;B166,G185,""),F186*E186)</f>
        <v>1296065715.6236405</v>
      </c>
      <c r="H186" s="22">
        <f>IF(ISERR(G186-G165),"",(G186-G165))</f>
        <v>451908046.9240427</v>
      </c>
      <c r="I186" s="21">
        <f>IF(ISERR(B163*H186),"",((B163*H186)))</f>
        <v>243474227296.43835</v>
      </c>
    </row>
    <row r="187" spans="4:9" ht="13.5" thickBot="1">
      <c r="D187" s="20">
        <v>2030</v>
      </c>
      <c r="E187" s="18">
        <f>IF(D187&lt;=B166,B161*EXP(B162*(D187-D162)),"")</f>
      </c>
      <c r="F187" s="19">
        <f>IF(D187&gt;B166,"",IF(B164&gt;D187,"",IF(B164=D187,B165,IF(B164&lt;D187,(D187-B164)*B168+B165,B167))))</f>
      </c>
      <c r="G187" s="18">
        <f>IF(ISERR(F187*E187),IF(D187&gt;B166,G186,""),F187*E187)</f>
        <v>1296065715.6236405</v>
      </c>
      <c r="H187" s="17">
        <f>IF(ISERR(G187-G165),"",(G187-G165))</f>
        <v>451908046.9240427</v>
      </c>
      <c r="I187" s="16">
        <f>IF(ISERR(B163*H187),"",((B163*H187)))</f>
        <v>243474227296.43835</v>
      </c>
    </row>
    <row r="188" ht="12.75">
      <c r="A188" s="15"/>
    </row>
    <row r="189" ht="12.75">
      <c r="A189" s="15"/>
    </row>
    <row r="190" ht="12.75">
      <c r="A190" s="15"/>
    </row>
    <row r="191" ht="12.75">
      <c r="A191" s="15"/>
    </row>
    <row r="192" spans="1:9" s="73" customFormat="1" ht="12" customHeight="1">
      <c r="A192" s="197" t="s">
        <v>158</v>
      </c>
      <c r="B192" s="56"/>
      <c r="C192" s="56"/>
      <c r="D192" s="56"/>
      <c r="E192" s="56"/>
      <c r="F192" s="56"/>
      <c r="G192" s="56"/>
      <c r="H192" s="56"/>
      <c r="I192" s="77"/>
    </row>
    <row r="193" spans="1:9" s="74" customFormat="1" ht="19.5" customHeight="1">
      <c r="A193" s="196" t="s">
        <v>650</v>
      </c>
      <c r="B193" s="53"/>
      <c r="C193" s="53"/>
      <c r="D193" s="53"/>
      <c r="E193" s="53"/>
      <c r="F193" s="53"/>
      <c r="G193" s="53"/>
      <c r="H193" s="53"/>
      <c r="I193" s="76"/>
    </row>
    <row r="194" spans="1:9" s="74" customFormat="1" ht="19.5" customHeight="1">
      <c r="A194" s="410" t="s">
        <v>649</v>
      </c>
      <c r="B194" s="53"/>
      <c r="C194" s="53"/>
      <c r="D194" s="53"/>
      <c r="E194" s="53"/>
      <c r="F194" s="53"/>
      <c r="G194" s="53"/>
      <c r="H194" s="53"/>
      <c r="I194" s="76"/>
    </row>
    <row r="195" spans="1:9" s="73" customFormat="1" ht="12.75">
      <c r="A195" s="195" t="s">
        <v>648</v>
      </c>
      <c r="B195" s="59"/>
      <c r="C195" s="59"/>
      <c r="D195" s="59"/>
      <c r="E195" s="59"/>
      <c r="F195" s="59"/>
      <c r="G195" s="59"/>
      <c r="H195" s="59"/>
      <c r="I195" s="72"/>
    </row>
    <row r="196" ht="12.75">
      <c r="A196" s="15"/>
    </row>
    <row r="197" ht="13.5" thickBot="1">
      <c r="A197" s="15"/>
    </row>
    <row r="198" spans="1:9" ht="51">
      <c r="A198" t="s">
        <v>743</v>
      </c>
      <c r="B198" t="s">
        <v>647</v>
      </c>
      <c r="D198" s="46" t="s">
        <v>932</v>
      </c>
      <c r="E198" s="45" t="s">
        <v>931</v>
      </c>
      <c r="F198" s="45" t="s">
        <v>930</v>
      </c>
      <c r="G198" s="45" t="s">
        <v>929</v>
      </c>
      <c r="H198" s="45" t="s">
        <v>1086</v>
      </c>
      <c r="I198" s="44" t="s">
        <v>928</v>
      </c>
    </row>
    <row r="199" spans="1:9" ht="13.5" thickBot="1">
      <c r="A199" t="s">
        <v>927</v>
      </c>
      <c r="B199" s="58">
        <f>251120*10^6</f>
        <v>251120000000</v>
      </c>
      <c r="D199" s="43"/>
      <c r="E199" s="41" t="s">
        <v>863</v>
      </c>
      <c r="F199" s="42" t="s">
        <v>862</v>
      </c>
      <c r="G199" s="41" t="s">
        <v>861</v>
      </c>
      <c r="H199" s="41" t="s">
        <v>860</v>
      </c>
      <c r="I199" s="40" t="s">
        <v>859</v>
      </c>
    </row>
    <row r="200" spans="1:9" ht="13.5" thickTop="1">
      <c r="A200" t="s">
        <v>646</v>
      </c>
      <c r="B200" s="31">
        <v>0.014</v>
      </c>
      <c r="C200" s="30"/>
      <c r="D200" s="25">
        <v>2005</v>
      </c>
      <c r="E200" s="23">
        <f>IF(D200&lt;=B204,B199*EXP(B200*(D200-D200)),"")</f>
        <v>251120000000</v>
      </c>
      <c r="F200" s="24">
        <f>IF(D200&gt;B204,"",IF(B202&gt;D200,"",IF(B202=D200,B203,IF(B202&lt;D200,(D200-B202)*B206+B203,B205))))</f>
        <v>0.07489646384198789</v>
      </c>
      <c r="G200" s="23">
        <f>IF(ISERR(F200*E200),IF(D200&gt;B204,G199,""),F200*E200)</f>
        <v>18808000000</v>
      </c>
      <c r="H200" s="39"/>
      <c r="I200" s="38"/>
    </row>
    <row r="201" spans="1:9" ht="12.75">
      <c r="A201" t="s">
        <v>857</v>
      </c>
      <c r="B201" s="32">
        <v>873.31</v>
      </c>
      <c r="D201" s="25">
        <v>2006</v>
      </c>
      <c r="E201" s="23">
        <f>IF(D201&lt;=B204,B199*EXP(B200*(D201-D200)),"")</f>
        <v>254660405008.6342</v>
      </c>
      <c r="F201" s="24">
        <f>IF(D201&gt;B204,"",IF(B202&gt;D201,"",IF(B202=D201,B203,IF(B202&lt;D201,(D201-B202)*B206+B203,B205))))</f>
        <v>0.08323669958585536</v>
      </c>
      <c r="G201" s="23">
        <f>IF(ISERR(F201*E201),IF(D201&gt;B204,G200,""),F201*E201)</f>
        <v>21197091628.11594</v>
      </c>
      <c r="H201" s="23"/>
      <c r="I201" s="34"/>
    </row>
    <row r="202" spans="1:9" ht="12.75">
      <c r="A202" t="s">
        <v>856</v>
      </c>
      <c r="B202" s="37">
        <v>2005</v>
      </c>
      <c r="D202" s="25">
        <v>2007</v>
      </c>
      <c r="E202" s="23">
        <f>IF(D202&lt;=B204,B199*EXP(B200*(D202-D200)),"")</f>
        <v>258250724271.90826</v>
      </c>
      <c r="F202" s="24">
        <f>IF(D202&gt;B204,"",IF(B202&gt;D202,"",IF(B202=D202,B203,IF(B202&lt;D202,(D202-B202)*B206+B203,B205))))</f>
        <v>0.09157693532972284</v>
      </c>
      <c r="G202" s="23">
        <f>IF(ISERR(F202*E202),IF(D202&gt;B204,G201,""),F202*E202)</f>
        <v>23649809875.50263</v>
      </c>
      <c r="H202" s="23"/>
      <c r="I202" s="34"/>
    </row>
    <row r="203" spans="1:9" s="33" customFormat="1" ht="12.75">
      <c r="A203" s="33" t="s">
        <v>855</v>
      </c>
      <c r="B203" s="36">
        <f>(18808/251120)</f>
        <v>0.07489646384198789</v>
      </c>
      <c r="C203" s="35"/>
      <c r="D203" s="25">
        <v>2008</v>
      </c>
      <c r="E203" s="23">
        <f>IF(D203&lt;=B204,B199*EXP(B200*(D203-D200)),"")</f>
        <v>261891661503.89166</v>
      </c>
      <c r="F203" s="24">
        <f>IF(D203&gt;B204,"",IF(B202&gt;D203,"",IF(B202=D203,B203,IF(B202&lt;D203,(D203-B202)*B206+B203,B205))))</f>
        <v>0.09991717107359031</v>
      </c>
      <c r="G203" s="23">
        <f>IF(ISERR(F203*E203),IF(D203&gt;B204,G202,""),F203*E203)</f>
        <v>26167473945.23115</v>
      </c>
      <c r="H203" s="23"/>
      <c r="I203" s="34"/>
    </row>
    <row r="204" spans="1:9" ht="12.75">
      <c r="A204" t="s">
        <v>854</v>
      </c>
      <c r="B204" s="32">
        <v>2020</v>
      </c>
      <c r="C204" s="30"/>
      <c r="D204" s="25">
        <v>2009</v>
      </c>
      <c r="E204" s="23">
        <f>IF(D204&lt;=B204,B199*EXP(B200*(D204-D200)),"")</f>
        <v>265583930339.9378</v>
      </c>
      <c r="F204" s="24">
        <f>IF(D204&gt;B204,"",IF(B202&gt;D204,"",IF(B202=D204,B203,IF(B202&lt;D204,(D204-B202)*B206+B203,B205))))</f>
        <v>0.1082574068174578</v>
      </c>
      <c r="G204" s="23">
        <f>IF(ISERR(F204*E204),IF(D204&gt;B204,G203,""),F204*E204)</f>
        <v>28751427590.99002</v>
      </c>
      <c r="H204" s="22">
        <f>IF(ISERR(G204-G203),"",(G204-G203))</f>
        <v>2583953645.758869</v>
      </c>
      <c r="I204" s="21">
        <f>IF(ISERR(B201*H204),"",((B201*H204)))</f>
        <v>2256592558377.6777</v>
      </c>
    </row>
    <row r="205" spans="1:9" ht="12.75">
      <c r="A205" t="s">
        <v>921</v>
      </c>
      <c r="B205" s="31">
        <v>0.2</v>
      </c>
      <c r="C205" s="30"/>
      <c r="D205" s="25">
        <v>2010</v>
      </c>
      <c r="E205" s="23">
        <f>IF(D205&lt;=B204,B199*EXP(B200*(D205-D200)),"")</f>
        <v>269328254476.55887</v>
      </c>
      <c r="F205" s="24">
        <f>IF(D205&gt;B204,"",IF(B202&gt;D205,"",IF(B202=D205,B203,IF(B202&lt;D205,(D205-B202)*B206+B203,B205))))</f>
        <v>0.11659764256132527</v>
      </c>
      <c r="G205" s="23">
        <f>IF(ISERR(F205*E205),IF(D205&gt;B204,G204,""),F205*E205)</f>
        <v>31403039547.123463</v>
      </c>
      <c r="H205" s="22">
        <f>IF(ISERR(G205-G203),"",(G205-G203))</f>
        <v>5235565601.892311</v>
      </c>
      <c r="I205" s="21">
        <f>IF(ISERR(B201*H205),"",((B201*H205)))</f>
        <v>4572271795788.574</v>
      </c>
    </row>
    <row r="206" spans="1:9" ht="12.75">
      <c r="A206" s="29" t="s">
        <v>920</v>
      </c>
      <c r="B206" s="28">
        <f>(B205-B203)/(B204-B202)</f>
        <v>0.008340235743867474</v>
      </c>
      <c r="D206" s="25">
        <v>2011</v>
      </c>
      <c r="E206" s="23">
        <f>IF(D206&lt;=B204,B199*EXP(B200*(D206-D200)),"")</f>
        <v>273125367813.2724</v>
      </c>
      <c r="F206" s="24">
        <f>IF(D206&gt;B204,"",IF(B202&gt;D206,"",IF(B202=D206,B203,IF(B202&lt;D206,(D206-B202)*B206+B203,B205))))</f>
        <v>0.12493787830519273</v>
      </c>
      <c r="G206" s="23">
        <f>IF(ISERR(F206*E206),IF(D206&gt;B204,G205,""),F206*E206)</f>
        <v>34123703965.91563</v>
      </c>
      <c r="H206" s="22">
        <f>IF(ISERR(G206-G203),"",(G206-G203))</f>
        <v>7956230020.684479</v>
      </c>
      <c r="I206" s="21">
        <f>IF(ISERR(B201*H206),"",((B201*H206)))</f>
        <v>6948255239363.962</v>
      </c>
    </row>
    <row r="207" spans="4:9" ht="12.75">
      <c r="D207" s="25">
        <v>2012</v>
      </c>
      <c r="E207" s="23">
        <f>IF(D207&lt;=B204,B199*EXP(B200*(D207-D200)),"")</f>
        <v>276976014596.4485</v>
      </c>
      <c r="F207" s="24">
        <f>IF(D207&gt;B204,"",IF(B202&gt;D207,"",IF(B202=D207,B203,IF(B202&lt;D207,(D207-B202)*B206+B203,B205))))</f>
        <v>0.1332781140490602</v>
      </c>
      <c r="G207" s="23">
        <f>IF(ISERR(F207*E207),IF(D207&gt;B204,G206,""),F207*E207)</f>
        <v>36914840862.239624</v>
      </c>
      <c r="H207" s="22">
        <f>IF(ISERR(G207-G203),"",(G207-G203))</f>
        <v>10747366917.008472</v>
      </c>
      <c r="I207" s="21">
        <f>IF(ISERR(B201*H207),"",((B201*H207)))</f>
        <v>9385783002292.668</v>
      </c>
    </row>
    <row r="208" spans="4:9" ht="12.75">
      <c r="D208" s="25">
        <v>2013</v>
      </c>
      <c r="E208" s="23">
        <f>IF(D208&lt;=B204,B199*EXP(B200*(D208-D200)),"")</f>
        <v>280880949565.1837</v>
      </c>
      <c r="F208" s="24">
        <f>IF(D208&gt;B204,"",IF(B202&gt;D208,"",IF(B202=D208,B203,IF(B202&lt;D208,(D208-B202)*B206+B203,B205))))</f>
        <v>0.1416183497929277</v>
      </c>
      <c r="G208" s="23">
        <f>IF(ISERR(F208*E208),IF(D208&gt;B204,G207,""),F208*E208)</f>
        <v>39777896565.69187</v>
      </c>
      <c r="H208" s="22">
        <f>IF(ISERR(G208-G203),"",(G208-G203))</f>
        <v>13610422620.46072</v>
      </c>
      <c r="I208" s="21">
        <f>IF(ISERR(B201*H208),"",((B201*H208)))</f>
        <v>11886118178674.55</v>
      </c>
    </row>
    <row r="209" spans="1:9" ht="12.75">
      <c r="A209" t="s">
        <v>915</v>
      </c>
      <c r="B209" s="27">
        <f>VLOOKUP(B204,D200:I225,6,FALSE)</f>
        <v>31258186534516.492</v>
      </c>
      <c r="D209" s="25">
        <v>2014</v>
      </c>
      <c r="E209" s="23">
        <f>IF(D209&lt;=B204,B199*EXP(B200*(D209-D200)),"")</f>
        <v>284840938099.2333</v>
      </c>
      <c r="F209" s="24">
        <f>IF(D209&gt;B204,"",IF(B202&gt;D209,"",IF(B202=D209,B203,IF(B202&lt;D209,(D209-B202)*B206+B203,B205))))</f>
        <v>0.14995858553679514</v>
      </c>
      <c r="G209" s="23">
        <f>IF(ISERR(F209*E209),IF(D209&gt;B204,G208,""),F209*E209)</f>
        <v>42714344180.33485</v>
      </c>
      <c r="H209" s="22">
        <f>IF(ISERR(G209-G203),"",(G209-G203))</f>
        <v>16546870235.103695</v>
      </c>
      <c r="I209" s="21">
        <f>IF(ISERR(B201*H209),"",((B201*H209)))</f>
        <v>14450547245018.406</v>
      </c>
    </row>
    <row r="210" spans="1:9" ht="12.75">
      <c r="A210" t="s">
        <v>914</v>
      </c>
      <c r="B210" s="27">
        <f>SUM(I204:I225)</f>
        <v>506395164368697.25</v>
      </c>
      <c r="D210" s="25">
        <v>2015</v>
      </c>
      <c r="E210" s="23">
        <f>IF(D210&lt;=B204,B199*EXP(B200*(D210-D200)),"")</f>
        <v>288856756369.0269</v>
      </c>
      <c r="F210" s="24">
        <f>IF(D210&gt;B204,"",IF(B202&gt;D210,"",IF(B202=D210,B203,IF(B202&lt;D210,(D210-B202)*B206+B203,B205))))</f>
        <v>0.15829882128066264</v>
      </c>
      <c r="G210" s="23">
        <f>IF(ISERR(F210*E210),IF(D210&gt;B204,G209,""),F210*E210)</f>
        <v>45725684052.1725</v>
      </c>
      <c r="H210" s="22">
        <f>IF(ISERR(G210-G203),"",(G210-G203))</f>
        <v>19558210106.94135</v>
      </c>
      <c r="I210" s="21">
        <f>IF(ISERR(B201*H210),"",((B201*H210)))</f>
        <v>17080380468492.95</v>
      </c>
    </row>
    <row r="211" spans="1:9" ht="12.75">
      <c r="A211" t="s">
        <v>1068</v>
      </c>
      <c r="B211" s="26">
        <f>B209/(10^12)</f>
        <v>31.258186534516494</v>
      </c>
      <c r="D211" s="25">
        <v>2016</v>
      </c>
      <c r="E211" s="23">
        <f>IF(D211&lt;=B204,B199*EXP(B200*(D211-D200)),"")</f>
        <v>292929191487.80176</v>
      </c>
      <c r="F211" s="24">
        <f>IF(D211&gt;B204,"",IF(B202&gt;D211,"",IF(B202=D211,B203,IF(B202&lt;D211,(D211-B202)*B206+B203,B205))))</f>
        <v>0.1666390570245301</v>
      </c>
      <c r="G211" s="23">
        <f>IF(ISERR(F211*E211),IF(D211&gt;B204,G210,""),F211*E211)</f>
        <v>48813444244.4853</v>
      </c>
      <c r="H211" s="22">
        <f>IF(ISERR(G211-G203),"",(G211-G203))</f>
        <v>22645970299.254147</v>
      </c>
      <c r="I211" s="21">
        <f>IF(ISERR(B201*H211),"",((B201*H211)))</f>
        <v>19776952322041.637</v>
      </c>
    </row>
    <row r="212" spans="1:9" ht="12.75">
      <c r="A212" t="s">
        <v>1067</v>
      </c>
      <c r="B212" s="26">
        <f>B210/(10^12)</f>
        <v>506.39516436869724</v>
      </c>
      <c r="D212" s="25">
        <v>2017</v>
      </c>
      <c r="E212" s="23">
        <f>IF(D212&lt;=B204,B199*EXP(B200*(D212-D200)),"")</f>
        <v>297059041665.87823</v>
      </c>
      <c r="F212" s="24">
        <f>IF(D212&gt;B204,"",IF(B202&gt;D212,"",IF(B202=D212,B203,IF(B202&lt;D212,(D212-B202)*B206+B203,B205))))</f>
        <v>0.17497929276839758</v>
      </c>
      <c r="G212" s="23">
        <f>IF(ISERR(F212*E212),IF(D212&gt;B204,G211,""),F212*E212)</f>
        <v>51979181021.15332</v>
      </c>
      <c r="H212" s="22">
        <f>IF(ISERR(G212-G203),"",(G212-G203))</f>
        <v>25811707075.92217</v>
      </c>
      <c r="I212" s="21">
        <f>IF(ISERR(B201*H212),"",((B201*H212)))</f>
        <v>22541621906473.586</v>
      </c>
    </row>
    <row r="213" spans="4:9" ht="12.75">
      <c r="D213" s="25">
        <v>2018</v>
      </c>
      <c r="E213" s="23">
        <f>IF(D213&lt;=B204,B199*EXP(B200*(D213-D200)),"")</f>
        <v>301247116367.11255</v>
      </c>
      <c r="F213" s="24">
        <f>IF(D213&gt;B204,"",IF(B202&gt;D213,"",IF(B202=D213,B203,IF(B202&lt;D213,(D213-B202)*B206+B203,B205))))</f>
        <v>0.18331952851226507</v>
      </c>
      <c r="G213" s="23">
        <f>IF(ISERR(F213*E213),IF(D213&gt;B204,G212,""),F213*E213)</f>
        <v>55224479338.098526</v>
      </c>
      <c r="H213" s="22">
        <f>IF(ISERR(G213-G203),"",(G213-G203))</f>
        <v>29057005392.867374</v>
      </c>
      <c r="I213" s="21">
        <f>IF(ISERR(B201*H213),"",((B201*H213)))</f>
        <v>25375773379645.004</v>
      </c>
    </row>
    <row r="214" spans="4:9" ht="12.75">
      <c r="D214" s="25">
        <v>2019</v>
      </c>
      <c r="E214" s="23">
        <f>IF(D214&lt;=B204,B199*EXP(B200*(D214-D200)),"")</f>
        <v>305494236467.55347</v>
      </c>
      <c r="F214" s="24">
        <f>IF(D214&gt;B204,"",IF(B202&gt;D214,"",IF(B202=D214,B203,IF(B202&lt;D214,(D214-B202)*B206+B203,B205))))</f>
        <v>0.19165976425613251</v>
      </c>
      <c r="G214" s="23">
        <f>IF(ISERR(F214*E214),IF(D214&gt;B204,G213,""),F214*E214)</f>
        <v>58550953342.9785</v>
      </c>
      <c r="H214" s="22">
        <f>IF(ISERR(G214-G203),"",(G214-G203))</f>
        <v>32383479397.74735</v>
      </c>
      <c r="I214" s="21">
        <f>IF(ISERR(B201*H214),"",((B201*H214)))</f>
        <v>28280816392846.734</v>
      </c>
    </row>
    <row r="215" spans="4:9" ht="12.75">
      <c r="D215" s="25">
        <v>2020</v>
      </c>
      <c r="E215" s="23">
        <f>IF(D215&lt;=B204,B199*EXP(B200*(D215-D200)),"")</f>
        <v>309801234416.33734</v>
      </c>
      <c r="F215" s="24">
        <f>IF(D215&gt;B204,"",IF(B202&gt;D215,"",IF(B202=D215,B203,IF(B202&lt;D215,(D215-B202)*B206+B203,B205))))</f>
        <v>0.2</v>
      </c>
      <c r="G215" s="23">
        <f>IF(ISERR(F215*E215),IF(D215&gt;B204,G214,""),F215*E215)</f>
        <v>61960246883.26747</v>
      </c>
      <c r="H215" s="22">
        <f>IF(ISERR(G215-G203),"",(G215-G203))</f>
        <v>35792772938.036316</v>
      </c>
      <c r="I215" s="21">
        <f>IF(ISERR(B201*H215),"",((B201*H215)))</f>
        <v>31258186534516.492</v>
      </c>
    </row>
    <row r="216" spans="4:9" ht="12.75">
      <c r="D216" s="25">
        <v>2021</v>
      </c>
      <c r="E216" s="23">
        <f>IF(D216&lt;=B204,B199*EXP(B200*(D216-D200)),"")</f>
      </c>
      <c r="F216" s="24">
        <f>IF(D216&gt;B204,"",IF(B202&gt;D216,"",IF(B202=D216,B203,IF(B202&lt;D216,(D216-B202)*B206+B203,B205))))</f>
      </c>
      <c r="G216" s="23">
        <f>IF(ISERR(F216*E216),IF(D216&gt;B204,G215,""),F216*E216)</f>
        <v>61960246883.26747</v>
      </c>
      <c r="H216" s="22">
        <f>IF(ISERR(G216-G203),"",(G216-G203))</f>
        <v>35792772938.036316</v>
      </c>
      <c r="I216" s="21">
        <f>IF(ISERR(B201*H216),"",((B201*H216)))</f>
        <v>31258186534516.492</v>
      </c>
    </row>
    <row r="217" spans="4:9" ht="12.75">
      <c r="D217" s="25">
        <v>2022</v>
      </c>
      <c r="E217" s="23">
        <f>IF(D217&lt;=B204,B199*EXP(B200*(D217-D200)),"")</f>
      </c>
      <c r="F217" s="24">
        <f>IF(D217&gt;B204,"",IF(B202&gt;D217,"",IF(B202=D217,B203,IF(B202&lt;D217,(D217-B202)*B206+B203,B205))))</f>
      </c>
      <c r="G217" s="23">
        <f>IF(ISERR(F217*E217),IF(D217&gt;B204,G216,""),F217*E217)</f>
        <v>61960246883.26747</v>
      </c>
      <c r="H217" s="22">
        <f>IF(ISERR(G217-G203),"",(G217-G203))</f>
        <v>35792772938.036316</v>
      </c>
      <c r="I217" s="21">
        <f>IF(ISERR(B201*H217),"",((B201*H217)))</f>
        <v>31258186534516.492</v>
      </c>
    </row>
    <row r="218" spans="4:9" ht="12.75">
      <c r="D218" s="25">
        <v>2023</v>
      </c>
      <c r="E218" s="23">
        <f>IF(D218&lt;=B204,B199*EXP(B200*(D218-D200)),"")</f>
      </c>
      <c r="F218" s="24">
        <f>IF(D218&gt;B204,"",IF(B202&gt;D218,"",IF(B202=D218,B203,IF(B202&lt;D218,(D218-B202)*B206+B203,B205))))</f>
      </c>
      <c r="G218" s="23">
        <f>IF(ISERR(F218*E218),IF(D218&gt;B204,G217,""),F218*E218)</f>
        <v>61960246883.26747</v>
      </c>
      <c r="H218" s="22">
        <f>IF(ISERR(G218-G203),"",(G218-G203))</f>
        <v>35792772938.036316</v>
      </c>
      <c r="I218" s="21">
        <f>IF(ISERR(B201*H218),"",((B201*H218)))</f>
        <v>31258186534516.492</v>
      </c>
    </row>
    <row r="219" spans="4:9" ht="12.75">
      <c r="D219" s="25">
        <v>2024</v>
      </c>
      <c r="E219" s="23">
        <f>IF(D219&lt;=B204,B199*EXP(B200*(D219-D200)),"")</f>
      </c>
      <c r="F219" s="24">
        <f>IF(D219&gt;B204,"",IF(B202&gt;D219,"",IF(B202=D219,B203,IF(B202&lt;D219,(D219-B202)*B206+B203,B205))))</f>
      </c>
      <c r="G219" s="23">
        <f>IF(ISERR(F219*E219),IF(D219&gt;B204,G218,""),F219*E219)</f>
        <v>61960246883.26747</v>
      </c>
      <c r="H219" s="22">
        <f>IF(ISERR(G219-G203),"",(G219-G203))</f>
        <v>35792772938.036316</v>
      </c>
      <c r="I219" s="21">
        <f>IF(ISERR(B201*H219),"",((B201*H219)))</f>
        <v>31258186534516.492</v>
      </c>
    </row>
    <row r="220" spans="4:9" ht="12.75">
      <c r="D220" s="25">
        <v>2025</v>
      </c>
      <c r="E220" s="23">
        <f>IF(D220&lt;=B204,B199*EXP(B200*(D220-D200)),"")</f>
      </c>
      <c r="F220" s="24">
        <f>IF(D220&gt;B204,"",IF(B202&gt;D220,"",IF(B202=D220,B203,IF(B202&lt;D220,(D220-B202)*B206+B203,B205))))</f>
      </c>
      <c r="G220" s="23">
        <f>IF(ISERR(F220*E220),IF(D220&gt;B204,G219,""),F220*E220)</f>
        <v>61960246883.26747</v>
      </c>
      <c r="H220" s="22">
        <f>IF(ISERR(G220-G203),"",(G220-G203))</f>
        <v>35792772938.036316</v>
      </c>
      <c r="I220" s="21">
        <f>IF(ISERR(B201*H220),"",((B201*H220)))</f>
        <v>31258186534516.492</v>
      </c>
    </row>
    <row r="221" spans="4:9" ht="12.75">
      <c r="D221" s="25">
        <v>2026</v>
      </c>
      <c r="E221" s="23">
        <f>IF(D221&lt;=B204,B199*EXP(B200*(D221-D200)),"")</f>
      </c>
      <c r="F221" s="24">
        <f>IF(D221&gt;B204,"",IF(B202&gt;D221,"",IF(B202=D221,B203,IF(B202&lt;D221,(D221-B202)*B206+B203,B205))))</f>
      </c>
      <c r="G221" s="23">
        <f>IF(ISERR(F221*E221),IF(D221&gt;B204,G220,""),F221*E221)</f>
        <v>61960246883.26747</v>
      </c>
      <c r="H221" s="22">
        <f>IF(ISERR(G221-G203),"",(G221-G203))</f>
        <v>35792772938.036316</v>
      </c>
      <c r="I221" s="21">
        <f>IF(ISERR(B201*H221),"",((B201*H221)))</f>
        <v>31258186534516.492</v>
      </c>
    </row>
    <row r="222" spans="4:9" ht="12.75">
      <c r="D222" s="25">
        <v>2027</v>
      </c>
      <c r="E222" s="23">
        <f>IF(D222&lt;=B204,B199*EXP(B200*(D222-D200)),"")</f>
      </c>
      <c r="F222" s="24">
        <f>IF(D222&gt;B204,"",IF(B202&gt;D222,"",IF(B202=D222,B203,IF(B202&lt;D222,(D222-B202)*B206+B203,B205))))</f>
      </c>
      <c r="G222" s="23">
        <f>IF(ISERR(F222*E222),IF(D222&gt;B204,G221,""),F222*E222)</f>
        <v>61960246883.26747</v>
      </c>
      <c r="H222" s="22">
        <f>IF(ISERR(G222-G203),"",(G222-G203))</f>
        <v>35792772938.036316</v>
      </c>
      <c r="I222" s="21">
        <f>IF(ISERR(B201*H222),"",((B201*H222)))</f>
        <v>31258186534516.492</v>
      </c>
    </row>
    <row r="223" spans="4:9" ht="12.75">
      <c r="D223" s="25">
        <v>2028</v>
      </c>
      <c r="E223" s="23">
        <f>IF(D223&lt;=B204,B199*EXP(B200*(D223-D200)),"")</f>
      </c>
      <c r="F223" s="24">
        <f>IF(D223&gt;B204,"",IF(B202&gt;D223,"",IF(B202=D223,B203,IF(B202&lt;D223,(D223-B202)*B206+B203,B205))))</f>
      </c>
      <c r="G223" s="23">
        <f>IF(ISERR(F223*E223),IF(D223&gt;B204,G222,""),F223*E223)</f>
        <v>61960246883.26747</v>
      </c>
      <c r="H223" s="22">
        <f>IF(ISERR(G223-G203),"",(G223-G203))</f>
        <v>35792772938.036316</v>
      </c>
      <c r="I223" s="21">
        <f>IF(ISERR(B201*H223),"",((B201*H223)))</f>
        <v>31258186534516.492</v>
      </c>
    </row>
    <row r="224" spans="4:9" ht="12.75">
      <c r="D224" s="25">
        <v>2029</v>
      </c>
      <c r="E224" s="23">
        <f>IF(D224&lt;=B204,B199*EXP(B200*(D224-D200)),"")</f>
      </c>
      <c r="F224" s="24">
        <f>IF(D224&gt;B204,"",IF(B202&gt;D224,"",IF(B202=D224,B203,IF(B202&lt;D224,(D224-B202)*B206+B203,B205))))</f>
      </c>
      <c r="G224" s="23">
        <f>IF(ISERR(F224*E224),IF(D224&gt;B204,G223,""),F224*E224)</f>
        <v>61960246883.26747</v>
      </c>
      <c r="H224" s="22">
        <f>IF(ISERR(G224-G203),"",(G224-G203))</f>
        <v>35792772938.036316</v>
      </c>
      <c r="I224" s="21">
        <f>IF(ISERR(B201*H224),"",((B201*H224)))</f>
        <v>31258186534516.492</v>
      </c>
    </row>
    <row r="225" spans="4:9" ht="13.5" thickBot="1">
      <c r="D225" s="20">
        <v>2030</v>
      </c>
      <c r="E225" s="18">
        <f>IF(D225&lt;=B204,B199*EXP(B200*(D225-D200)),"")</f>
      </c>
      <c r="F225" s="19">
        <f>IF(D225&gt;B204,"",IF(B202&gt;D225,"",IF(B202=D225,B203,IF(B202&lt;D225,(D225-B202)*B206+B203,B205))))</f>
      </c>
      <c r="G225" s="18">
        <f>IF(ISERR(F225*E225),IF(D225&gt;B204,G224,""),F225*E225)</f>
        <v>61960246883.26747</v>
      </c>
      <c r="H225" s="17">
        <f>IF(ISERR(G225-G203),"",(G225-G203))</f>
        <v>35792772938.036316</v>
      </c>
      <c r="I225" s="16">
        <f>IF(ISERR(B201*H225),"",((B201*H225)))</f>
        <v>31258186534516.492</v>
      </c>
    </row>
    <row r="226" ht="12.75">
      <c r="A226" s="15"/>
    </row>
    <row r="227" ht="12.75">
      <c r="A227" s="15"/>
    </row>
    <row r="228" ht="12.75">
      <c r="A228" s="15"/>
    </row>
    <row r="229" ht="12.75">
      <c r="A229" s="15"/>
    </row>
    <row r="230" spans="1:12" ht="15.75" customHeight="1">
      <c r="A230" s="411" t="s">
        <v>156</v>
      </c>
      <c r="B230" s="85"/>
      <c r="C230" s="85"/>
      <c r="D230" s="85"/>
      <c r="E230" s="85"/>
      <c r="F230" s="85"/>
      <c r="G230" s="85"/>
      <c r="H230" s="85"/>
      <c r="I230" s="330"/>
      <c r="J230" s="128"/>
      <c r="K230" s="128"/>
      <c r="L230" s="128"/>
    </row>
    <row r="231" spans="1:12" ht="28.5" customHeight="1">
      <c r="A231" s="412" t="s">
        <v>900</v>
      </c>
      <c r="B231" s="247"/>
      <c r="C231" s="247"/>
      <c r="D231" s="247"/>
      <c r="E231" s="247"/>
      <c r="F231" s="247"/>
      <c r="G231" s="247"/>
      <c r="H231" s="247"/>
      <c r="I231" s="249"/>
      <c r="J231" s="128"/>
      <c r="K231" s="128"/>
      <c r="L231" s="128"/>
    </row>
    <row r="232" spans="1:12" ht="24.75" customHeight="1">
      <c r="A232" s="414" t="s">
        <v>155</v>
      </c>
      <c r="B232" s="248"/>
      <c r="C232" s="248"/>
      <c r="D232" s="248"/>
      <c r="E232" s="248"/>
      <c r="F232" s="248"/>
      <c r="G232" s="248"/>
      <c r="H232" s="248"/>
      <c r="I232" s="250"/>
      <c r="J232" s="129"/>
      <c r="K232" s="129"/>
      <c r="L232" s="129"/>
    </row>
    <row r="233" spans="1:12" ht="32.25" customHeight="1">
      <c r="A233" s="413" t="s">
        <v>154</v>
      </c>
      <c r="B233" s="328"/>
      <c r="C233" s="328"/>
      <c r="D233" s="328"/>
      <c r="E233" s="328"/>
      <c r="F233" s="328"/>
      <c r="G233" s="328"/>
      <c r="H233" s="328"/>
      <c r="I233" s="329"/>
      <c r="J233" s="98"/>
      <c r="K233" s="98"/>
      <c r="L233" s="98"/>
    </row>
    <row r="234" ht="13.5" thickBot="1">
      <c r="A234" s="15"/>
    </row>
    <row r="235" spans="1:7" ht="48" customHeight="1" thickBot="1">
      <c r="A235" s="15"/>
      <c r="B235" s="333" t="s">
        <v>575</v>
      </c>
      <c r="C235" s="334" t="s">
        <v>502</v>
      </c>
      <c r="G235" s="194"/>
    </row>
    <row r="236" spans="1:7" ht="13.5" thickTop="1">
      <c r="A236" s="15"/>
      <c r="B236" s="189">
        <f>B237-1</f>
        <v>2005</v>
      </c>
      <c r="C236" s="193"/>
      <c r="G236" s="63"/>
    </row>
    <row r="237" spans="1:7" ht="12.75">
      <c r="A237" s="15"/>
      <c r="B237" s="189">
        <f>B238-1</f>
        <v>2006</v>
      </c>
      <c r="C237" s="193"/>
      <c r="G237" s="63"/>
    </row>
    <row r="238" spans="1:7" ht="12.75">
      <c r="A238" s="15"/>
      <c r="B238" s="189">
        <f>B239-1</f>
        <v>2007</v>
      </c>
      <c r="C238" s="192"/>
      <c r="G238" s="63"/>
    </row>
    <row r="239" spans="1:7" ht="12.75">
      <c r="A239" s="15"/>
      <c r="B239" s="189">
        <v>2008</v>
      </c>
      <c r="C239" s="191">
        <v>0</v>
      </c>
      <c r="G239" s="63"/>
    </row>
    <row r="240" spans="1:7" ht="12.75">
      <c r="A240" s="15"/>
      <c r="B240" s="189">
        <f aca="true" t="shared" si="2" ref="B240:B261">B239+1</f>
        <v>2009</v>
      </c>
      <c r="C240" s="188">
        <f>(C243-C239)/(B243-B239)*(B240-B239)</f>
        <v>1.825875</v>
      </c>
      <c r="G240" s="63"/>
    </row>
    <row r="241" spans="1:7" ht="12.75">
      <c r="A241" s="15"/>
      <c r="B241" s="189">
        <f t="shared" si="2"/>
        <v>2010</v>
      </c>
      <c r="C241" s="188">
        <f>(C243-C239)/(B243-B239)*(B241-B239)</f>
        <v>3.65175</v>
      </c>
      <c r="G241" s="63"/>
    </row>
    <row r="242" spans="1:7" ht="12.75">
      <c r="A242" s="15"/>
      <c r="B242" s="189">
        <f t="shared" si="2"/>
        <v>2011</v>
      </c>
      <c r="C242" s="188">
        <f>(C243-C239)/(B243-B239)*(B242-B239)</f>
        <v>5.477625</v>
      </c>
      <c r="G242" s="63"/>
    </row>
    <row r="243" spans="1:7" ht="12.75">
      <c r="A243" s="15"/>
      <c r="B243" s="189">
        <f t="shared" si="2"/>
        <v>2012</v>
      </c>
      <c r="C243" s="188">
        <v>7.3035</v>
      </c>
      <c r="G243" s="63"/>
    </row>
    <row r="244" spans="1:7" ht="12.75">
      <c r="A244" s="15"/>
      <c r="B244" s="189">
        <f t="shared" si="2"/>
        <v>2013</v>
      </c>
      <c r="C244" s="188">
        <f>C243</f>
        <v>7.3035</v>
      </c>
      <c r="G244" s="63"/>
    </row>
    <row r="245" spans="1:7" ht="12.75" customHeight="1">
      <c r="A245" s="15"/>
      <c r="B245" s="189">
        <f t="shared" si="2"/>
        <v>2014</v>
      </c>
      <c r="C245" s="188">
        <f>C243</f>
        <v>7.3035</v>
      </c>
      <c r="G245" s="63"/>
    </row>
    <row r="246" spans="1:7" s="74" customFormat="1" ht="12.75" customHeight="1">
      <c r="A246" s="81"/>
      <c r="B246" s="190">
        <f t="shared" si="2"/>
        <v>2015</v>
      </c>
      <c r="C246" s="188">
        <f>C243</f>
        <v>7.3035</v>
      </c>
      <c r="D246"/>
      <c r="E246"/>
      <c r="G246" s="71"/>
    </row>
    <row r="247" spans="1:7" ht="12.75" customHeight="1">
      <c r="A247" s="15"/>
      <c r="B247" s="189">
        <f t="shared" si="2"/>
        <v>2016</v>
      </c>
      <c r="C247" s="188">
        <f>C243</f>
        <v>7.3035</v>
      </c>
      <c r="G247" s="63"/>
    </row>
    <row r="248" spans="1:7" ht="12.75" customHeight="1">
      <c r="A248" s="15"/>
      <c r="B248" s="189">
        <f t="shared" si="2"/>
        <v>2017</v>
      </c>
      <c r="C248" s="188">
        <f>C243</f>
        <v>7.3035</v>
      </c>
      <c r="G248" s="63"/>
    </row>
    <row r="249" spans="1:7" ht="12.75">
      <c r="A249" s="15"/>
      <c r="B249" s="189">
        <f t="shared" si="2"/>
        <v>2018</v>
      </c>
      <c r="C249" s="188">
        <f>C243</f>
        <v>7.3035</v>
      </c>
      <c r="G249" s="63"/>
    </row>
    <row r="250" spans="1:7" ht="12.75">
      <c r="A250" s="15"/>
      <c r="B250" s="189">
        <f t="shared" si="2"/>
        <v>2019</v>
      </c>
      <c r="C250" s="188">
        <f>C243</f>
        <v>7.3035</v>
      </c>
      <c r="G250" s="63"/>
    </row>
    <row r="251" spans="1:7" s="74" customFormat="1" ht="12.75">
      <c r="A251" s="81"/>
      <c r="B251" s="190">
        <f t="shared" si="2"/>
        <v>2020</v>
      </c>
      <c r="C251" s="188">
        <f>C243</f>
        <v>7.3035</v>
      </c>
      <c r="D251"/>
      <c r="E251"/>
      <c r="G251" s="71"/>
    </row>
    <row r="252" spans="1:7" ht="12.75">
      <c r="A252" s="15"/>
      <c r="B252" s="189">
        <f t="shared" si="2"/>
        <v>2021</v>
      </c>
      <c r="C252" s="188">
        <f>C243</f>
        <v>7.3035</v>
      </c>
      <c r="G252" s="63"/>
    </row>
    <row r="253" spans="1:7" ht="12.75">
      <c r="A253" s="15"/>
      <c r="B253" s="189">
        <f t="shared" si="2"/>
        <v>2022</v>
      </c>
      <c r="C253" s="188">
        <f>C243</f>
        <v>7.3035</v>
      </c>
      <c r="G253" s="63"/>
    </row>
    <row r="254" spans="1:7" ht="12.75">
      <c r="A254" s="15"/>
      <c r="B254" s="189">
        <f t="shared" si="2"/>
        <v>2023</v>
      </c>
      <c r="C254" s="188">
        <f>C243</f>
        <v>7.3035</v>
      </c>
      <c r="G254" s="63"/>
    </row>
    <row r="255" spans="1:7" ht="12.75">
      <c r="A255" s="15"/>
      <c r="B255" s="189">
        <f t="shared" si="2"/>
        <v>2024</v>
      </c>
      <c r="C255" s="188">
        <f>C243</f>
        <v>7.3035</v>
      </c>
      <c r="G255" s="63"/>
    </row>
    <row r="256" spans="1:7" ht="12.75">
      <c r="A256" s="15"/>
      <c r="B256" s="189">
        <f t="shared" si="2"/>
        <v>2025</v>
      </c>
      <c r="C256" s="188">
        <f>C243</f>
        <v>7.3035</v>
      </c>
      <c r="G256" s="63"/>
    </row>
    <row r="257" spans="1:7" ht="12.75">
      <c r="A257" s="15"/>
      <c r="B257" s="189">
        <f t="shared" si="2"/>
        <v>2026</v>
      </c>
      <c r="C257" s="188">
        <f>C243</f>
        <v>7.3035</v>
      </c>
      <c r="G257" s="63"/>
    </row>
    <row r="258" spans="1:7" ht="12.75">
      <c r="A258" s="15"/>
      <c r="B258" s="189">
        <f t="shared" si="2"/>
        <v>2027</v>
      </c>
      <c r="C258" s="188">
        <f>C243</f>
        <v>7.3035</v>
      </c>
      <c r="G258" s="63"/>
    </row>
    <row r="259" spans="1:7" ht="12.75">
      <c r="A259" s="15"/>
      <c r="B259" s="189">
        <f t="shared" si="2"/>
        <v>2028</v>
      </c>
      <c r="C259" s="188">
        <f>C243</f>
        <v>7.3035</v>
      </c>
      <c r="G259" s="63"/>
    </row>
    <row r="260" spans="1:7" ht="12.75">
      <c r="A260" s="15"/>
      <c r="B260" s="189">
        <f t="shared" si="2"/>
        <v>2029</v>
      </c>
      <c r="C260" s="188">
        <f>C243</f>
        <v>7.3035</v>
      </c>
      <c r="G260" s="63"/>
    </row>
    <row r="261" spans="1:7" ht="13.5" thickBot="1">
      <c r="A261" s="15"/>
      <c r="B261" s="187">
        <f t="shared" si="2"/>
        <v>2030</v>
      </c>
      <c r="C261" s="186">
        <f>C243</f>
        <v>7.3035</v>
      </c>
      <c r="G261" s="63"/>
    </row>
    <row r="262" spans="1:11" ht="12.75">
      <c r="A262" s="15"/>
      <c r="K262" s="63"/>
    </row>
    <row r="263" spans="1:7" ht="12.75">
      <c r="A263" s="337"/>
      <c r="B263" s="184" t="s">
        <v>578</v>
      </c>
      <c r="C263" s="183"/>
      <c r="D263" s="183"/>
      <c r="E263" s="183"/>
      <c r="F263" s="182"/>
      <c r="G263" s="185">
        <f>C243</f>
        <v>7.3035</v>
      </c>
    </row>
    <row r="264" spans="1:13" ht="12.75">
      <c r="A264" s="336"/>
      <c r="B264" s="184" t="s">
        <v>582</v>
      </c>
      <c r="C264" s="183"/>
      <c r="D264" s="183"/>
      <c r="E264" s="183"/>
      <c r="F264" s="182"/>
      <c r="G264" s="181">
        <f>SUM(C239:C261)</f>
        <v>149.72175</v>
      </c>
      <c r="K264" s="71"/>
      <c r="L264" s="71"/>
      <c r="M264" s="71"/>
    </row>
    <row r="266" spans="1:9" s="68" customFormat="1" ht="12.75">
      <c r="A266" s="466" t="s">
        <v>171</v>
      </c>
      <c r="B266" s="530"/>
      <c r="C266" s="530"/>
      <c r="D266" s="530"/>
      <c r="E266" s="530"/>
      <c r="F266" s="530"/>
      <c r="G266" s="180"/>
      <c r="H266" s="179"/>
      <c r="I266" s="178"/>
    </row>
    <row r="267" spans="1:9" s="68" customFormat="1" ht="15" customHeight="1">
      <c r="A267" s="468" t="s">
        <v>170</v>
      </c>
      <c r="B267" s="456"/>
      <c r="C267" s="456"/>
      <c r="D267" s="456"/>
      <c r="E267" s="456"/>
      <c r="F267" s="456"/>
      <c r="G267" s="177"/>
      <c r="H267" s="177"/>
      <c r="I267" s="176"/>
    </row>
    <row r="268" spans="1:9" s="68" customFormat="1" ht="12.75">
      <c r="A268" s="520" t="s">
        <v>169</v>
      </c>
      <c r="B268" s="456"/>
      <c r="C268" s="456"/>
      <c r="D268" s="456"/>
      <c r="E268" s="456"/>
      <c r="F268" s="456"/>
      <c r="G268" s="177"/>
      <c r="H268" s="177"/>
      <c r="I268" s="176"/>
    </row>
    <row r="269" spans="1:9" s="68" customFormat="1" ht="27.75" customHeight="1">
      <c r="A269" s="520" t="s">
        <v>112</v>
      </c>
      <c r="B269" s="521"/>
      <c r="C269" s="521"/>
      <c r="D269" s="521"/>
      <c r="E269" s="521"/>
      <c r="F269" s="521"/>
      <c r="G269" s="521"/>
      <c r="H269" s="521"/>
      <c r="I269" s="522"/>
    </row>
    <row r="270" spans="1:9" s="68" customFormat="1" ht="36" customHeight="1">
      <c r="A270" s="473" t="s">
        <v>105</v>
      </c>
      <c r="B270" s="525"/>
      <c r="C270" s="525"/>
      <c r="D270" s="525"/>
      <c r="E270" s="525"/>
      <c r="F270" s="525"/>
      <c r="G270" s="175"/>
      <c r="H270" s="175"/>
      <c r="I270" s="174"/>
    </row>
    <row r="271" s="68" customFormat="1" ht="12.75">
      <c r="A271" s="15"/>
    </row>
    <row r="272" spans="1:3" s="68" customFormat="1" ht="51.75" thickBot="1">
      <c r="A272" s="15"/>
      <c r="B272" s="344" t="s">
        <v>575</v>
      </c>
      <c r="C272" s="345" t="s">
        <v>502</v>
      </c>
    </row>
    <row r="273" spans="1:3" s="68" customFormat="1" ht="13.5" thickTop="1">
      <c r="A273" s="15"/>
      <c r="B273" s="133">
        <f>B274-1</f>
        <v>2005</v>
      </c>
      <c r="C273" s="339"/>
    </row>
    <row r="274" spans="1:3" s="68" customFormat="1" ht="12.75">
      <c r="A274" s="15"/>
      <c r="B274" s="133">
        <f>B275-1</f>
        <v>2006</v>
      </c>
      <c r="C274" s="339"/>
    </row>
    <row r="275" spans="1:3" s="68" customFormat="1" ht="12.75">
      <c r="A275" s="15"/>
      <c r="B275" s="133">
        <f>B276-1</f>
        <v>2007</v>
      </c>
      <c r="C275" s="136"/>
    </row>
    <row r="276" spans="1:3" s="68" customFormat="1" ht="12.75">
      <c r="A276" s="15"/>
      <c r="B276" s="133">
        <v>2008</v>
      </c>
      <c r="C276" s="136">
        <v>0</v>
      </c>
    </row>
    <row r="277" spans="1:3" s="68" customFormat="1" ht="12.75">
      <c r="A277" s="15"/>
      <c r="B277" s="133">
        <f aca="true" t="shared" si="3" ref="B277:B298">B276+1</f>
        <v>2009</v>
      </c>
      <c r="C277" s="340">
        <f>C276+((C280-C276)/4)</f>
        <v>6</v>
      </c>
    </row>
    <row r="278" spans="1:3" s="68" customFormat="1" ht="12.75">
      <c r="A278" s="15"/>
      <c r="B278" s="133">
        <f t="shared" si="3"/>
        <v>2010</v>
      </c>
      <c r="C278" s="340">
        <f>C277+((C280-C276)/4)</f>
        <v>12</v>
      </c>
    </row>
    <row r="279" spans="1:3" s="68" customFormat="1" ht="12.75">
      <c r="A279" s="15"/>
      <c r="B279" s="133">
        <f t="shared" si="3"/>
        <v>2011</v>
      </c>
      <c r="C279" s="340">
        <f>C278+((C280-C276)/4)</f>
        <v>18</v>
      </c>
    </row>
    <row r="280" spans="1:3" s="68" customFormat="1" ht="12.75">
      <c r="A280" s="15"/>
      <c r="B280" s="152">
        <f t="shared" si="3"/>
        <v>2012</v>
      </c>
      <c r="C280" s="341">
        <v>24</v>
      </c>
    </row>
    <row r="281" spans="1:3" s="68" customFormat="1" ht="12.75">
      <c r="A281" s="15"/>
      <c r="B281" s="152">
        <f t="shared" si="3"/>
        <v>2013</v>
      </c>
      <c r="C281" s="340">
        <v>24</v>
      </c>
    </row>
    <row r="282" spans="1:3" s="68" customFormat="1" ht="12.75">
      <c r="A282" s="15"/>
      <c r="B282" s="133">
        <f t="shared" si="3"/>
        <v>2014</v>
      </c>
      <c r="C282" s="340">
        <v>24</v>
      </c>
    </row>
    <row r="283" spans="1:3" s="68" customFormat="1" ht="12.75">
      <c r="A283" s="15"/>
      <c r="B283" s="152">
        <f t="shared" si="3"/>
        <v>2015</v>
      </c>
      <c r="C283" s="340">
        <v>24</v>
      </c>
    </row>
    <row r="284" spans="1:3" s="68" customFormat="1" ht="12.75">
      <c r="A284" s="15"/>
      <c r="B284" s="152">
        <f t="shared" si="3"/>
        <v>2016</v>
      </c>
      <c r="C284" s="340">
        <v>24</v>
      </c>
    </row>
    <row r="285" spans="1:3" s="68" customFormat="1" ht="12.75">
      <c r="A285" s="15"/>
      <c r="B285" s="152">
        <f t="shared" si="3"/>
        <v>2017</v>
      </c>
      <c r="C285" s="340">
        <v>24</v>
      </c>
    </row>
    <row r="286" spans="1:3" s="68" customFormat="1" ht="12.75">
      <c r="A286" s="15"/>
      <c r="B286" s="152">
        <f t="shared" si="3"/>
        <v>2018</v>
      </c>
      <c r="C286" s="340">
        <v>24</v>
      </c>
    </row>
    <row r="287" spans="1:3" s="68" customFormat="1" ht="12.75">
      <c r="A287" s="15"/>
      <c r="B287" s="152">
        <f t="shared" si="3"/>
        <v>2019</v>
      </c>
      <c r="C287" s="340">
        <v>24</v>
      </c>
    </row>
    <row r="288" spans="1:3" s="68" customFormat="1" ht="12.75">
      <c r="A288" s="15"/>
      <c r="B288" s="152">
        <f t="shared" si="3"/>
        <v>2020</v>
      </c>
      <c r="C288" s="340">
        <v>24</v>
      </c>
    </row>
    <row r="289" spans="1:3" s="68" customFormat="1" ht="12.75">
      <c r="A289" s="15"/>
      <c r="B289" s="152">
        <f t="shared" si="3"/>
        <v>2021</v>
      </c>
      <c r="C289" s="340">
        <v>24</v>
      </c>
    </row>
    <row r="290" spans="1:3" s="68" customFormat="1" ht="12.75">
      <c r="A290" s="15"/>
      <c r="B290" s="152">
        <f t="shared" si="3"/>
        <v>2022</v>
      </c>
      <c r="C290" s="340">
        <v>24</v>
      </c>
    </row>
    <row r="291" spans="1:3" s="68" customFormat="1" ht="12.75">
      <c r="A291" s="15"/>
      <c r="B291" s="152">
        <f t="shared" si="3"/>
        <v>2023</v>
      </c>
      <c r="C291" s="340">
        <v>24</v>
      </c>
    </row>
    <row r="292" spans="1:3" s="68" customFormat="1" ht="12.75">
      <c r="A292" s="15"/>
      <c r="B292" s="152">
        <f t="shared" si="3"/>
        <v>2024</v>
      </c>
      <c r="C292" s="340">
        <v>24</v>
      </c>
    </row>
    <row r="293" spans="1:3" s="68" customFormat="1" ht="12.75">
      <c r="A293" s="15"/>
      <c r="B293" s="152">
        <f t="shared" si="3"/>
        <v>2025</v>
      </c>
      <c r="C293" s="340">
        <v>24</v>
      </c>
    </row>
    <row r="294" spans="1:3" s="68" customFormat="1" ht="12.75">
      <c r="A294" s="15"/>
      <c r="B294" s="152">
        <f t="shared" si="3"/>
        <v>2026</v>
      </c>
      <c r="C294" s="340">
        <v>24</v>
      </c>
    </row>
    <row r="295" spans="1:3" s="68" customFormat="1" ht="12.75">
      <c r="A295" s="15"/>
      <c r="B295" s="152">
        <f t="shared" si="3"/>
        <v>2027</v>
      </c>
      <c r="C295" s="340">
        <v>24</v>
      </c>
    </row>
    <row r="296" spans="1:3" s="68" customFormat="1" ht="12.75">
      <c r="A296" s="15"/>
      <c r="B296" s="152">
        <f t="shared" si="3"/>
        <v>2028</v>
      </c>
      <c r="C296" s="340">
        <v>24</v>
      </c>
    </row>
    <row r="297" spans="1:3" s="68" customFormat="1" ht="12.75">
      <c r="A297" s="15"/>
      <c r="B297" s="152">
        <f t="shared" si="3"/>
        <v>2029</v>
      </c>
      <c r="C297" s="340">
        <v>24</v>
      </c>
    </row>
    <row r="298" spans="1:3" s="68" customFormat="1" ht="12.75">
      <c r="A298" s="15"/>
      <c r="B298" s="342">
        <f t="shared" si="3"/>
        <v>2030</v>
      </c>
      <c r="C298" s="343">
        <v>24</v>
      </c>
    </row>
    <row r="299" s="68" customFormat="1" ht="12.75">
      <c r="A299" s="15"/>
    </row>
    <row r="300" spans="1:5" s="68" customFormat="1" ht="12.75">
      <c r="A300" s="523" t="s">
        <v>578</v>
      </c>
      <c r="B300" s="523"/>
      <c r="C300" s="523"/>
      <c r="D300" s="524"/>
      <c r="E300" s="185">
        <f>C280</f>
        <v>24</v>
      </c>
    </row>
    <row r="301" spans="1:5" s="68" customFormat="1" ht="12.75">
      <c r="A301" s="523" t="s">
        <v>582</v>
      </c>
      <c r="B301" s="523"/>
      <c r="C301" s="523"/>
      <c r="D301" s="524"/>
      <c r="E301" s="181">
        <f>SUM(C277:C298)</f>
        <v>492</v>
      </c>
    </row>
    <row r="304" spans="1:13" ht="12.75">
      <c r="A304" s="15"/>
      <c r="B304" s="67"/>
      <c r="K304" s="63"/>
      <c r="L304" s="63"/>
      <c r="M304" s="63"/>
    </row>
    <row r="305" spans="1:9" s="114" customFormat="1" ht="12.75">
      <c r="A305" s="466" t="s">
        <v>104</v>
      </c>
      <c r="B305" s="530"/>
      <c r="C305" s="530"/>
      <c r="D305" s="530"/>
      <c r="E305" s="530"/>
      <c r="F305" s="530"/>
      <c r="G305" s="530"/>
      <c r="H305" s="530"/>
      <c r="I305" s="531"/>
    </row>
    <row r="306" spans="1:9" s="114" customFormat="1" ht="12.75">
      <c r="A306" s="468" t="s">
        <v>912</v>
      </c>
      <c r="B306" s="456"/>
      <c r="C306" s="456"/>
      <c r="D306" s="456"/>
      <c r="E306" s="456"/>
      <c r="F306" s="456"/>
      <c r="G306" s="456"/>
      <c r="H306" s="456"/>
      <c r="I306" s="436"/>
    </row>
    <row r="307" spans="1:9" s="114" customFormat="1" ht="12.75">
      <c r="A307" s="415" t="s">
        <v>103</v>
      </c>
      <c r="B307" s="126"/>
      <c r="C307" s="126"/>
      <c r="D307" s="126"/>
      <c r="E307" s="126"/>
      <c r="F307" s="126"/>
      <c r="G307" s="126"/>
      <c r="H307" s="126"/>
      <c r="I307" s="127"/>
    </row>
    <row r="308" spans="1:9" s="114" customFormat="1" ht="27" customHeight="1">
      <c r="A308" s="532" t="s">
        <v>102</v>
      </c>
      <c r="B308" s="525"/>
      <c r="C308" s="525"/>
      <c r="D308" s="525"/>
      <c r="E308" s="525"/>
      <c r="F308" s="525"/>
      <c r="G308" s="525"/>
      <c r="H308" s="525"/>
      <c r="I308" s="533"/>
    </row>
    <row r="309" s="114" customFormat="1" ht="12.75"/>
    <row r="310" spans="1:10" s="68" customFormat="1" ht="51.75" thickBot="1">
      <c r="A310" s="344" t="s">
        <v>575</v>
      </c>
      <c r="B310" s="363" t="s">
        <v>1131</v>
      </c>
      <c r="C310" s="363" t="s">
        <v>1130</v>
      </c>
      <c r="D310" s="363" t="s">
        <v>361</v>
      </c>
      <c r="E310" s="363" t="s">
        <v>360</v>
      </c>
      <c r="F310" s="363" t="s">
        <v>159</v>
      </c>
      <c r="G310" s="363" t="s">
        <v>127</v>
      </c>
      <c r="H310" s="364" t="s">
        <v>501</v>
      </c>
      <c r="I310" s="345" t="s">
        <v>502</v>
      </c>
      <c r="J310" s="338"/>
    </row>
    <row r="311" spans="1:10" s="68" customFormat="1" ht="13.5" thickTop="1">
      <c r="A311" s="133">
        <f>A312-1</f>
        <v>2005</v>
      </c>
      <c r="B311" s="134"/>
      <c r="C311" s="134"/>
      <c r="D311" s="134"/>
      <c r="E311" s="134"/>
      <c r="F311" s="134"/>
      <c r="G311" s="134"/>
      <c r="H311" s="134"/>
      <c r="I311" s="339"/>
      <c r="J311" s="69"/>
    </row>
    <row r="312" spans="1:10" s="68" customFormat="1" ht="12.75">
      <c r="A312" s="133">
        <f>A313-1</f>
        <v>2006</v>
      </c>
      <c r="B312" s="134"/>
      <c r="C312" s="134"/>
      <c r="D312" s="134"/>
      <c r="E312" s="134"/>
      <c r="F312" s="134"/>
      <c r="G312" s="134"/>
      <c r="H312" s="134"/>
      <c r="I312" s="339"/>
      <c r="J312" s="69"/>
    </row>
    <row r="313" spans="1:10" s="68" customFormat="1" ht="12.75">
      <c r="A313" s="152">
        <f>A314-1</f>
        <v>2007</v>
      </c>
      <c r="B313" s="157"/>
      <c r="C313" s="157"/>
      <c r="D313" s="157"/>
      <c r="E313" s="350"/>
      <c r="F313" s="350"/>
      <c r="G313" s="350"/>
      <c r="H313" s="351"/>
      <c r="I313" s="136"/>
      <c r="J313" s="346"/>
    </row>
    <row r="314" spans="1:10" s="68" customFormat="1" ht="12.75">
      <c r="A314" s="152">
        <v>2008</v>
      </c>
      <c r="B314" s="134">
        <v>100000000000</v>
      </c>
      <c r="C314" s="157">
        <f aca="true" t="shared" si="4" ref="C314:C336">B314*35.3</f>
        <v>3529999999999.9995</v>
      </c>
      <c r="D314" s="157">
        <f aca="true" t="shared" si="5" ref="D314:D336">C314*1027</f>
        <v>3625309999999999.5</v>
      </c>
      <c r="E314" s="350">
        <f aca="true" t="shared" si="6" ref="E314:E336">D314/1000000</f>
        <v>3625309999.9999995</v>
      </c>
      <c r="F314" s="352">
        <v>0.0001</v>
      </c>
      <c r="G314" s="353">
        <f aca="true" t="shared" si="7" ref="G314:G336">E314*F314</f>
        <v>362530.99999999994</v>
      </c>
      <c r="H314" s="351">
        <f aca="true" t="shared" si="8" ref="H314:H336">G314*52790</f>
        <v>19138011489.999996</v>
      </c>
      <c r="I314" s="354">
        <f aca="true" t="shared" si="9" ref="I314:I336">H314/1000000000000</f>
        <v>0.019138011489999995</v>
      </c>
      <c r="J314" s="347"/>
    </row>
    <row r="315" spans="1:10" s="68" customFormat="1" ht="12.75">
      <c r="A315" s="152">
        <f aca="true" t="shared" si="10" ref="A315:A336">A314+1</f>
        <v>2009</v>
      </c>
      <c r="B315" s="157">
        <f aca="true" t="shared" si="11" ref="B315:B336">(B314*0.008)+B314</f>
        <v>100800000000</v>
      </c>
      <c r="C315" s="157">
        <f t="shared" si="4"/>
        <v>3558239999999.9995</v>
      </c>
      <c r="D315" s="157">
        <f t="shared" si="5"/>
        <v>3654312479999999.5</v>
      </c>
      <c r="E315" s="350">
        <f t="shared" si="6"/>
        <v>3654312479.9999995</v>
      </c>
      <c r="F315" s="355">
        <f aca="true" t="shared" si="12" ref="F315:F335">((($F$336-$F$314)/($A$336-$A$314))+F314)</f>
        <v>0.004640909090909091</v>
      </c>
      <c r="G315" s="353">
        <f t="shared" si="7"/>
        <v>16959332.009454545</v>
      </c>
      <c r="H315" s="351">
        <f t="shared" si="8"/>
        <v>895283136779.1055</v>
      </c>
      <c r="I315" s="356">
        <f t="shared" si="9"/>
        <v>0.8952831367791054</v>
      </c>
      <c r="J315" s="347"/>
    </row>
    <row r="316" spans="1:11" s="68" customFormat="1" ht="12.75">
      <c r="A316" s="152">
        <f t="shared" si="10"/>
        <v>2010</v>
      </c>
      <c r="B316" s="157">
        <f t="shared" si="11"/>
        <v>101606400000</v>
      </c>
      <c r="C316" s="157">
        <f t="shared" si="4"/>
        <v>3586705919999.9995</v>
      </c>
      <c r="D316" s="157">
        <f t="shared" si="5"/>
        <v>3683546979839999.5</v>
      </c>
      <c r="E316" s="350">
        <f t="shared" si="6"/>
        <v>3683546979.8399997</v>
      </c>
      <c r="F316" s="355">
        <f t="shared" si="12"/>
        <v>0.009181818181818183</v>
      </c>
      <c r="G316" s="353">
        <f t="shared" si="7"/>
        <v>33821658.63307637</v>
      </c>
      <c r="H316" s="351">
        <f t="shared" si="8"/>
        <v>1785445359240.1016</v>
      </c>
      <c r="I316" s="356">
        <f t="shared" si="9"/>
        <v>1.7854453592401016</v>
      </c>
      <c r="J316" s="347"/>
      <c r="K316" s="173"/>
    </row>
    <row r="317" spans="1:11" s="68" customFormat="1" ht="12.75">
      <c r="A317" s="152">
        <f t="shared" si="10"/>
        <v>2011</v>
      </c>
      <c r="B317" s="157">
        <f t="shared" si="11"/>
        <v>102419251200</v>
      </c>
      <c r="C317" s="157">
        <f t="shared" si="4"/>
        <v>3615399567359.9995</v>
      </c>
      <c r="D317" s="157">
        <f t="shared" si="5"/>
        <v>3713015355678719.5</v>
      </c>
      <c r="E317" s="350">
        <f t="shared" si="6"/>
        <v>3713015355.6787195</v>
      </c>
      <c r="F317" s="355">
        <f t="shared" si="12"/>
        <v>0.013722727272727275</v>
      </c>
      <c r="G317" s="353">
        <f t="shared" si="7"/>
        <v>50952697.08542753</v>
      </c>
      <c r="H317" s="351">
        <f t="shared" si="8"/>
        <v>2689792879139.719</v>
      </c>
      <c r="I317" s="356">
        <f t="shared" si="9"/>
        <v>2.6897928791397194</v>
      </c>
      <c r="J317" s="347"/>
      <c r="K317" s="172"/>
    </row>
    <row r="318" spans="1:10" s="68" customFormat="1" ht="12.75">
      <c r="A318" s="152">
        <f t="shared" si="10"/>
        <v>2012</v>
      </c>
      <c r="B318" s="157">
        <f t="shared" si="11"/>
        <v>103238605209.6</v>
      </c>
      <c r="C318" s="157">
        <f t="shared" si="4"/>
        <v>3644322763898.88</v>
      </c>
      <c r="D318" s="157">
        <f t="shared" si="5"/>
        <v>3742719478524149.5</v>
      </c>
      <c r="E318" s="350">
        <f t="shared" si="6"/>
        <v>3742719478.5241494</v>
      </c>
      <c r="F318" s="355">
        <f t="shared" si="12"/>
        <v>0.018263636363636367</v>
      </c>
      <c r="G318" s="353">
        <f t="shared" si="7"/>
        <v>68355667.56686379</v>
      </c>
      <c r="H318" s="351">
        <f t="shared" si="8"/>
        <v>3608495690854.7393</v>
      </c>
      <c r="I318" s="356">
        <f t="shared" si="9"/>
        <v>3.608495690854739</v>
      </c>
      <c r="J318" s="347"/>
    </row>
    <row r="319" spans="1:10" s="68" customFormat="1" ht="12.75">
      <c r="A319" s="152">
        <f t="shared" si="10"/>
        <v>2013</v>
      </c>
      <c r="B319" s="157">
        <f t="shared" si="11"/>
        <v>104064514051.27681</v>
      </c>
      <c r="C319" s="157">
        <f t="shared" si="4"/>
        <v>3673477346010.0713</v>
      </c>
      <c r="D319" s="157">
        <f t="shared" si="5"/>
        <v>3772661234352343</v>
      </c>
      <c r="E319" s="350">
        <f t="shared" si="6"/>
        <v>3772661234.352343</v>
      </c>
      <c r="F319" s="355">
        <f t="shared" si="12"/>
        <v>0.02280454545454546</v>
      </c>
      <c r="G319" s="353">
        <f t="shared" si="7"/>
        <v>86033824.60338959</v>
      </c>
      <c r="H319" s="351">
        <f t="shared" si="8"/>
        <v>4541725600812.937</v>
      </c>
      <c r="I319" s="356">
        <f t="shared" si="9"/>
        <v>4.541725600812937</v>
      </c>
      <c r="J319" s="347"/>
    </row>
    <row r="320" spans="1:10" s="68" customFormat="1" ht="12.75">
      <c r="A320" s="152">
        <f t="shared" si="10"/>
        <v>2014</v>
      </c>
      <c r="B320" s="157">
        <f t="shared" si="11"/>
        <v>104897030163.68703</v>
      </c>
      <c r="C320" s="157">
        <f t="shared" si="4"/>
        <v>3702865164778.152</v>
      </c>
      <c r="D320" s="157">
        <f t="shared" si="5"/>
        <v>3802842524227162</v>
      </c>
      <c r="E320" s="350">
        <f t="shared" si="6"/>
        <v>3802842524.227162</v>
      </c>
      <c r="F320" s="355">
        <f t="shared" si="12"/>
        <v>0.02734545454545455</v>
      </c>
      <c r="G320" s="353">
        <f t="shared" si="7"/>
        <v>103990457.3897755</v>
      </c>
      <c r="H320" s="351">
        <f t="shared" si="8"/>
        <v>5489656245606.249</v>
      </c>
      <c r="I320" s="356">
        <f t="shared" si="9"/>
        <v>5.489656245606249</v>
      </c>
      <c r="J320" s="347"/>
    </row>
    <row r="321" spans="1:10" s="68" customFormat="1" ht="12.75">
      <c r="A321" s="152">
        <f t="shared" si="10"/>
        <v>2015</v>
      </c>
      <c r="B321" s="157">
        <f t="shared" si="11"/>
        <v>105736206404.99652</v>
      </c>
      <c r="C321" s="157">
        <f t="shared" si="4"/>
        <v>3732488086096.377</v>
      </c>
      <c r="D321" s="157">
        <f t="shared" si="5"/>
        <v>3833265264420979</v>
      </c>
      <c r="E321" s="350">
        <f t="shared" si="6"/>
        <v>3833265264.420979</v>
      </c>
      <c r="F321" s="355">
        <f t="shared" si="12"/>
        <v>0.03188636363636364</v>
      </c>
      <c r="G321" s="353">
        <f t="shared" si="7"/>
        <v>122228890.13596897</v>
      </c>
      <c r="H321" s="351">
        <f t="shared" si="8"/>
        <v>6452463110277.802</v>
      </c>
      <c r="I321" s="356">
        <f t="shared" si="9"/>
        <v>6.452463110277802</v>
      </c>
      <c r="J321" s="347"/>
    </row>
    <row r="322" spans="1:10" s="68" customFormat="1" ht="12.75">
      <c r="A322" s="152">
        <f t="shared" si="10"/>
        <v>2016</v>
      </c>
      <c r="B322" s="157">
        <f t="shared" si="11"/>
        <v>106582096056.2365</v>
      </c>
      <c r="C322" s="157">
        <f t="shared" si="4"/>
        <v>3762347990785.148</v>
      </c>
      <c r="D322" s="157">
        <f t="shared" si="5"/>
        <v>3863931386536347</v>
      </c>
      <c r="E322" s="350">
        <f t="shared" si="6"/>
        <v>3863931386.536347</v>
      </c>
      <c r="F322" s="355">
        <f t="shared" si="12"/>
        <v>0.03642727272727273</v>
      </c>
      <c r="G322" s="353">
        <f t="shared" si="7"/>
        <v>140752482.41682857</v>
      </c>
      <c r="H322" s="351">
        <f t="shared" si="8"/>
        <v>7430323546784.38</v>
      </c>
      <c r="I322" s="356">
        <f t="shared" si="9"/>
        <v>7.43032354678438</v>
      </c>
      <c r="J322" s="347"/>
    </row>
    <row r="323" spans="1:10" s="68" customFormat="1" ht="12.75">
      <c r="A323" s="152">
        <f t="shared" si="10"/>
        <v>2017</v>
      </c>
      <c r="B323" s="157">
        <f t="shared" si="11"/>
        <v>107434752824.68639</v>
      </c>
      <c r="C323" s="157">
        <f t="shared" si="4"/>
        <v>3792446774711.429</v>
      </c>
      <c r="D323" s="157">
        <f t="shared" si="5"/>
        <v>3894842837628638</v>
      </c>
      <c r="E323" s="350">
        <f t="shared" si="6"/>
        <v>3894842837.628638</v>
      </c>
      <c r="F323" s="355">
        <f t="shared" si="12"/>
        <v>0.04096818181818182</v>
      </c>
      <c r="G323" s="353">
        <f t="shared" si="7"/>
        <v>159564629.52521324</v>
      </c>
      <c r="H323" s="351">
        <f t="shared" si="8"/>
        <v>8423416792636.007</v>
      </c>
      <c r="I323" s="356">
        <f t="shared" si="9"/>
        <v>8.423416792636006</v>
      </c>
      <c r="J323" s="347"/>
    </row>
    <row r="324" spans="1:10" s="68" customFormat="1" ht="12.75">
      <c r="A324" s="152">
        <f t="shared" si="10"/>
        <v>2018</v>
      </c>
      <c r="B324" s="157">
        <f t="shared" si="11"/>
        <v>108294230847.28387</v>
      </c>
      <c r="C324" s="157">
        <f t="shared" si="4"/>
        <v>3822786348909.1206</v>
      </c>
      <c r="D324" s="157">
        <f t="shared" si="5"/>
        <v>3926001580329667</v>
      </c>
      <c r="E324" s="350">
        <f t="shared" si="6"/>
        <v>3926001580.329667</v>
      </c>
      <c r="F324" s="355">
        <f t="shared" si="12"/>
        <v>0.04550909090909091</v>
      </c>
      <c r="G324" s="353">
        <f t="shared" si="7"/>
        <v>178668762.8284574</v>
      </c>
      <c r="H324" s="351">
        <f t="shared" si="8"/>
        <v>9431923989714.266</v>
      </c>
      <c r="I324" s="356">
        <f t="shared" si="9"/>
        <v>9.431923989714265</v>
      </c>
      <c r="J324" s="347"/>
    </row>
    <row r="325" spans="1:10" s="68" customFormat="1" ht="12.75">
      <c r="A325" s="152">
        <f t="shared" si="10"/>
        <v>2019</v>
      </c>
      <c r="B325" s="157">
        <f t="shared" si="11"/>
        <v>109160584694.06215</v>
      </c>
      <c r="C325" s="157">
        <f t="shared" si="4"/>
        <v>3853368639700.3936</v>
      </c>
      <c r="D325" s="157">
        <f t="shared" si="5"/>
        <v>3957409592972304</v>
      </c>
      <c r="E325" s="350">
        <f t="shared" si="6"/>
        <v>3957409592.972304</v>
      </c>
      <c r="F325" s="355">
        <f t="shared" si="12"/>
        <v>0.05005</v>
      </c>
      <c r="G325" s="353">
        <f t="shared" si="7"/>
        <v>198068350.1282638</v>
      </c>
      <c r="H325" s="351">
        <f t="shared" si="8"/>
        <v>10456028203271.047</v>
      </c>
      <c r="I325" s="356">
        <f t="shared" si="9"/>
        <v>10.456028203271046</v>
      </c>
      <c r="J325" s="347"/>
    </row>
    <row r="326" spans="1:10" s="68" customFormat="1" ht="12.75">
      <c r="A326" s="152">
        <f t="shared" si="10"/>
        <v>2020</v>
      </c>
      <c r="B326" s="157">
        <f t="shared" si="11"/>
        <v>110033869371.61464</v>
      </c>
      <c r="C326" s="157">
        <f t="shared" si="4"/>
        <v>3884195588817.9966</v>
      </c>
      <c r="D326" s="157">
        <f t="shared" si="5"/>
        <v>3989068869716082.5</v>
      </c>
      <c r="E326" s="350">
        <f t="shared" si="6"/>
        <v>3989068869.7160826</v>
      </c>
      <c r="F326" s="355">
        <f t="shared" si="12"/>
        <v>0.054590909090909086</v>
      </c>
      <c r="G326" s="353">
        <f t="shared" si="7"/>
        <v>217766896.02404612</v>
      </c>
      <c r="H326" s="351">
        <f t="shared" si="8"/>
        <v>11495914441109.395</v>
      </c>
      <c r="I326" s="356">
        <f t="shared" si="9"/>
        <v>11.495914441109395</v>
      </c>
      <c r="J326" s="347"/>
    </row>
    <row r="327" spans="1:10" s="68" customFormat="1" ht="12.75">
      <c r="A327" s="152">
        <f t="shared" si="10"/>
        <v>2021</v>
      </c>
      <c r="B327" s="157">
        <f t="shared" si="11"/>
        <v>110914140326.58755</v>
      </c>
      <c r="C327" s="157">
        <f t="shared" si="4"/>
        <v>3915269153528.5405</v>
      </c>
      <c r="D327" s="157">
        <f t="shared" si="5"/>
        <v>4020981420673811</v>
      </c>
      <c r="E327" s="350">
        <f t="shared" si="6"/>
        <v>4020981420.673811</v>
      </c>
      <c r="F327" s="355">
        <f t="shared" si="12"/>
        <v>0.059131818181818174</v>
      </c>
      <c r="G327" s="353">
        <f t="shared" si="7"/>
        <v>237767942.27975273</v>
      </c>
      <c r="H327" s="351">
        <f t="shared" si="8"/>
        <v>12551769672948.146</v>
      </c>
      <c r="I327" s="356">
        <f t="shared" si="9"/>
        <v>12.551769672948147</v>
      </c>
      <c r="J327" s="347"/>
    </row>
    <row r="328" spans="1:10" s="116" customFormat="1" ht="12.75">
      <c r="A328" s="152">
        <f t="shared" si="10"/>
        <v>2022</v>
      </c>
      <c r="B328" s="157">
        <f t="shared" si="11"/>
        <v>111801453449.20026</v>
      </c>
      <c r="C328" s="157">
        <f t="shared" si="4"/>
        <v>3946591306756.7686</v>
      </c>
      <c r="D328" s="157">
        <f t="shared" si="5"/>
        <v>4053149272039201.5</v>
      </c>
      <c r="E328" s="350">
        <f t="shared" si="6"/>
        <v>4053149272.0392017</v>
      </c>
      <c r="F328" s="355">
        <f t="shared" si="12"/>
        <v>0.06367272727272727</v>
      </c>
      <c r="G328" s="353">
        <f t="shared" si="7"/>
        <v>258075068.19420516</v>
      </c>
      <c r="H328" s="351">
        <f t="shared" si="8"/>
        <v>13623782849972.09</v>
      </c>
      <c r="I328" s="356">
        <f t="shared" si="9"/>
        <v>13.62378284997209</v>
      </c>
      <c r="J328" s="78"/>
    </row>
    <row r="329" spans="1:10" s="68" customFormat="1" ht="12.75">
      <c r="A329" s="152">
        <f t="shared" si="10"/>
        <v>2023</v>
      </c>
      <c r="B329" s="157">
        <f t="shared" si="11"/>
        <v>112695865076.79385</v>
      </c>
      <c r="C329" s="157">
        <f t="shared" si="4"/>
        <v>3978164037210.8228</v>
      </c>
      <c r="D329" s="157">
        <f t="shared" si="5"/>
        <v>4085574466215515</v>
      </c>
      <c r="E329" s="350">
        <f t="shared" si="6"/>
        <v>4085574466.215515</v>
      </c>
      <c r="F329" s="355">
        <f t="shared" si="12"/>
        <v>0.06821363636363637</v>
      </c>
      <c r="G329" s="353">
        <f t="shared" si="7"/>
        <v>278691890.9749829</v>
      </c>
      <c r="H329" s="351">
        <f t="shared" si="8"/>
        <v>14712144924569.348</v>
      </c>
      <c r="I329" s="356">
        <f t="shared" si="9"/>
        <v>14.712144924569348</v>
      </c>
      <c r="J329" s="347"/>
    </row>
    <row r="330" spans="1:10" s="68" customFormat="1" ht="12.75">
      <c r="A330" s="152">
        <f t="shared" si="10"/>
        <v>2024</v>
      </c>
      <c r="B330" s="157">
        <f t="shared" si="11"/>
        <v>113597431997.4082</v>
      </c>
      <c r="C330" s="157">
        <f t="shared" si="4"/>
        <v>4009989349508.5093</v>
      </c>
      <c r="D330" s="157">
        <f t="shared" si="5"/>
        <v>4118259061945239</v>
      </c>
      <c r="E330" s="350">
        <f t="shared" si="6"/>
        <v>4118259061.945239</v>
      </c>
      <c r="F330" s="355">
        <f t="shared" si="12"/>
        <v>0.07275454545454546</v>
      </c>
      <c r="G330" s="353">
        <f t="shared" si="7"/>
        <v>299622066.11588866</v>
      </c>
      <c r="H330" s="351">
        <f t="shared" si="8"/>
        <v>15817048870257.762</v>
      </c>
      <c r="I330" s="356">
        <f t="shared" si="9"/>
        <v>15.817048870257763</v>
      </c>
      <c r="J330" s="347"/>
    </row>
    <row r="331" spans="1:10" s="68" customFormat="1" ht="12.75">
      <c r="A331" s="152">
        <f t="shared" si="10"/>
        <v>2025</v>
      </c>
      <c r="B331" s="157">
        <f t="shared" si="11"/>
        <v>114506211453.38747</v>
      </c>
      <c r="C331" s="157">
        <f t="shared" si="4"/>
        <v>4042069264304.577</v>
      </c>
      <c r="D331" s="157">
        <f t="shared" si="5"/>
        <v>4151205134440800.5</v>
      </c>
      <c r="E331" s="350">
        <f t="shared" si="6"/>
        <v>4151205134.4408007</v>
      </c>
      <c r="F331" s="355">
        <f t="shared" si="12"/>
        <v>0.07729545454545456</v>
      </c>
      <c r="G331" s="353">
        <f t="shared" si="7"/>
        <v>320869287.77802646</v>
      </c>
      <c r="H331" s="351">
        <f t="shared" si="8"/>
        <v>16938689701802.018</v>
      </c>
      <c r="I331" s="356">
        <f t="shared" si="9"/>
        <v>16.93868970180202</v>
      </c>
      <c r="J331" s="347"/>
    </row>
    <row r="332" spans="1:10" s="68" customFormat="1" ht="12.75">
      <c r="A332" s="152">
        <f t="shared" si="10"/>
        <v>2026</v>
      </c>
      <c r="B332" s="157">
        <f t="shared" si="11"/>
        <v>115422261145.01457</v>
      </c>
      <c r="C332" s="157">
        <f t="shared" si="4"/>
        <v>4074405818419.014</v>
      </c>
      <c r="D332" s="157">
        <f t="shared" si="5"/>
        <v>4184414775516327.5</v>
      </c>
      <c r="E332" s="350">
        <f t="shared" si="6"/>
        <v>4184414775.5163274</v>
      </c>
      <c r="F332" s="355">
        <f t="shared" si="12"/>
        <v>0.08183636363636365</v>
      </c>
      <c r="G332" s="353">
        <f t="shared" si="7"/>
        <v>342437289.17452717</v>
      </c>
      <c r="H332" s="351">
        <f t="shared" si="8"/>
        <v>18077264495523.29</v>
      </c>
      <c r="I332" s="356">
        <f t="shared" si="9"/>
        <v>18.077264495523288</v>
      </c>
      <c r="J332" s="347"/>
    </row>
    <row r="333" spans="1:10" s="68" customFormat="1" ht="12.75">
      <c r="A333" s="152">
        <f t="shared" si="10"/>
        <v>2027</v>
      </c>
      <c r="B333" s="157">
        <f t="shared" si="11"/>
        <v>116345639234.17468</v>
      </c>
      <c r="C333" s="157">
        <f t="shared" si="4"/>
        <v>4107001064966.3657</v>
      </c>
      <c r="D333" s="157">
        <f t="shared" si="5"/>
        <v>4217890093720457.5</v>
      </c>
      <c r="E333" s="350">
        <f t="shared" si="6"/>
        <v>4217890093.7204576</v>
      </c>
      <c r="F333" s="355">
        <f t="shared" si="12"/>
        <v>0.08637727272727275</v>
      </c>
      <c r="G333" s="353">
        <f t="shared" si="7"/>
        <v>364329842.958954</v>
      </c>
      <c r="H333" s="351">
        <f t="shared" si="8"/>
        <v>19232972409803.18</v>
      </c>
      <c r="I333" s="356">
        <f t="shared" si="9"/>
        <v>19.23297240980318</v>
      </c>
      <c r="J333" s="347"/>
    </row>
    <row r="334" spans="1:10" s="68" customFormat="1" ht="12.75">
      <c r="A334" s="152">
        <f t="shared" si="10"/>
        <v>2028</v>
      </c>
      <c r="B334" s="157">
        <f t="shared" si="11"/>
        <v>117276404348.04808</v>
      </c>
      <c r="C334" s="157">
        <f t="shared" si="4"/>
        <v>4139857073486.0967</v>
      </c>
      <c r="D334" s="157">
        <f t="shared" si="5"/>
        <v>4251633214470221.5</v>
      </c>
      <c r="E334" s="350">
        <f t="shared" si="6"/>
        <v>4251633214.4702215</v>
      </c>
      <c r="F334" s="355">
        <f t="shared" si="12"/>
        <v>0.09091818181818184</v>
      </c>
      <c r="G334" s="353">
        <f t="shared" si="7"/>
        <v>386550761.6174245</v>
      </c>
      <c r="H334" s="351">
        <f t="shared" si="8"/>
        <v>20406014705783.84</v>
      </c>
      <c r="I334" s="356">
        <f t="shared" si="9"/>
        <v>20.40601470578384</v>
      </c>
      <c r="J334" s="347"/>
    </row>
    <row r="335" spans="1:10" s="68" customFormat="1" ht="12.75">
      <c r="A335" s="152">
        <f t="shared" si="10"/>
        <v>2029</v>
      </c>
      <c r="B335" s="157">
        <f t="shared" si="11"/>
        <v>118214615582.83246</v>
      </c>
      <c r="C335" s="157">
        <f t="shared" si="4"/>
        <v>4172975930073.9854</v>
      </c>
      <c r="D335" s="157">
        <f t="shared" si="5"/>
        <v>4285646280185983</v>
      </c>
      <c r="E335" s="350">
        <f t="shared" si="6"/>
        <v>4285646280.185983</v>
      </c>
      <c r="F335" s="355">
        <f t="shared" si="12"/>
        <v>0.09545909090909094</v>
      </c>
      <c r="G335" s="353">
        <f t="shared" si="7"/>
        <v>409103897.8644812</v>
      </c>
      <c r="H335" s="351">
        <f t="shared" si="8"/>
        <v>21596594768265.965</v>
      </c>
      <c r="I335" s="356">
        <f t="shared" si="9"/>
        <v>21.596594768265966</v>
      </c>
      <c r="J335" s="347"/>
    </row>
    <row r="336" spans="1:10" s="68" customFormat="1" ht="12.75">
      <c r="A336" s="357">
        <f t="shared" si="10"/>
        <v>2030</v>
      </c>
      <c r="B336" s="349">
        <f t="shared" si="11"/>
        <v>119160332507.49512</v>
      </c>
      <c r="C336" s="349">
        <f t="shared" si="4"/>
        <v>4206359737514.577</v>
      </c>
      <c r="D336" s="349">
        <f t="shared" si="5"/>
        <v>4319931450427470.5</v>
      </c>
      <c r="E336" s="358">
        <f t="shared" si="6"/>
        <v>4319931450.42747</v>
      </c>
      <c r="F336" s="359">
        <v>0.1</v>
      </c>
      <c r="G336" s="360">
        <f t="shared" si="7"/>
        <v>431993145.042747</v>
      </c>
      <c r="H336" s="361">
        <f t="shared" si="8"/>
        <v>22804918126806.613</v>
      </c>
      <c r="I336" s="362">
        <f t="shared" si="9"/>
        <v>22.804918126806612</v>
      </c>
      <c r="J336" s="347"/>
    </row>
    <row r="337" s="68" customFormat="1" ht="12.75"/>
    <row r="338" spans="1:8" s="68" customFormat="1" ht="12.75">
      <c r="A338" s="523" t="s">
        <v>578</v>
      </c>
      <c r="B338" s="523"/>
      <c r="C338" s="523"/>
      <c r="D338" s="523"/>
      <c r="E338" s="524"/>
      <c r="F338" s="169"/>
      <c r="G338" s="169"/>
      <c r="H338" s="185">
        <f>I336</f>
        <v>22.804918126806612</v>
      </c>
    </row>
    <row r="339" spans="1:8" s="68" customFormat="1" ht="12.75">
      <c r="A339" s="523" t="s">
        <v>582</v>
      </c>
      <c r="B339" s="523"/>
      <c r="C339" s="523"/>
      <c r="D339" s="523"/>
      <c r="E339" s="524"/>
      <c r="F339" s="169"/>
      <c r="G339" s="169"/>
      <c r="H339" s="181">
        <f>SUM(I315:I336)</f>
        <v>248.46166952195796</v>
      </c>
    </row>
    <row r="340" spans="1:7" s="68" customFormat="1" ht="12.75">
      <c r="A340" s="68" t="s">
        <v>1116</v>
      </c>
      <c r="D340" s="68" t="s">
        <v>435</v>
      </c>
      <c r="E340" s="171"/>
      <c r="F340" s="170"/>
      <c r="G340" s="170"/>
    </row>
    <row r="342" spans="1:9" s="68" customFormat="1" ht="12.75">
      <c r="A342" s="466" t="s">
        <v>1115</v>
      </c>
      <c r="B342" s="530"/>
      <c r="C342" s="530"/>
      <c r="D342" s="530"/>
      <c r="E342" s="530"/>
      <c r="F342" s="530"/>
      <c r="G342" s="530"/>
      <c r="H342" s="530"/>
      <c r="I342" s="531"/>
    </row>
    <row r="343" spans="1:9" s="68" customFormat="1" ht="12.75">
      <c r="A343" s="468" t="s">
        <v>1114</v>
      </c>
      <c r="B343" s="456"/>
      <c r="C343" s="456"/>
      <c r="D343" s="456"/>
      <c r="E343" s="456"/>
      <c r="F343" s="456"/>
      <c r="G343" s="456"/>
      <c r="H343" s="456"/>
      <c r="I343" s="436"/>
    </row>
    <row r="344" spans="1:9" s="68" customFormat="1" ht="27" customHeight="1">
      <c r="A344" s="520" t="s">
        <v>1113</v>
      </c>
      <c r="B344" s="456"/>
      <c r="C344" s="456"/>
      <c r="D344" s="456"/>
      <c r="E344" s="456"/>
      <c r="F344" s="456"/>
      <c r="G344" s="456"/>
      <c r="H344" s="456"/>
      <c r="I344" s="436"/>
    </row>
    <row r="345" spans="1:9" s="68" customFormat="1" ht="27" customHeight="1">
      <c r="A345" s="397" t="s">
        <v>368</v>
      </c>
      <c r="B345" s="331"/>
      <c r="C345" s="331"/>
      <c r="D345" s="331"/>
      <c r="E345" s="331"/>
      <c r="F345" s="331"/>
      <c r="G345" s="331"/>
      <c r="H345" s="331"/>
      <c r="I345" s="332"/>
    </row>
    <row r="346" s="68" customFormat="1" ht="12.75">
      <c r="A346" s="64"/>
    </row>
    <row r="347" spans="1:9" s="68" customFormat="1" ht="51.75" thickBot="1">
      <c r="A347" s="344" t="s">
        <v>575</v>
      </c>
      <c r="B347" s="363" t="s">
        <v>1112</v>
      </c>
      <c r="C347" s="363" t="s">
        <v>1111</v>
      </c>
      <c r="D347" s="363" t="s">
        <v>361</v>
      </c>
      <c r="E347" s="363" t="s">
        <v>360</v>
      </c>
      <c r="F347" s="363" t="s">
        <v>128</v>
      </c>
      <c r="G347" s="363" t="s">
        <v>127</v>
      </c>
      <c r="H347" s="364" t="s">
        <v>501</v>
      </c>
      <c r="I347" s="345" t="s">
        <v>502</v>
      </c>
    </row>
    <row r="348" spans="1:9" s="68" customFormat="1" ht="13.5" thickTop="1">
      <c r="A348" s="365">
        <v>2009</v>
      </c>
      <c r="B348" s="367">
        <f>B351*0.25</f>
        <v>68437500</v>
      </c>
      <c r="C348" s="351">
        <f aca="true" t="shared" si="13" ref="C348:C369">B348*35.3</f>
        <v>2415843750</v>
      </c>
      <c r="D348" s="157">
        <f aca="true" t="shared" si="14" ref="D348:D369">C348*1027</f>
        <v>2481071531250</v>
      </c>
      <c r="E348" s="350">
        <f aca="true" t="shared" si="15" ref="E348:E369">D348/1000000</f>
        <v>2481071.53125</v>
      </c>
      <c r="F348" s="368">
        <v>1</v>
      </c>
      <c r="G348" s="353">
        <f aca="true" t="shared" si="16" ref="G348:G369">E348*F348</f>
        <v>2481071.53125</v>
      </c>
      <c r="H348" s="351">
        <f aca="true" t="shared" si="17" ref="H348:H369">G348*52790</f>
        <v>130975766134.6875</v>
      </c>
      <c r="I348" s="356">
        <f aca="true" t="shared" si="18" ref="I348:I369">H348/1000000000000</f>
        <v>0.1309757661346875</v>
      </c>
    </row>
    <row r="349" spans="1:9" s="68" customFormat="1" ht="12.75">
      <c r="A349" s="365">
        <f aca="true" t="shared" si="19" ref="A349:A369">A348+1</f>
        <v>2010</v>
      </c>
      <c r="B349" s="367">
        <f>B351*0.5</f>
        <v>136875000</v>
      </c>
      <c r="C349" s="351">
        <f t="shared" si="13"/>
        <v>4831687500</v>
      </c>
      <c r="D349" s="157">
        <f t="shared" si="14"/>
        <v>4962143062500</v>
      </c>
      <c r="E349" s="350">
        <f t="shared" si="15"/>
        <v>4962143.0625</v>
      </c>
      <c r="F349" s="368">
        <v>1</v>
      </c>
      <c r="G349" s="353">
        <f t="shared" si="16"/>
        <v>4962143.0625</v>
      </c>
      <c r="H349" s="351">
        <f t="shared" si="17"/>
        <v>261951532269.375</v>
      </c>
      <c r="I349" s="356">
        <f t="shared" si="18"/>
        <v>0.261951532269375</v>
      </c>
    </row>
    <row r="350" spans="1:9" s="68" customFormat="1" ht="12.75">
      <c r="A350" s="365">
        <f t="shared" si="19"/>
        <v>2011</v>
      </c>
      <c r="B350" s="367">
        <f>B351*0.75</f>
        <v>205312500</v>
      </c>
      <c r="C350" s="351">
        <f t="shared" si="13"/>
        <v>7247531249.999999</v>
      </c>
      <c r="D350" s="157">
        <f t="shared" si="14"/>
        <v>7443214593749.999</v>
      </c>
      <c r="E350" s="350">
        <f t="shared" si="15"/>
        <v>7443214.593749999</v>
      </c>
      <c r="F350" s="368">
        <v>1</v>
      </c>
      <c r="G350" s="353">
        <f t="shared" si="16"/>
        <v>7443214.593749999</v>
      </c>
      <c r="H350" s="351">
        <f t="shared" si="17"/>
        <v>392927298404.06244</v>
      </c>
      <c r="I350" s="356">
        <f t="shared" si="18"/>
        <v>0.39292729840406243</v>
      </c>
    </row>
    <row r="351" spans="1:9" s="116" customFormat="1" ht="12.75">
      <c r="A351" s="374">
        <f t="shared" si="19"/>
        <v>2012</v>
      </c>
      <c r="B351" s="375">
        <v>273750000</v>
      </c>
      <c r="C351" s="376">
        <f t="shared" si="13"/>
        <v>9663375000</v>
      </c>
      <c r="D351" s="348">
        <f t="shared" si="14"/>
        <v>9924286125000</v>
      </c>
      <c r="E351" s="375">
        <f t="shared" si="15"/>
        <v>9924286.125</v>
      </c>
      <c r="F351" s="377">
        <v>1</v>
      </c>
      <c r="G351" s="378">
        <f t="shared" si="16"/>
        <v>9924286.125</v>
      </c>
      <c r="H351" s="376">
        <f t="shared" si="17"/>
        <v>523903064538.75</v>
      </c>
      <c r="I351" s="356">
        <f t="shared" si="18"/>
        <v>0.52390306453875</v>
      </c>
    </row>
    <row r="352" spans="1:9" s="68" customFormat="1" ht="12.75">
      <c r="A352" s="365">
        <f t="shared" si="19"/>
        <v>2013</v>
      </c>
      <c r="B352" s="350">
        <v>273750000</v>
      </c>
      <c r="C352" s="351">
        <f t="shared" si="13"/>
        <v>9663375000</v>
      </c>
      <c r="D352" s="157">
        <f t="shared" si="14"/>
        <v>9924286125000</v>
      </c>
      <c r="E352" s="350">
        <f t="shared" si="15"/>
        <v>9924286.125</v>
      </c>
      <c r="F352" s="368">
        <v>1</v>
      </c>
      <c r="G352" s="353">
        <f t="shared" si="16"/>
        <v>9924286.125</v>
      </c>
      <c r="H352" s="351">
        <f t="shared" si="17"/>
        <v>523903064538.75</v>
      </c>
      <c r="I352" s="356">
        <f t="shared" si="18"/>
        <v>0.52390306453875</v>
      </c>
    </row>
    <row r="353" spans="1:9" s="68" customFormat="1" ht="12.75">
      <c r="A353" s="365">
        <f t="shared" si="19"/>
        <v>2014</v>
      </c>
      <c r="B353" s="350">
        <v>273750000</v>
      </c>
      <c r="C353" s="351">
        <f t="shared" si="13"/>
        <v>9663375000</v>
      </c>
      <c r="D353" s="157">
        <f t="shared" si="14"/>
        <v>9924286125000</v>
      </c>
      <c r="E353" s="350">
        <f t="shared" si="15"/>
        <v>9924286.125</v>
      </c>
      <c r="F353" s="368">
        <v>1</v>
      </c>
      <c r="G353" s="353">
        <f t="shared" si="16"/>
        <v>9924286.125</v>
      </c>
      <c r="H353" s="351">
        <f t="shared" si="17"/>
        <v>523903064538.75</v>
      </c>
      <c r="I353" s="356">
        <f t="shared" si="18"/>
        <v>0.52390306453875</v>
      </c>
    </row>
    <row r="354" spans="1:9" s="68" customFormat="1" ht="12.75">
      <c r="A354" s="365">
        <f t="shared" si="19"/>
        <v>2015</v>
      </c>
      <c r="B354" s="350">
        <v>273750000</v>
      </c>
      <c r="C354" s="351">
        <f t="shared" si="13"/>
        <v>9663375000</v>
      </c>
      <c r="D354" s="157">
        <f t="shared" si="14"/>
        <v>9924286125000</v>
      </c>
      <c r="E354" s="350">
        <f t="shared" si="15"/>
        <v>9924286.125</v>
      </c>
      <c r="F354" s="368">
        <v>1</v>
      </c>
      <c r="G354" s="353">
        <f t="shared" si="16"/>
        <v>9924286.125</v>
      </c>
      <c r="H354" s="351">
        <f t="shared" si="17"/>
        <v>523903064538.75</v>
      </c>
      <c r="I354" s="356">
        <f t="shared" si="18"/>
        <v>0.52390306453875</v>
      </c>
    </row>
    <row r="355" spans="1:9" s="68" customFormat="1" ht="12.75">
      <c r="A355" s="365">
        <f t="shared" si="19"/>
        <v>2016</v>
      </c>
      <c r="B355" s="350">
        <v>273750000</v>
      </c>
      <c r="C355" s="351">
        <f t="shared" si="13"/>
        <v>9663375000</v>
      </c>
      <c r="D355" s="157">
        <f t="shared" si="14"/>
        <v>9924286125000</v>
      </c>
      <c r="E355" s="350">
        <f t="shared" si="15"/>
        <v>9924286.125</v>
      </c>
      <c r="F355" s="368">
        <v>1</v>
      </c>
      <c r="G355" s="353">
        <f t="shared" si="16"/>
        <v>9924286.125</v>
      </c>
      <c r="H355" s="351">
        <f t="shared" si="17"/>
        <v>523903064538.75</v>
      </c>
      <c r="I355" s="356">
        <f t="shared" si="18"/>
        <v>0.52390306453875</v>
      </c>
    </row>
    <row r="356" spans="1:9" s="68" customFormat="1" ht="12.75">
      <c r="A356" s="365">
        <f t="shared" si="19"/>
        <v>2017</v>
      </c>
      <c r="B356" s="350">
        <v>273750000</v>
      </c>
      <c r="C356" s="351">
        <f t="shared" si="13"/>
        <v>9663375000</v>
      </c>
      <c r="D356" s="157">
        <f t="shared" si="14"/>
        <v>9924286125000</v>
      </c>
      <c r="E356" s="350">
        <f t="shared" si="15"/>
        <v>9924286.125</v>
      </c>
      <c r="F356" s="368">
        <v>1</v>
      </c>
      <c r="G356" s="353">
        <f t="shared" si="16"/>
        <v>9924286.125</v>
      </c>
      <c r="H356" s="351">
        <f t="shared" si="17"/>
        <v>523903064538.75</v>
      </c>
      <c r="I356" s="356">
        <f t="shared" si="18"/>
        <v>0.52390306453875</v>
      </c>
    </row>
    <row r="357" spans="1:9" s="68" customFormat="1" ht="12.75">
      <c r="A357" s="365">
        <f t="shared" si="19"/>
        <v>2018</v>
      </c>
      <c r="B357" s="350">
        <v>273750000</v>
      </c>
      <c r="C357" s="351">
        <f t="shared" si="13"/>
        <v>9663375000</v>
      </c>
      <c r="D357" s="157">
        <f t="shared" si="14"/>
        <v>9924286125000</v>
      </c>
      <c r="E357" s="350">
        <f t="shared" si="15"/>
        <v>9924286.125</v>
      </c>
      <c r="F357" s="368">
        <v>1</v>
      </c>
      <c r="G357" s="353">
        <f t="shared" si="16"/>
        <v>9924286.125</v>
      </c>
      <c r="H357" s="351">
        <f t="shared" si="17"/>
        <v>523903064538.75</v>
      </c>
      <c r="I357" s="356">
        <f t="shared" si="18"/>
        <v>0.52390306453875</v>
      </c>
    </row>
    <row r="358" spans="1:9" s="68" customFormat="1" ht="12.75">
      <c r="A358" s="365">
        <f t="shared" si="19"/>
        <v>2019</v>
      </c>
      <c r="B358" s="350">
        <v>273750000</v>
      </c>
      <c r="C358" s="351">
        <f t="shared" si="13"/>
        <v>9663375000</v>
      </c>
      <c r="D358" s="157">
        <f t="shared" si="14"/>
        <v>9924286125000</v>
      </c>
      <c r="E358" s="350">
        <f t="shared" si="15"/>
        <v>9924286.125</v>
      </c>
      <c r="F358" s="368">
        <v>1</v>
      </c>
      <c r="G358" s="353">
        <f t="shared" si="16"/>
        <v>9924286.125</v>
      </c>
      <c r="H358" s="351">
        <f t="shared" si="17"/>
        <v>523903064538.75</v>
      </c>
      <c r="I358" s="356">
        <f t="shared" si="18"/>
        <v>0.52390306453875</v>
      </c>
    </row>
    <row r="359" spans="1:9" s="68" customFormat="1" ht="12.75">
      <c r="A359" s="365">
        <f t="shared" si="19"/>
        <v>2020</v>
      </c>
      <c r="B359" s="350">
        <v>273750000</v>
      </c>
      <c r="C359" s="351">
        <f t="shared" si="13"/>
        <v>9663375000</v>
      </c>
      <c r="D359" s="157">
        <f t="shared" si="14"/>
        <v>9924286125000</v>
      </c>
      <c r="E359" s="350">
        <f t="shared" si="15"/>
        <v>9924286.125</v>
      </c>
      <c r="F359" s="368">
        <v>1</v>
      </c>
      <c r="G359" s="353">
        <f t="shared" si="16"/>
        <v>9924286.125</v>
      </c>
      <c r="H359" s="351">
        <f t="shared" si="17"/>
        <v>523903064538.75</v>
      </c>
      <c r="I359" s="356">
        <f t="shared" si="18"/>
        <v>0.52390306453875</v>
      </c>
    </row>
    <row r="360" spans="1:9" s="68" customFormat="1" ht="12.75">
      <c r="A360" s="365">
        <f t="shared" si="19"/>
        <v>2021</v>
      </c>
      <c r="B360" s="350">
        <v>273750000</v>
      </c>
      <c r="C360" s="351">
        <f t="shared" si="13"/>
        <v>9663375000</v>
      </c>
      <c r="D360" s="157">
        <f t="shared" si="14"/>
        <v>9924286125000</v>
      </c>
      <c r="E360" s="350">
        <f t="shared" si="15"/>
        <v>9924286.125</v>
      </c>
      <c r="F360" s="368">
        <v>1</v>
      </c>
      <c r="G360" s="353">
        <f t="shared" si="16"/>
        <v>9924286.125</v>
      </c>
      <c r="H360" s="351">
        <f t="shared" si="17"/>
        <v>523903064538.75</v>
      </c>
      <c r="I360" s="356">
        <f t="shared" si="18"/>
        <v>0.52390306453875</v>
      </c>
    </row>
    <row r="361" spans="1:9" s="68" customFormat="1" ht="12.75">
      <c r="A361" s="365">
        <f t="shared" si="19"/>
        <v>2022</v>
      </c>
      <c r="B361" s="350">
        <v>273750000</v>
      </c>
      <c r="C361" s="351">
        <f t="shared" si="13"/>
        <v>9663375000</v>
      </c>
      <c r="D361" s="157">
        <f t="shared" si="14"/>
        <v>9924286125000</v>
      </c>
      <c r="E361" s="350">
        <f t="shared" si="15"/>
        <v>9924286.125</v>
      </c>
      <c r="F361" s="368">
        <v>1</v>
      </c>
      <c r="G361" s="353">
        <f t="shared" si="16"/>
        <v>9924286.125</v>
      </c>
      <c r="H361" s="351">
        <f t="shared" si="17"/>
        <v>523903064538.75</v>
      </c>
      <c r="I361" s="356">
        <f t="shared" si="18"/>
        <v>0.52390306453875</v>
      </c>
    </row>
    <row r="362" spans="1:9" s="68" customFormat="1" ht="12.75">
      <c r="A362" s="365">
        <f t="shared" si="19"/>
        <v>2023</v>
      </c>
      <c r="B362" s="350">
        <v>273750000</v>
      </c>
      <c r="C362" s="351">
        <f t="shared" si="13"/>
        <v>9663375000</v>
      </c>
      <c r="D362" s="157">
        <f t="shared" si="14"/>
        <v>9924286125000</v>
      </c>
      <c r="E362" s="350">
        <f t="shared" si="15"/>
        <v>9924286.125</v>
      </c>
      <c r="F362" s="368">
        <v>1</v>
      </c>
      <c r="G362" s="353">
        <f t="shared" si="16"/>
        <v>9924286.125</v>
      </c>
      <c r="H362" s="351">
        <f t="shared" si="17"/>
        <v>523903064538.75</v>
      </c>
      <c r="I362" s="356">
        <f t="shared" si="18"/>
        <v>0.52390306453875</v>
      </c>
    </row>
    <row r="363" spans="1:9" s="68" customFormat="1" ht="12.75">
      <c r="A363" s="365">
        <f t="shared" si="19"/>
        <v>2024</v>
      </c>
      <c r="B363" s="350">
        <v>273750000</v>
      </c>
      <c r="C363" s="351">
        <f t="shared" si="13"/>
        <v>9663375000</v>
      </c>
      <c r="D363" s="157">
        <f t="shared" si="14"/>
        <v>9924286125000</v>
      </c>
      <c r="E363" s="350">
        <f t="shared" si="15"/>
        <v>9924286.125</v>
      </c>
      <c r="F363" s="368">
        <v>1</v>
      </c>
      <c r="G363" s="353">
        <f t="shared" si="16"/>
        <v>9924286.125</v>
      </c>
      <c r="H363" s="351">
        <f t="shared" si="17"/>
        <v>523903064538.75</v>
      </c>
      <c r="I363" s="356">
        <f t="shared" si="18"/>
        <v>0.52390306453875</v>
      </c>
    </row>
    <row r="364" spans="1:9" s="68" customFormat="1" ht="12.75">
      <c r="A364" s="365">
        <f t="shared" si="19"/>
        <v>2025</v>
      </c>
      <c r="B364" s="350">
        <v>273750000</v>
      </c>
      <c r="C364" s="351">
        <f t="shared" si="13"/>
        <v>9663375000</v>
      </c>
      <c r="D364" s="157">
        <f t="shared" si="14"/>
        <v>9924286125000</v>
      </c>
      <c r="E364" s="350">
        <f t="shared" si="15"/>
        <v>9924286.125</v>
      </c>
      <c r="F364" s="368">
        <v>1</v>
      </c>
      <c r="G364" s="353">
        <f t="shared" si="16"/>
        <v>9924286.125</v>
      </c>
      <c r="H364" s="351">
        <f t="shared" si="17"/>
        <v>523903064538.75</v>
      </c>
      <c r="I364" s="356">
        <f t="shared" si="18"/>
        <v>0.52390306453875</v>
      </c>
    </row>
    <row r="365" spans="1:9" s="68" customFormat="1" ht="12.75">
      <c r="A365" s="365">
        <f t="shared" si="19"/>
        <v>2026</v>
      </c>
      <c r="B365" s="350">
        <v>273750000</v>
      </c>
      <c r="C365" s="351">
        <f t="shared" si="13"/>
        <v>9663375000</v>
      </c>
      <c r="D365" s="157">
        <f t="shared" si="14"/>
        <v>9924286125000</v>
      </c>
      <c r="E365" s="350">
        <f t="shared" si="15"/>
        <v>9924286.125</v>
      </c>
      <c r="F365" s="368">
        <v>1</v>
      </c>
      <c r="G365" s="353">
        <f t="shared" si="16"/>
        <v>9924286.125</v>
      </c>
      <c r="H365" s="351">
        <f t="shared" si="17"/>
        <v>523903064538.75</v>
      </c>
      <c r="I365" s="356">
        <f t="shared" si="18"/>
        <v>0.52390306453875</v>
      </c>
    </row>
    <row r="366" spans="1:9" s="68" customFormat="1" ht="12.75">
      <c r="A366" s="365">
        <f t="shared" si="19"/>
        <v>2027</v>
      </c>
      <c r="B366" s="350">
        <v>273750000</v>
      </c>
      <c r="C366" s="351">
        <f t="shared" si="13"/>
        <v>9663375000</v>
      </c>
      <c r="D366" s="157">
        <f t="shared" si="14"/>
        <v>9924286125000</v>
      </c>
      <c r="E366" s="350">
        <f t="shared" si="15"/>
        <v>9924286.125</v>
      </c>
      <c r="F366" s="368">
        <v>1</v>
      </c>
      <c r="G366" s="353">
        <f t="shared" si="16"/>
        <v>9924286.125</v>
      </c>
      <c r="H366" s="351">
        <f t="shared" si="17"/>
        <v>523903064538.75</v>
      </c>
      <c r="I366" s="356">
        <f t="shared" si="18"/>
        <v>0.52390306453875</v>
      </c>
    </row>
    <row r="367" spans="1:9" s="68" customFormat="1" ht="12.75">
      <c r="A367" s="365">
        <f t="shared" si="19"/>
        <v>2028</v>
      </c>
      <c r="B367" s="350">
        <v>273750000</v>
      </c>
      <c r="C367" s="351">
        <f t="shared" si="13"/>
        <v>9663375000</v>
      </c>
      <c r="D367" s="157">
        <f t="shared" si="14"/>
        <v>9924286125000</v>
      </c>
      <c r="E367" s="350">
        <f t="shared" si="15"/>
        <v>9924286.125</v>
      </c>
      <c r="F367" s="368">
        <v>1</v>
      </c>
      <c r="G367" s="353">
        <f t="shared" si="16"/>
        <v>9924286.125</v>
      </c>
      <c r="H367" s="351">
        <f t="shared" si="17"/>
        <v>523903064538.75</v>
      </c>
      <c r="I367" s="356">
        <f t="shared" si="18"/>
        <v>0.52390306453875</v>
      </c>
    </row>
    <row r="368" spans="1:9" s="68" customFormat="1" ht="12.75">
      <c r="A368" s="365">
        <f t="shared" si="19"/>
        <v>2029</v>
      </c>
      <c r="B368" s="350">
        <v>273750000</v>
      </c>
      <c r="C368" s="351">
        <f t="shared" si="13"/>
        <v>9663375000</v>
      </c>
      <c r="D368" s="157">
        <f t="shared" si="14"/>
        <v>9924286125000</v>
      </c>
      <c r="E368" s="350">
        <f t="shared" si="15"/>
        <v>9924286.125</v>
      </c>
      <c r="F368" s="368">
        <v>1</v>
      </c>
      <c r="G368" s="353">
        <f t="shared" si="16"/>
        <v>9924286.125</v>
      </c>
      <c r="H368" s="351">
        <f t="shared" si="17"/>
        <v>523903064538.75</v>
      </c>
      <c r="I368" s="356">
        <f t="shared" si="18"/>
        <v>0.52390306453875</v>
      </c>
    </row>
    <row r="369" spans="1:9" s="116" customFormat="1" ht="12.75">
      <c r="A369" s="366">
        <f t="shared" si="19"/>
        <v>2030</v>
      </c>
      <c r="B369" s="369">
        <v>273750000</v>
      </c>
      <c r="C369" s="370">
        <f t="shared" si="13"/>
        <v>9663375000</v>
      </c>
      <c r="D369" s="371">
        <f t="shared" si="14"/>
        <v>9924286125000</v>
      </c>
      <c r="E369" s="369">
        <f t="shared" si="15"/>
        <v>9924286.125</v>
      </c>
      <c r="F369" s="372">
        <v>1</v>
      </c>
      <c r="G369" s="373">
        <f t="shared" si="16"/>
        <v>9924286.125</v>
      </c>
      <c r="H369" s="370">
        <f t="shared" si="17"/>
        <v>523903064538.75</v>
      </c>
      <c r="I369" s="362">
        <f t="shared" si="18"/>
        <v>0.52390306453875</v>
      </c>
    </row>
    <row r="370" s="68" customFormat="1" ht="12.75"/>
    <row r="371" spans="1:8" s="68" customFormat="1" ht="12.75">
      <c r="A371" s="523" t="s">
        <v>578</v>
      </c>
      <c r="B371" s="523"/>
      <c r="C371" s="523"/>
      <c r="D371" s="523"/>
      <c r="E371" s="524"/>
      <c r="F371" s="169"/>
      <c r="G371" s="169"/>
      <c r="H371" s="165">
        <f>I351</f>
        <v>0.52390306453875</v>
      </c>
    </row>
    <row r="372" spans="1:9" s="68" customFormat="1" ht="12.75">
      <c r="A372" s="523" t="s">
        <v>582</v>
      </c>
      <c r="B372" s="523"/>
      <c r="C372" s="523"/>
      <c r="D372" s="523"/>
      <c r="E372" s="524"/>
      <c r="F372" s="169"/>
      <c r="G372" s="169"/>
      <c r="H372" s="168">
        <f>SUM(I348:I369)</f>
        <v>10.740012823044376</v>
      </c>
      <c r="I372" s="69"/>
    </row>
    <row r="376" spans="1:9" ht="13.5" customHeight="1">
      <c r="A376" s="466" t="s">
        <v>330</v>
      </c>
      <c r="B376" s="461"/>
      <c r="C376" s="461"/>
      <c r="D376" s="461"/>
      <c r="E376" s="461"/>
      <c r="F376" s="461"/>
      <c r="G376" s="55"/>
      <c r="H376" s="55"/>
      <c r="I376" s="54"/>
    </row>
    <row r="377" spans="1:9" ht="13.5" customHeight="1">
      <c r="A377" s="468" t="s">
        <v>331</v>
      </c>
      <c r="B377" s="463"/>
      <c r="C377" s="463"/>
      <c r="D377" s="463"/>
      <c r="E377" s="463"/>
      <c r="F377" s="463"/>
      <c r="G377" s="52"/>
      <c r="H377" s="52"/>
      <c r="I377" s="51"/>
    </row>
    <row r="378" spans="1:9" ht="13.5" customHeight="1">
      <c r="A378" s="470" t="s">
        <v>663</v>
      </c>
      <c r="B378" s="446"/>
      <c r="C378" s="446"/>
      <c r="D378" s="446"/>
      <c r="E378" s="446"/>
      <c r="F378" s="446"/>
      <c r="G378" s="52"/>
      <c r="H378" s="52"/>
      <c r="I378" s="51"/>
    </row>
    <row r="379" spans="1:9" ht="13.5" customHeight="1">
      <c r="A379" s="473" t="s">
        <v>332</v>
      </c>
      <c r="B379" s="445"/>
      <c r="C379" s="445"/>
      <c r="D379" s="445"/>
      <c r="E379" s="445"/>
      <c r="F379" s="445"/>
      <c r="G379" s="49"/>
      <c r="H379" s="49"/>
      <c r="I379" s="48"/>
    </row>
    <row r="380" ht="12.75">
      <c r="A380" s="15"/>
    </row>
    <row r="381" spans="1:4" ht="12.75">
      <c r="A381" t="s">
        <v>952</v>
      </c>
      <c r="D381" s="47" t="s">
        <v>664</v>
      </c>
    </row>
    <row r="382" ht="13.5" thickBot="1">
      <c r="A382" s="15"/>
    </row>
    <row r="383" spans="1:6" ht="38.25">
      <c r="A383" t="s">
        <v>743</v>
      </c>
      <c r="B383" s="74" t="s">
        <v>665</v>
      </c>
      <c r="D383" s="46" t="s">
        <v>932</v>
      </c>
      <c r="E383" s="45" t="s">
        <v>777</v>
      </c>
      <c r="F383" s="44" t="s">
        <v>67</v>
      </c>
    </row>
    <row r="384" spans="1:6" ht="13.5" thickBot="1">
      <c r="A384" t="s">
        <v>28</v>
      </c>
      <c r="B384" s="123"/>
      <c r="D384" s="43"/>
      <c r="E384" s="41"/>
      <c r="F384" s="40" t="s">
        <v>23</v>
      </c>
    </row>
    <row r="385" spans="1:6" ht="13.5" thickTop="1">
      <c r="A385" t="s">
        <v>22</v>
      </c>
      <c r="B385" s="119"/>
      <c r="C385" s="30"/>
      <c r="D385" s="25">
        <v>2005</v>
      </c>
      <c r="E385" s="39"/>
      <c r="F385" s="38"/>
    </row>
    <row r="386" spans="1:6" ht="12.75">
      <c r="A386" t="s">
        <v>21</v>
      </c>
      <c r="B386" s="122">
        <v>2.29</v>
      </c>
      <c r="D386" s="25">
        <v>2006</v>
      </c>
      <c r="E386" s="23"/>
      <c r="F386" s="34"/>
    </row>
    <row r="387" spans="1:6" ht="12.75">
      <c r="A387" t="s">
        <v>20</v>
      </c>
      <c r="B387" s="122">
        <v>2008</v>
      </c>
      <c r="D387" s="25">
        <v>2007</v>
      </c>
      <c r="E387" s="23"/>
      <c r="F387" s="34"/>
    </row>
    <row r="388" spans="1:6" s="33" customFormat="1" ht="12.75">
      <c r="A388" s="33" t="s">
        <v>666</v>
      </c>
      <c r="B388" s="121">
        <v>0</v>
      </c>
      <c r="C388" s="35"/>
      <c r="D388" s="25">
        <v>2008</v>
      </c>
      <c r="E388" s="23">
        <v>0</v>
      </c>
      <c r="F388" s="34"/>
    </row>
    <row r="389" spans="1:6" ht="12.75">
      <c r="A389" t="s">
        <v>18</v>
      </c>
      <c r="B389" s="120">
        <v>2010</v>
      </c>
      <c r="C389" s="30"/>
      <c r="D389" s="25">
        <v>2009</v>
      </c>
      <c r="E389" s="22">
        <f>(E390)/2</f>
        <v>8535000</v>
      </c>
      <c r="F389" s="21">
        <f>IF(ISERR(B386*E389),"",((B386*E389)))</f>
        <v>19545150</v>
      </c>
    </row>
    <row r="390" spans="1:6" ht="12.75">
      <c r="A390" t="s">
        <v>667</v>
      </c>
      <c r="B390" s="123">
        <f>17.07*10^6</f>
        <v>17070000</v>
      </c>
      <c r="C390" s="30"/>
      <c r="D390" s="25">
        <v>2010</v>
      </c>
      <c r="E390" s="22">
        <f>B390</f>
        <v>17070000</v>
      </c>
      <c r="F390" s="21">
        <f>IF(ISERR(B386*E390),"",((B386*E390)))</f>
        <v>39090300</v>
      </c>
    </row>
    <row r="391" spans="1:6" ht="12.75">
      <c r="A391" s="29" t="s">
        <v>721</v>
      </c>
      <c r="B391" s="28"/>
      <c r="D391" s="25">
        <v>2011</v>
      </c>
      <c r="E391" s="22">
        <f>E390</f>
        <v>17070000</v>
      </c>
      <c r="F391" s="21">
        <f>IF(ISERR(B386*E391),"",((B386*E391)))</f>
        <v>39090300</v>
      </c>
    </row>
    <row r="392" spans="4:6" ht="12.75">
      <c r="D392" s="25">
        <v>2012</v>
      </c>
      <c r="E392" s="22">
        <f aca="true" t="shared" si="20" ref="E392:E410">E391</f>
        <v>17070000</v>
      </c>
      <c r="F392" s="21">
        <f>IF(ISERR(B386*E392),"",((B386*E392)))</f>
        <v>39090300</v>
      </c>
    </row>
    <row r="393" spans="4:6" ht="12.75">
      <c r="D393" s="25">
        <v>2013</v>
      </c>
      <c r="E393" s="22">
        <f t="shared" si="20"/>
        <v>17070000</v>
      </c>
      <c r="F393" s="21">
        <f>IF(ISERR(B386*E393),"",((B386*E393)))</f>
        <v>39090300</v>
      </c>
    </row>
    <row r="394" spans="1:6" ht="12.75">
      <c r="A394" t="s">
        <v>720</v>
      </c>
      <c r="B394" s="27">
        <f>VLOOKUP(B389,D385:F410,3,FALSE)</f>
        <v>39090300</v>
      </c>
      <c r="D394" s="25">
        <v>2014</v>
      </c>
      <c r="E394" s="22">
        <f t="shared" si="20"/>
        <v>17070000</v>
      </c>
      <c r="F394" s="21">
        <f>IF(ISERR(B386*E394),"",((B386*E394)))</f>
        <v>39090300</v>
      </c>
    </row>
    <row r="395" spans="1:6" ht="12.75">
      <c r="A395" t="s">
        <v>719</v>
      </c>
      <c r="B395" s="27">
        <f>SUM(F389:F410)</f>
        <v>840441450</v>
      </c>
      <c r="D395" s="25">
        <v>2015</v>
      </c>
      <c r="E395" s="22">
        <f t="shared" si="20"/>
        <v>17070000</v>
      </c>
      <c r="F395" s="21">
        <f>IF(ISERR(B386*E395),"",((B386*E395)))</f>
        <v>39090300</v>
      </c>
    </row>
    <row r="396" spans="1:6" ht="12.75">
      <c r="A396" t="s">
        <v>718</v>
      </c>
      <c r="B396" s="26">
        <f>B394/(10^6)</f>
        <v>39.0903</v>
      </c>
      <c r="D396" s="25">
        <v>2016</v>
      </c>
      <c r="E396" s="22">
        <f t="shared" si="20"/>
        <v>17070000</v>
      </c>
      <c r="F396" s="21">
        <f>IF(ISERR(B386*E396),"",((B386*E396)))</f>
        <v>39090300</v>
      </c>
    </row>
    <row r="397" spans="1:6" ht="12.75">
      <c r="A397" t="s">
        <v>959</v>
      </c>
      <c r="B397" s="26">
        <f>B395/(10^6)</f>
        <v>840.44145</v>
      </c>
      <c r="D397" s="25">
        <v>2017</v>
      </c>
      <c r="E397" s="22">
        <f t="shared" si="20"/>
        <v>17070000</v>
      </c>
      <c r="F397" s="21">
        <f>IF(ISERR(B386*E397),"",((B386*E397)))</f>
        <v>39090300</v>
      </c>
    </row>
    <row r="398" spans="4:6" ht="12.75">
      <c r="D398" s="25">
        <v>2018</v>
      </c>
      <c r="E398" s="22">
        <f t="shared" si="20"/>
        <v>17070000</v>
      </c>
      <c r="F398" s="21">
        <f>IF(ISERR(B386*E398),"",((B386*E398)))</f>
        <v>39090300</v>
      </c>
    </row>
    <row r="399" spans="4:6" ht="12.75">
      <c r="D399" s="25">
        <v>2019</v>
      </c>
      <c r="E399" s="22">
        <f t="shared" si="20"/>
        <v>17070000</v>
      </c>
      <c r="F399" s="21">
        <f>IF(ISERR(B386*E399),"",((B386*E399)))</f>
        <v>39090300</v>
      </c>
    </row>
    <row r="400" spans="4:6" ht="12.75">
      <c r="D400" s="25">
        <v>2020</v>
      </c>
      <c r="E400" s="22">
        <f t="shared" si="20"/>
        <v>17070000</v>
      </c>
      <c r="F400" s="21">
        <f>IF(ISERR(B386*E400),"",((B386*E400)))</f>
        <v>39090300</v>
      </c>
    </row>
    <row r="401" spans="4:6" ht="12.75">
      <c r="D401" s="25">
        <v>2021</v>
      </c>
      <c r="E401" s="22">
        <f t="shared" si="20"/>
        <v>17070000</v>
      </c>
      <c r="F401" s="21">
        <f>IF(ISERR(B386*E401),"",((B386*E401)))</f>
        <v>39090300</v>
      </c>
    </row>
    <row r="402" spans="4:6" ht="12.75">
      <c r="D402" s="25">
        <v>2022</v>
      </c>
      <c r="E402" s="22">
        <f t="shared" si="20"/>
        <v>17070000</v>
      </c>
      <c r="F402" s="21">
        <f>IF(ISERR(B386*E402),"",((B386*E402)))</f>
        <v>39090300</v>
      </c>
    </row>
    <row r="403" spans="4:6" ht="12.75">
      <c r="D403" s="25">
        <v>2023</v>
      </c>
      <c r="E403" s="22">
        <f t="shared" si="20"/>
        <v>17070000</v>
      </c>
      <c r="F403" s="21">
        <f>IF(ISERR(B386*E403),"",((B386*E403)))</f>
        <v>39090300</v>
      </c>
    </row>
    <row r="404" spans="4:6" ht="12.75">
      <c r="D404" s="25">
        <v>2024</v>
      </c>
      <c r="E404" s="22">
        <f t="shared" si="20"/>
        <v>17070000</v>
      </c>
      <c r="F404" s="21">
        <f>IF(ISERR(B386*E404),"",((B386*E404)))</f>
        <v>39090300</v>
      </c>
    </row>
    <row r="405" spans="4:6" ht="12.75">
      <c r="D405" s="25">
        <v>2025</v>
      </c>
      <c r="E405" s="22">
        <f t="shared" si="20"/>
        <v>17070000</v>
      </c>
      <c r="F405" s="21">
        <f>IF(ISERR(B386*E405),"",((B386*E405)))</f>
        <v>39090300</v>
      </c>
    </row>
    <row r="406" spans="4:6" ht="12.75">
      <c r="D406" s="25">
        <v>2026</v>
      </c>
      <c r="E406" s="22">
        <f t="shared" si="20"/>
        <v>17070000</v>
      </c>
      <c r="F406" s="21">
        <f>IF(ISERR(B386*E406),"",((B386*E406)))</f>
        <v>39090300</v>
      </c>
    </row>
    <row r="407" spans="4:6" ht="12.75">
      <c r="D407" s="25">
        <v>2027</v>
      </c>
      <c r="E407" s="22">
        <f t="shared" si="20"/>
        <v>17070000</v>
      </c>
      <c r="F407" s="21">
        <f>IF(ISERR(B386*E407),"",((B386*E407)))</f>
        <v>39090300</v>
      </c>
    </row>
    <row r="408" spans="4:6" ht="12.75">
      <c r="D408" s="25">
        <v>2028</v>
      </c>
      <c r="E408" s="22">
        <f t="shared" si="20"/>
        <v>17070000</v>
      </c>
      <c r="F408" s="21">
        <f>IF(ISERR(B386*E408),"",((B386*E408)))</f>
        <v>39090300</v>
      </c>
    </row>
    <row r="409" spans="4:6" ht="12.75">
      <c r="D409" s="25">
        <v>2029</v>
      </c>
      <c r="E409" s="22">
        <f t="shared" si="20"/>
        <v>17070000</v>
      </c>
      <c r="F409" s="21">
        <f>IF(ISERR(B386*E409),"",((B386*E409)))</f>
        <v>39090300</v>
      </c>
    </row>
    <row r="410" spans="4:6" ht="13.5" thickBot="1">
      <c r="D410" s="20">
        <v>2030</v>
      </c>
      <c r="E410" s="17">
        <f t="shared" si="20"/>
        <v>17070000</v>
      </c>
      <c r="F410" s="16">
        <f>IF(ISERR(B386*E410),"",((B386*E410)))</f>
        <v>39090300</v>
      </c>
    </row>
    <row r="411" ht="12.75">
      <c r="A411" s="15"/>
    </row>
    <row r="412" ht="12.75">
      <c r="A412" s="15"/>
    </row>
  </sheetData>
  <mergeCells count="44">
    <mergeCell ref="A344:I344"/>
    <mergeCell ref="A342:I342"/>
    <mergeCell ref="A151:E151"/>
    <mergeCell ref="A152:E152"/>
    <mergeCell ref="A266:F266"/>
    <mergeCell ref="A267:F267"/>
    <mergeCell ref="A268:F268"/>
    <mergeCell ref="A44:I44"/>
    <mergeCell ref="A372:E372"/>
    <mergeCell ref="A371:E371"/>
    <mergeCell ref="A338:E338"/>
    <mergeCell ref="A305:I305"/>
    <mergeCell ref="A306:I306"/>
    <mergeCell ref="A343:I343"/>
    <mergeCell ref="A339:E339"/>
    <mergeCell ref="A300:D300"/>
    <mergeCell ref="A308:I308"/>
    <mergeCell ref="J82:L82"/>
    <mergeCell ref="A83:I83"/>
    <mergeCell ref="J80:L80"/>
    <mergeCell ref="J81:L81"/>
    <mergeCell ref="A80:I80"/>
    <mergeCell ref="A82:I82"/>
    <mergeCell ref="A81:I81"/>
    <mergeCell ref="A45:I45"/>
    <mergeCell ref="A118:I118"/>
    <mergeCell ref="A120:I120"/>
    <mergeCell ref="A1:I1"/>
    <mergeCell ref="A4:I4"/>
    <mergeCell ref="A5:I5"/>
    <mergeCell ref="A6:I6"/>
    <mergeCell ref="A7:I7"/>
    <mergeCell ref="A41:I41"/>
    <mergeCell ref="A42:I42"/>
    <mergeCell ref="A379:F379"/>
    <mergeCell ref="A114:E114"/>
    <mergeCell ref="A113:E113"/>
    <mergeCell ref="A117:I117"/>
    <mergeCell ref="A376:F376"/>
    <mergeCell ref="A377:F377"/>
    <mergeCell ref="A378:F378"/>
    <mergeCell ref="A269:I269"/>
    <mergeCell ref="A301:D301"/>
    <mergeCell ref="A270:F270"/>
  </mergeCells>
  <hyperlinks>
    <hyperlink ref="A7" r:id="rId1" display="http://www.ren21.net/wiap/detail.asp?id=90"/>
    <hyperlink ref="A83" r:id="rId2" display="http://www.ren21.net/wiap/detail.asp?id=173"/>
    <hyperlink ref="A270" r:id="rId3" display="http://www.ren21.net/wiap/detail.asp?id=143"/>
    <hyperlink ref="A379" r:id="rId4" display="http://www.ren21.net/wiap/detail.asp?id=64"/>
    <hyperlink ref="A43" r:id="rId5" display="http://www.ren21.net/wiap/detail.asp?id=12"/>
    <hyperlink ref="A119" r:id="rId6" display="http://www.ren21.net/wiap/detail.asp?id=68"/>
    <hyperlink ref="A156" r:id="rId7" display="http://www.ren21.net/wiap/detail.asp?id=333"/>
    <hyperlink ref="A194" r:id="rId8" display="http://www.ren21.net/wiap/detail.asp?id=59"/>
    <hyperlink ref="A232" r:id="rId9" display="http://www.ren21.net/wiap/detail.asp?id=340"/>
    <hyperlink ref="A307" r:id="rId10" display="http://www.ren21.net/wiap/detail.asp?id=94"/>
    <hyperlink ref="A345" r:id="rId11" display="http://www.ren21.net/wiap/detail.asp?id=41"/>
  </hyperlink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266"/>
  <sheetViews>
    <sheetView zoomScale="90" zoomScaleNormal="90" workbookViewId="0" topLeftCell="A119">
      <selection activeCell="A119" sqref="A119:F119"/>
    </sheetView>
  </sheetViews>
  <sheetFormatPr defaultColWidth="11.421875" defaultRowHeight="12.75"/>
  <cols>
    <col min="1" max="1" width="37.8515625" style="0" customWidth="1"/>
    <col min="2" max="4" width="11.421875" style="0" customWidth="1"/>
    <col min="5" max="5" width="23.140625" style="0" customWidth="1"/>
    <col min="6" max="6" width="19.140625" style="0" customWidth="1"/>
    <col min="7" max="7" width="9.421875" style="0" bestFit="1" customWidth="1"/>
    <col min="8" max="8" width="18.28125" style="0" bestFit="1" customWidth="1"/>
  </cols>
  <sheetData>
    <row r="1" spans="1:9" ht="21.75" customHeight="1">
      <c r="A1" s="475" t="s">
        <v>1042</v>
      </c>
      <c r="B1" s="476"/>
      <c r="C1" s="476"/>
      <c r="D1" s="476"/>
      <c r="E1" s="476"/>
      <c r="F1" s="476"/>
      <c r="G1" s="476"/>
      <c r="H1" s="476"/>
      <c r="I1" s="476"/>
    </row>
    <row r="2" spans="1:12" ht="12.75">
      <c r="A2" s="67"/>
      <c r="J2" s="63"/>
      <c r="K2" s="63"/>
      <c r="L2" s="63"/>
    </row>
    <row r="3" spans="1:12" ht="12.75">
      <c r="A3" s="67"/>
      <c r="J3" s="63"/>
      <c r="K3" s="63"/>
      <c r="L3" s="63"/>
    </row>
    <row r="4" spans="1:9" ht="12" customHeight="1">
      <c r="A4" s="466" t="s">
        <v>423</v>
      </c>
      <c r="B4" s="461"/>
      <c r="C4" s="461"/>
      <c r="D4" s="461"/>
      <c r="E4" s="461"/>
      <c r="F4" s="461"/>
      <c r="G4" s="55"/>
      <c r="H4" s="55"/>
      <c r="I4" s="54"/>
    </row>
    <row r="5" spans="1:9" ht="12" customHeight="1">
      <c r="A5" s="468" t="s">
        <v>341</v>
      </c>
      <c r="B5" s="463"/>
      <c r="C5" s="463"/>
      <c r="D5" s="463"/>
      <c r="E5" s="463"/>
      <c r="F5" s="463"/>
      <c r="G5" s="52"/>
      <c r="H5" s="52"/>
      <c r="I5" s="51"/>
    </row>
    <row r="6" spans="1:9" ht="12" customHeight="1">
      <c r="A6" s="470" t="s">
        <v>340</v>
      </c>
      <c r="B6" s="446"/>
      <c r="C6" s="446"/>
      <c r="D6" s="446"/>
      <c r="E6" s="446"/>
      <c r="F6" s="446"/>
      <c r="G6" s="52"/>
      <c r="H6" s="52"/>
      <c r="I6" s="51"/>
    </row>
    <row r="7" spans="1:9" ht="12.75">
      <c r="A7" s="459" t="s">
        <v>339</v>
      </c>
      <c r="B7" s="462"/>
      <c r="C7" s="462"/>
      <c r="D7" s="462"/>
      <c r="E7" s="49"/>
      <c r="F7" s="49"/>
      <c r="G7" s="49"/>
      <c r="H7" s="49"/>
      <c r="I7" s="48"/>
    </row>
    <row r="8" ht="13.5" thickBot="1">
      <c r="A8" s="15"/>
    </row>
    <row r="9" spans="1:7" ht="48" customHeight="1" thickBot="1">
      <c r="A9" s="15"/>
      <c r="B9" s="333" t="s">
        <v>455</v>
      </c>
      <c r="C9" s="334" t="s">
        <v>502</v>
      </c>
      <c r="G9" s="194"/>
    </row>
    <row r="10" spans="1:7" ht="13.5" thickTop="1">
      <c r="A10" s="15"/>
      <c r="B10" s="189">
        <f>B11-1</f>
        <v>2005</v>
      </c>
      <c r="C10" s="193"/>
      <c r="G10" s="63"/>
    </row>
    <row r="11" spans="1:7" ht="12.75">
      <c r="A11" s="15"/>
      <c r="B11" s="189">
        <f>B12-1</f>
        <v>2006</v>
      </c>
      <c r="C11" s="193"/>
      <c r="G11" s="63"/>
    </row>
    <row r="12" spans="1:7" ht="12.75">
      <c r="A12" s="15"/>
      <c r="B12" s="189">
        <f>B13-1</f>
        <v>2007</v>
      </c>
      <c r="C12" s="192"/>
      <c r="G12" s="63"/>
    </row>
    <row r="13" spans="1:7" ht="12.75">
      <c r="A13" s="15"/>
      <c r="B13" s="189">
        <v>2008</v>
      </c>
      <c r="C13" s="191">
        <v>0</v>
      </c>
      <c r="G13" s="63"/>
    </row>
    <row r="14" spans="1:7" ht="12.75">
      <c r="A14" s="15"/>
      <c r="B14" s="189">
        <f aca="true" t="shared" si="0" ref="B14:B35">B13+1</f>
        <v>2009</v>
      </c>
      <c r="C14" s="188">
        <f>((C30-C13)/(B30-B13)*(B14-B13))</f>
        <v>3.594705882352941</v>
      </c>
      <c r="G14" s="63"/>
    </row>
    <row r="15" spans="1:7" ht="12.75">
      <c r="A15" s="15"/>
      <c r="B15" s="189">
        <f t="shared" si="0"/>
        <v>2010</v>
      </c>
      <c r="C15" s="188">
        <f>((C30-C13)/(B30-B13)*(B15-B13))</f>
        <v>7.189411764705882</v>
      </c>
      <c r="G15" s="63"/>
    </row>
    <row r="16" spans="1:7" ht="12.75">
      <c r="A16" s="15"/>
      <c r="B16" s="189">
        <f t="shared" si="0"/>
        <v>2011</v>
      </c>
      <c r="C16" s="188">
        <f>((C30-C13)/(B30-B13)*(B16-B13))</f>
        <v>10.784117647058824</v>
      </c>
      <c r="G16" s="63"/>
    </row>
    <row r="17" spans="1:7" ht="12.75">
      <c r="A17" s="15"/>
      <c r="B17" s="189">
        <f t="shared" si="0"/>
        <v>2012</v>
      </c>
      <c r="C17" s="188">
        <f>((C30-C13)/(B30-B13)*(B17-B13))</f>
        <v>14.378823529411765</v>
      </c>
      <c r="G17" s="63"/>
    </row>
    <row r="18" spans="1:7" ht="12.75">
      <c r="A18" s="15"/>
      <c r="B18" s="189">
        <f t="shared" si="0"/>
        <v>2013</v>
      </c>
      <c r="C18" s="188">
        <f>((C30-C13)/(B30-B13)*(B18-B13))</f>
        <v>17.973529411764705</v>
      </c>
      <c r="G18" s="63"/>
    </row>
    <row r="19" spans="1:7" ht="12.75" customHeight="1">
      <c r="A19" s="15"/>
      <c r="B19" s="189">
        <f t="shared" si="0"/>
        <v>2014</v>
      </c>
      <c r="C19" s="188">
        <f>((C30-C13)/(B30-B13)*(B19-B13))</f>
        <v>21.56823529411765</v>
      </c>
      <c r="G19" s="63"/>
    </row>
    <row r="20" spans="1:7" s="74" customFormat="1" ht="12.75" customHeight="1">
      <c r="A20" s="81"/>
      <c r="B20" s="190">
        <f t="shared" si="0"/>
        <v>2015</v>
      </c>
      <c r="C20" s="188">
        <f>((C30-C13)/(B30-B13)*(B20-B13))</f>
        <v>25.16294117647059</v>
      </c>
      <c r="D20"/>
      <c r="E20"/>
      <c r="G20" s="71"/>
    </row>
    <row r="21" spans="1:7" ht="12.75" customHeight="1">
      <c r="A21" s="15"/>
      <c r="B21" s="189">
        <f t="shared" si="0"/>
        <v>2016</v>
      </c>
      <c r="C21" s="188">
        <f>((C30-C13)/(B30-B13)*(B21-B13))</f>
        <v>28.75764705882353</v>
      </c>
      <c r="G21" s="63"/>
    </row>
    <row r="22" spans="1:7" ht="12.75" customHeight="1">
      <c r="A22" s="15"/>
      <c r="B22" s="189">
        <f t="shared" si="0"/>
        <v>2017</v>
      </c>
      <c r="C22" s="188">
        <f>((C30-C13)/(B30-B13)*(B22-B13))</f>
        <v>32.35235294117647</v>
      </c>
      <c r="G22" s="63"/>
    </row>
    <row r="23" spans="1:7" ht="12.75">
      <c r="A23" s="15"/>
      <c r="B23" s="189">
        <f t="shared" si="0"/>
        <v>2018</v>
      </c>
      <c r="C23" s="188">
        <f>((C30-C13)/(B30-B13)*(B23-B13))</f>
        <v>35.94705882352941</v>
      </c>
      <c r="G23" s="63"/>
    </row>
    <row r="24" spans="1:7" ht="12.75">
      <c r="A24" s="15"/>
      <c r="B24" s="189">
        <f t="shared" si="0"/>
        <v>2019</v>
      </c>
      <c r="C24" s="188">
        <f>((C30-C13)/(B30-B13)*(B24-B13))</f>
        <v>39.54176470588235</v>
      </c>
      <c r="G24" s="63"/>
    </row>
    <row r="25" spans="1:7" s="74" customFormat="1" ht="12.75">
      <c r="A25" s="81"/>
      <c r="B25" s="190">
        <f t="shared" si="0"/>
        <v>2020</v>
      </c>
      <c r="C25" s="188">
        <f>((C30-C13)/(B30-B13)*(B25-B13))</f>
        <v>43.1364705882353</v>
      </c>
      <c r="D25"/>
      <c r="E25"/>
      <c r="G25" s="71"/>
    </row>
    <row r="26" spans="1:7" ht="12.75">
      <c r="A26" s="15"/>
      <c r="B26" s="189">
        <f t="shared" si="0"/>
        <v>2021</v>
      </c>
      <c r="C26" s="188">
        <f>((C30-C13)/(B30-B13)*(B26-B13))</f>
        <v>46.73117647058824</v>
      </c>
      <c r="G26" s="63"/>
    </row>
    <row r="27" spans="1:7" ht="12.75">
      <c r="A27" s="15"/>
      <c r="B27" s="189">
        <f t="shared" si="0"/>
        <v>2022</v>
      </c>
      <c r="C27" s="188">
        <f>((C30-C13)/(B30-B13)*(B27-B13))</f>
        <v>50.32588235294118</v>
      </c>
      <c r="G27" s="63"/>
    </row>
    <row r="28" spans="1:7" ht="12.75">
      <c r="A28" s="15"/>
      <c r="B28" s="189">
        <f t="shared" si="0"/>
        <v>2023</v>
      </c>
      <c r="C28" s="188">
        <f>((C30-C13)/(B30-B13)*(B28-B13))</f>
        <v>53.92058823529412</v>
      </c>
      <c r="G28" s="63"/>
    </row>
    <row r="29" spans="1:7" ht="12.75">
      <c r="A29" s="15"/>
      <c r="B29" s="189">
        <f t="shared" si="0"/>
        <v>2024</v>
      </c>
      <c r="C29" s="188">
        <f>((C30-C13)/(B30-B13)*(B29-B13))</f>
        <v>57.51529411764706</v>
      </c>
      <c r="G29" s="63"/>
    </row>
    <row r="30" spans="1:7" ht="12.75">
      <c r="A30" s="15"/>
      <c r="B30" s="189">
        <f t="shared" si="0"/>
        <v>2025</v>
      </c>
      <c r="C30" s="191">
        <v>61.11</v>
      </c>
      <c r="G30" s="63"/>
    </row>
    <row r="31" spans="1:7" ht="12.75">
      <c r="A31" s="15"/>
      <c r="B31" s="189">
        <f t="shared" si="0"/>
        <v>2026</v>
      </c>
      <c r="C31" s="191">
        <f>C30</f>
        <v>61.11</v>
      </c>
      <c r="G31" s="63"/>
    </row>
    <row r="32" spans="1:7" ht="12.75">
      <c r="A32" s="15"/>
      <c r="B32" s="189">
        <f t="shared" si="0"/>
        <v>2027</v>
      </c>
      <c r="C32" s="191">
        <f>C31</f>
        <v>61.11</v>
      </c>
      <c r="G32" s="63"/>
    </row>
    <row r="33" spans="1:7" ht="12.75">
      <c r="A33" s="15"/>
      <c r="B33" s="189">
        <f t="shared" si="0"/>
        <v>2028</v>
      </c>
      <c r="C33" s="191">
        <f>C32</f>
        <v>61.11</v>
      </c>
      <c r="G33" s="63"/>
    </row>
    <row r="34" spans="1:7" ht="12.75">
      <c r="A34" s="15"/>
      <c r="B34" s="189">
        <f t="shared" si="0"/>
        <v>2029</v>
      </c>
      <c r="C34" s="191">
        <f>C33</f>
        <v>61.11</v>
      </c>
      <c r="G34" s="63"/>
    </row>
    <row r="35" spans="1:7" ht="13.5" thickBot="1">
      <c r="A35" s="15"/>
      <c r="B35" s="187">
        <f t="shared" si="0"/>
        <v>2030</v>
      </c>
      <c r="C35" s="202">
        <f>C34</f>
        <v>61.11</v>
      </c>
      <c r="G35" s="63"/>
    </row>
    <row r="36" spans="1:11" ht="12.75">
      <c r="A36" s="15"/>
      <c r="K36" s="63"/>
    </row>
    <row r="37" spans="1:6" ht="12.75">
      <c r="A37" s="458" t="s">
        <v>578</v>
      </c>
      <c r="B37" s="516"/>
      <c r="C37" s="516"/>
      <c r="D37" s="516"/>
      <c r="E37" s="517"/>
      <c r="F37" s="185">
        <f>C25</f>
        <v>43.1364705882353</v>
      </c>
    </row>
    <row r="38" spans="1:12" ht="12.75">
      <c r="A38" s="458" t="s">
        <v>582</v>
      </c>
      <c r="B38" s="516"/>
      <c r="C38" s="516"/>
      <c r="D38" s="516"/>
      <c r="E38" s="517"/>
      <c r="F38" s="181">
        <f>SUM(C13:C35)</f>
        <v>855.5400000000001</v>
      </c>
      <c r="J38" s="71"/>
      <c r="K38" s="71"/>
      <c r="L38" s="71"/>
    </row>
    <row r="39" ht="12.75">
      <c r="A39" s="15"/>
    </row>
    <row r="41" ht="12.75">
      <c r="A41" s="15"/>
    </row>
    <row r="42" spans="1:9" ht="12.75" customHeight="1">
      <c r="A42" s="466" t="s">
        <v>53</v>
      </c>
      <c r="B42" s="467"/>
      <c r="C42" s="467"/>
      <c r="D42" s="467"/>
      <c r="E42" s="467"/>
      <c r="F42" s="467"/>
      <c r="G42" s="55"/>
      <c r="H42" s="55"/>
      <c r="I42" s="54"/>
    </row>
    <row r="43" spans="1:9" ht="12.75">
      <c r="A43" s="468" t="s">
        <v>389</v>
      </c>
      <c r="B43" s="471"/>
      <c r="C43" s="471"/>
      <c r="D43" s="471"/>
      <c r="E43" s="471"/>
      <c r="F43" s="471"/>
      <c r="G43" s="52"/>
      <c r="H43" s="52"/>
      <c r="I43" s="51"/>
    </row>
    <row r="44" spans="1:9" ht="57.75" customHeight="1">
      <c r="A44" s="470" t="s">
        <v>388</v>
      </c>
      <c r="B44" s="469"/>
      <c r="C44" s="469"/>
      <c r="D44" s="469"/>
      <c r="E44" s="469"/>
      <c r="F44" s="469"/>
      <c r="G44" s="52"/>
      <c r="H44" s="52"/>
      <c r="I44" s="51"/>
    </row>
    <row r="45" spans="1:9" ht="12.75">
      <c r="A45" s="473" t="s">
        <v>690</v>
      </c>
      <c r="B45" s="474"/>
      <c r="C45" s="474"/>
      <c r="D45" s="474"/>
      <c r="E45" s="474"/>
      <c r="F45" s="474"/>
      <c r="G45" s="49"/>
      <c r="H45" s="49"/>
      <c r="I45" s="48"/>
    </row>
    <row r="46" ht="12.75">
      <c r="A46" s="15"/>
    </row>
    <row r="47" spans="1:5" ht="12.75">
      <c r="A47" s="15"/>
      <c r="B47" t="s">
        <v>689</v>
      </c>
      <c r="E47" t="s">
        <v>688</v>
      </c>
    </row>
    <row r="48" ht="12.75">
      <c r="A48" s="15"/>
    </row>
    <row r="49" ht="13.5" thickBot="1">
      <c r="A49" s="15"/>
    </row>
    <row r="50" spans="1:9" ht="51">
      <c r="A50" t="s">
        <v>743</v>
      </c>
      <c r="B50" s="74" t="s">
        <v>687</v>
      </c>
      <c r="D50" s="46" t="s">
        <v>932</v>
      </c>
      <c r="E50" s="45" t="s">
        <v>611</v>
      </c>
      <c r="F50" s="45" t="s">
        <v>610</v>
      </c>
      <c r="G50" s="45" t="s">
        <v>485</v>
      </c>
      <c r="H50" s="45" t="s">
        <v>777</v>
      </c>
      <c r="I50" s="44" t="s">
        <v>528</v>
      </c>
    </row>
    <row r="51" spans="1:9" ht="13.5" thickBot="1">
      <c r="A51" t="s">
        <v>44</v>
      </c>
      <c r="B51" s="58">
        <f>C79</f>
        <v>1058382.3445020001</v>
      </c>
      <c r="D51" s="43"/>
      <c r="E51" s="41" t="s">
        <v>863</v>
      </c>
      <c r="F51" s="42" t="s">
        <v>862</v>
      </c>
      <c r="G51" s="41" t="s">
        <v>861</v>
      </c>
      <c r="H51" s="41" t="s">
        <v>860</v>
      </c>
      <c r="I51" s="40" t="s">
        <v>859</v>
      </c>
    </row>
    <row r="52" spans="1:9" ht="13.5" thickTop="1">
      <c r="A52" t="s">
        <v>43</v>
      </c>
      <c r="B52" s="31">
        <v>0.042</v>
      </c>
      <c r="C52" s="30"/>
      <c r="D52" s="25">
        <v>2005</v>
      </c>
      <c r="E52" s="23">
        <f>IF(D52&lt;=B56,B51*EXP(B52*(D52-D52)),"")</f>
        <v>1058382.3445020001</v>
      </c>
      <c r="F52" s="24">
        <f>IF(D52&gt;B56,"",IF(B54&gt;D52,"",IF(B54=D52,B55,IF(B54&lt;D52,(D52-B54)*B58+B55,B57))))</f>
        <v>6.263331993807151E-07</v>
      </c>
      <c r="G52" s="23">
        <f>IF(ISERR(F52*E52),IF(D52&gt;B56,G51,""),F52*E52)</f>
        <v>0.6629</v>
      </c>
      <c r="H52" s="39"/>
      <c r="I52" s="38"/>
    </row>
    <row r="53" spans="1:9" ht="12.75">
      <c r="A53" t="s">
        <v>42</v>
      </c>
      <c r="B53" s="203">
        <f>E79</f>
        <v>2.3998888617091816</v>
      </c>
      <c r="D53" s="25">
        <v>2006</v>
      </c>
      <c r="E53" s="23">
        <f>IF(D53&lt;=B56,B51*EXP(B52*(D53-D52)),"")</f>
        <v>1103781.103488424</v>
      </c>
      <c r="F53" s="24">
        <f>IF(D53&gt;B56,"",IF(B54&gt;D53,"",IF(B54=D53,B55,IF(B54&lt;D53,(D53-B54)*B58+B55,B57))))</f>
        <v>0.036000584577652754</v>
      </c>
      <c r="G53" s="23">
        <f>IF(ISERR(F53*E53),IF(D53&gt;B56,G52,""),F53*E53)</f>
        <v>39736.7649713499</v>
      </c>
      <c r="H53" s="23"/>
      <c r="I53" s="34"/>
    </row>
    <row r="54" spans="1:9" ht="12.75">
      <c r="A54" t="s">
        <v>856</v>
      </c>
      <c r="B54" s="37">
        <v>2005</v>
      </c>
      <c r="D54" s="25">
        <v>2007</v>
      </c>
      <c r="E54" s="23">
        <f>IF(D54&lt;=B56,B51*EXP(B52*(D54-D52)),"")</f>
        <v>1151127.2185775023</v>
      </c>
      <c r="F54" s="24">
        <f>IF(D54&gt;B56,"",IF(B54&gt;D54,"",IF(B54=D54,B55,IF(B54&lt;D54,(D54-B54)*B58+B55,B57))))</f>
        <v>0.07200054282210612</v>
      </c>
      <c r="G54" s="23">
        <f>IF(ISERR(F54*E54),IF(D54&gt;B56,G53,""),F54*E54)</f>
        <v>82881.78459488136</v>
      </c>
      <c r="H54" s="23"/>
      <c r="I54" s="34"/>
    </row>
    <row r="55" spans="1:9" s="33" customFormat="1" ht="12.75">
      <c r="A55" s="33" t="s">
        <v>855</v>
      </c>
      <c r="B55" s="36">
        <f>0.6629/E52</f>
        <v>6.263331993807151E-07</v>
      </c>
      <c r="C55" s="35"/>
      <c r="D55" s="25">
        <v>2008</v>
      </c>
      <c r="E55" s="23">
        <f>IF(D55&lt;=B56,B51*EXP(B52*(D55-D52)),"")</f>
        <v>1200504.2205942003</v>
      </c>
      <c r="F55" s="24">
        <f>IF(D55&gt;B56,"",IF(B54&gt;D55,"",IF(B54=D55,B55,IF(B54&lt;D55,(D55-B54)*B58+B55,B57))))</f>
        <v>0.10800050106655949</v>
      </c>
      <c r="G55" s="23">
        <f>IF(ISERR(F55*E55),IF(D55&gt;B56,G54,""),F55*E55)</f>
        <v>129655.0573566931</v>
      </c>
      <c r="H55" s="23"/>
      <c r="I55" s="34"/>
    </row>
    <row r="56" spans="1:9" ht="12.75">
      <c r="A56" t="s">
        <v>854</v>
      </c>
      <c r="B56" s="32">
        <v>2020</v>
      </c>
      <c r="C56" s="30"/>
      <c r="D56" s="25">
        <v>2009</v>
      </c>
      <c r="E56" s="23">
        <f>IF(D56&lt;=B56,B51*EXP(B52*(D56-D52)),"")</f>
        <v>1251999.2233746797</v>
      </c>
      <c r="F56" s="24">
        <f>IF(D56&gt;B56,"",IF(B54&gt;D56,"",IF(B54=D56,B55,IF(B54&lt;D56,(D56-B54)*B58+B55,B57))))</f>
        <v>0.14400045931101288</v>
      </c>
      <c r="G56" s="23">
        <f>IF(ISERR(F56*E56),IF(D56&gt;B56,G55,""),F56*E56)</f>
        <v>180288.4632229853</v>
      </c>
      <c r="H56" s="22">
        <f>IF(ISERR(G56-G55),"",(G56-G55))</f>
        <v>50633.4058662922</v>
      </c>
      <c r="I56" s="21">
        <f>IF(ISERR(B53*H56),"",((B53*H56)))</f>
        <v>121514.546768915</v>
      </c>
    </row>
    <row r="57" spans="1:9" ht="12.75">
      <c r="A57" t="s">
        <v>921</v>
      </c>
      <c r="B57" s="31">
        <v>0.54</v>
      </c>
      <c r="C57" s="30"/>
      <c r="D57" s="25">
        <v>2010</v>
      </c>
      <c r="E57" s="23">
        <f>IF(D57&lt;=B56,B51*EXP(B52*(D57-D52)),"")</f>
        <v>1305703.077457697</v>
      </c>
      <c r="F57" s="24">
        <f>IF(D57&gt;B56,"",IF(B54&gt;D57,"",IF(B54=D57,B55,IF(B54&lt;D57,(D57-B54)*B58+B55,B57))))</f>
        <v>0.18000041755546625</v>
      </c>
      <c r="G57" s="23">
        <f>IF(ISERR(F57*E57),IF(D57&gt;B56,G56,""),F57*E57)</f>
        <v>235027.09914584275</v>
      </c>
      <c r="H57" s="22">
        <f>IF(ISERR(G57-G55),"",(G57-G55))</f>
        <v>105372.04178914965</v>
      </c>
      <c r="I57" s="21">
        <f>IF(ISERR(B53*H57),"",((B53*H57)))</f>
        <v>252881.18942533465</v>
      </c>
    </row>
    <row r="58" spans="1:9" ht="12.75">
      <c r="A58" s="29" t="s">
        <v>920</v>
      </c>
      <c r="B58" s="28">
        <f>(B57-B55)/(B56-B54)</f>
        <v>0.03599995824445337</v>
      </c>
      <c r="D58" s="25">
        <v>2011</v>
      </c>
      <c r="E58" s="23">
        <f>IF(D58&lt;=B56,B51*EXP(B52*(D58-D52)),"")</f>
        <v>1361710.5303685125</v>
      </c>
      <c r="F58" s="24">
        <f>IF(D58&gt;B56,"",IF(B54&gt;D58,"",IF(B54=D58,B55,IF(B54&lt;D58,(D58-B54)*B58+B55,B57))))</f>
        <v>0.21600037579991962</v>
      </c>
      <c r="G58" s="23">
        <f>IF(ISERR(F58*E58),IF(D58&gt;B56,G57,""),F58*E58)</f>
        <v>294129.98629030655</v>
      </c>
      <c r="H58" s="22">
        <f>IF(ISERR(G58-G55),"",(G58-G55))</f>
        <v>164474.92893361347</v>
      </c>
      <c r="I58" s="21">
        <f>IF(ISERR(B53*H58),"",((B53*H58)))</f>
        <v>394721.5499781882</v>
      </c>
    </row>
    <row r="59" spans="4:9" ht="12.75">
      <c r="D59" s="25">
        <v>2012</v>
      </c>
      <c r="E59" s="23">
        <f>IF(D59&lt;=B56,B51*EXP(B52*(D59-D52)),"")</f>
        <v>1420120.393778095</v>
      </c>
      <c r="F59" s="24">
        <f>IF(D59&gt;B56,"",IF(B54&gt;D59,"",IF(B54=D59,B55,IF(B54&lt;D59,(D59-B54)*B58+B55,B57))))</f>
        <v>0.252000334044373</v>
      </c>
      <c r="G59" s="23">
        <f>IF(ISERR(F59*E59),IF(D59&gt;B56,G58,""),F59*E59)</f>
        <v>357870.81361530646</v>
      </c>
      <c r="H59" s="22">
        <f>IF(ISERR(G59-G55),"",(G59-G55))</f>
        <v>228215.75625861337</v>
      </c>
      <c r="I59" s="21">
        <f>IF(ISERR(B53*H59),"",((B53*H59)))</f>
        <v>547692.4515115836</v>
      </c>
    </row>
    <row r="60" spans="4:9" ht="12.75">
      <c r="D60" s="25">
        <v>2013</v>
      </c>
      <c r="E60" s="23">
        <f>IF(D60&lt;=B56,B51*EXP(B52*(D60-D52)),"")</f>
        <v>1481035.7178325353</v>
      </c>
      <c r="F60" s="24">
        <f>IF(D60&gt;B56,"",IF(B54&gt;D60,"",IF(B54=D60,B55,IF(B54&lt;D60,(D60-B54)*B58+B55,B57))))</f>
        <v>0.28800029228882634</v>
      </c>
      <c r="G60" s="23">
        <f>IF(ISERR(F60*E60),IF(D60&gt;B56,G59,""),F60*E60)</f>
        <v>426538.7196259619</v>
      </c>
      <c r="H60" s="22">
        <f>IF(ISERR(G60-G55),"",(G60-G55))</f>
        <v>296883.6622692688</v>
      </c>
      <c r="I60" s="21">
        <f>IF(ISERR(B53*H60),"",((B53*H60)))</f>
        <v>712487.7943034486</v>
      </c>
    </row>
    <row r="61" spans="1:9" ht="12.75">
      <c r="A61" t="s">
        <v>41</v>
      </c>
      <c r="B61" s="27">
        <f>VLOOKUP(B56,D52:I77,6,FALSE)</f>
        <v>2264172.9425043804</v>
      </c>
      <c r="D61" s="25">
        <v>2014</v>
      </c>
      <c r="E61" s="23">
        <f>IF(D61&lt;=B56,B51*EXP(B52*(D61-D52)),"")</f>
        <v>1544563.9729602241</v>
      </c>
      <c r="F61" s="24">
        <f>IF(D61&gt;B56,"",IF(B54&gt;D61,"",IF(B54=D61,B55,IF(B54&lt;D61,(D61-B54)*B58+B55,B57))))</f>
        <v>0.3240002505332797</v>
      </c>
      <c r="G61" s="23">
        <f>IF(ISERR(F61*E61),IF(D61&gt;B56,G60,""),F61*E61)</f>
        <v>500439.11420379044</v>
      </c>
      <c r="H61" s="22">
        <f>IF(ISERR(G61-G55),"",(G61-G55))</f>
        <v>370784.05684709735</v>
      </c>
      <c r="I61" s="21">
        <f>IF(ISERR(B53*H61),"",((B53*H61)))</f>
        <v>889840.528126693</v>
      </c>
    </row>
    <row r="62" spans="1:9" ht="12.75">
      <c r="A62" t="s">
        <v>593</v>
      </c>
      <c r="B62" s="27">
        <f>SUM(I56:I77)</f>
        <v>35430717.83382774</v>
      </c>
      <c r="D62" s="25">
        <v>2015</v>
      </c>
      <c r="E62" s="23">
        <f>IF(D62&lt;=B56,B51*EXP(B52*(D62-D52)),"")</f>
        <v>1610817.239477561</v>
      </c>
      <c r="F62" s="24">
        <f>IF(D62&gt;B56,"",IF(B54&gt;D62,"",IF(B54=D62,B55,IF(B54&lt;D62,(D62-B54)*B58+B55,B57))))</f>
        <v>0.3600002087777331</v>
      </c>
      <c r="G62" s="23">
        <f>IF(ISERR(F62*E62),IF(D62&gt;B56,G61,""),F62*E62)</f>
        <v>579894.5425146937</v>
      </c>
      <c r="H62" s="22">
        <f>IF(ISERR(G62-G55),"",(G62-G55))</f>
        <v>450239.4851580006</v>
      </c>
      <c r="I62" s="21">
        <f>IF(ISERR(B53*H62),"",((B53*H62)))</f>
        <v>1080524.725532362</v>
      </c>
    </row>
    <row r="63" spans="1:9" ht="12.75">
      <c r="A63" t="s">
        <v>1068</v>
      </c>
      <c r="B63" s="26">
        <f>B61/(10^6)</f>
        <v>2.26417294250438</v>
      </c>
      <c r="D63" s="25">
        <v>2016</v>
      </c>
      <c r="E63" s="23">
        <f>IF(D63&lt;=B56,B51*EXP(B52*(D63-D52)),"")</f>
        <v>1679912.4053276945</v>
      </c>
      <c r="F63" s="24">
        <f>IF(D63&gt;B56,"",IF(B54&gt;D63,"",IF(B54=D63,B55,IF(B54&lt;D63,(D63-B54)*B58+B55,B57))))</f>
        <v>0.3960001670221865</v>
      </c>
      <c r="G63" s="23">
        <f>IF(ISERR(F63*E63),IF(D63&gt;B56,G62,""),F63*E63)</f>
        <v>665245.59309241</v>
      </c>
      <c r="H63" s="22">
        <f>IF(ISERR(G63-G55),"",(G63-G55))</f>
        <v>535590.5357357169</v>
      </c>
      <c r="I63" s="21">
        <f>IF(ISERR(B53*H63),"",((B53*H63)))</f>
        <v>1285357.7611490004</v>
      </c>
    </row>
    <row r="64" spans="1:9" ht="12.75">
      <c r="A64" t="s">
        <v>1067</v>
      </c>
      <c r="B64" s="26">
        <f>B62/(10^6)</f>
        <v>35.43071783382774</v>
      </c>
      <c r="D64" s="25">
        <v>2017</v>
      </c>
      <c r="E64" s="23">
        <f>IF(D64&lt;=B56,B51*EXP(B52*(D64-D52)),"")</f>
        <v>1751971.3723011666</v>
      </c>
      <c r="F64" s="24">
        <f>IF(D64&gt;B56,"",IF(B54&gt;D64,"",IF(B54=D64,B55,IF(B54&lt;D64,(D64-B54)*B58+B55,B57))))</f>
        <v>0.43200012526663983</v>
      </c>
      <c r="G64" s="23">
        <f>IF(ISERR(F64*E64),IF(D64&gt;B56,G63,""),F64*E64)</f>
        <v>756851.8522976709</v>
      </c>
      <c r="H64" s="22">
        <f>IF(ISERR(G64-G55),"",(G64-G55))</f>
        <v>627196.7949409778</v>
      </c>
      <c r="I64" s="21">
        <f>IF(ISERR(B53*H64),"",((B53*H64)))</f>
        <v>1505202.6022785502</v>
      </c>
    </row>
    <row r="65" spans="4:9" ht="12.75">
      <c r="D65" s="25">
        <v>2018</v>
      </c>
      <c r="E65" s="23">
        <f>IF(D65&lt;=B56,B51*EXP(B52*(D65-D52)),"")</f>
        <v>1827121.2711022845</v>
      </c>
      <c r="F65" s="24">
        <f>IF(D65&gt;B56,"",IF(B54&gt;D65,"",IF(B54=D65,B55,IF(B54&lt;D65,(D65-B54)*B58+B55,B57))))</f>
        <v>0.4680000835110932</v>
      </c>
      <c r="G65" s="23">
        <f>IF(ISERR(F65*E65),IF(D65&gt;B56,G64,""),F65*E65)</f>
        <v>855092.9074607639</v>
      </c>
      <c r="H65" s="22">
        <f>IF(ISERR(G65-G55),"",(G65-G55))</f>
        <v>725437.8501040709</v>
      </c>
      <c r="I65" s="21">
        <f>IF(ISERR(B53*H65),"",((B53*H65)))</f>
        <v>1740970.2163270144</v>
      </c>
    </row>
    <row r="66" spans="4:9" ht="12.75">
      <c r="D66" s="25">
        <v>2019</v>
      </c>
      <c r="E66" s="23">
        <f>IF(D66&lt;=B56,B51*EXP(B52*(D66-D52)),"")</f>
        <v>1905494.6856406492</v>
      </c>
      <c r="F66" s="24">
        <f>IF(D66&gt;B56,"",IF(B54&gt;D66,"",IF(B54=D66,B55,IF(B54&lt;D66,(D66-B54)*B58+B55,B57))))</f>
        <v>0.5040000417555467</v>
      </c>
      <c r="G66" s="23">
        <f>IF(ISERR(F66*E66),IF(D66&gt;B56,G65,""),F66*E66)</f>
        <v>960369.4011278595</v>
      </c>
      <c r="H66" s="22">
        <f>IF(ISERR(G66-G55),"",(G66-G55))</f>
        <v>830714.3437711664</v>
      </c>
      <c r="I66" s="21">
        <f>IF(ISERR(B53*H66),"",((B53*H66)))</f>
        <v>1993622.1008784743</v>
      </c>
    </row>
    <row r="67" spans="1:9" ht="12.75">
      <c r="A67" s="57"/>
      <c r="D67" s="25">
        <v>2020</v>
      </c>
      <c r="E67" s="23">
        <f>IF(D67&lt;=B56,B51*EXP(B52*(D67-D52)),"")</f>
        <v>1987229.886943554</v>
      </c>
      <c r="F67" s="24">
        <f>IF(D67&gt;B56,"",IF(B54&gt;D67,"",IF(B54=D67,B55,IF(B54&lt;D67,(D67-B54)*B58+B55,B57))))</f>
        <v>0.54</v>
      </c>
      <c r="G67" s="23">
        <f>IF(ISERR(F67*E67),IF(D67&gt;B56,G66,""),F67*E67)</f>
        <v>1073104.1389495193</v>
      </c>
      <c r="H67" s="22">
        <f>IF(ISERR(G67-G55),"",(G67-G55))</f>
        <v>943449.0815928262</v>
      </c>
      <c r="I67" s="21">
        <f>IF(ISERR(B53*H67),"",((B53*H67)))</f>
        <v>2264172.9425043804</v>
      </c>
    </row>
    <row r="68" spans="4:9" ht="12.75">
      <c r="D68" s="25">
        <v>2021</v>
      </c>
      <c r="E68" s="23">
        <f>IF(D68&lt;=B56,B51*EXP(B52*(D68-D52)),"")</f>
      </c>
      <c r="F68" s="24">
        <f>IF(D68&gt;B56,"",IF(B54&gt;D68,"",IF(B54=D68,B55,IF(B54&lt;D68,(D68-B54)*B58+B55,B57))))</f>
      </c>
      <c r="G68" s="23">
        <f>IF(ISERR(F68*E68),IF(D68&gt;B56,G67,""),F68*E68)</f>
        <v>1073104.1389495193</v>
      </c>
      <c r="H68" s="22">
        <f>IF(ISERR(G68-G55),"",(G68-G55))</f>
        <v>943449.0815928262</v>
      </c>
      <c r="I68" s="21">
        <f>IF(ISERR(B53*H68),"",((B53*H68)))</f>
        <v>2264172.9425043804</v>
      </c>
    </row>
    <row r="69" spans="4:9" ht="12.75">
      <c r="D69" s="25">
        <v>2022</v>
      </c>
      <c r="E69" s="23">
        <f>IF(D69&lt;=B56,B51*EXP(B52*(D69-D52)),"")</f>
      </c>
      <c r="F69" s="24">
        <f>IF(D69&gt;B56,"",IF(B54&gt;D69,"",IF(B54=D69,B55,IF(B54&lt;D69,(D69-B54)*B58+B55,B57))))</f>
      </c>
      <c r="G69" s="23">
        <f>IF(ISERR(F69*E69),IF(D69&gt;B56,G68,""),F69*E69)</f>
        <v>1073104.1389495193</v>
      </c>
      <c r="H69" s="22">
        <f>IF(ISERR(G69-G55),"",(G69-G55))</f>
        <v>943449.0815928262</v>
      </c>
      <c r="I69" s="21">
        <f>IF(ISERR(B53*H69),"",((B53*H69)))</f>
        <v>2264172.9425043804</v>
      </c>
    </row>
    <row r="70" spans="4:9" ht="12.75">
      <c r="D70" s="25">
        <v>2023</v>
      </c>
      <c r="E70" s="23">
        <f>IF(D70&lt;=B56,B51*EXP(B52*(D70-D52)),"")</f>
      </c>
      <c r="F70" s="24">
        <f>IF(D70&gt;B56,"",IF(B54&gt;D70,"",IF(B54=D70,B55,IF(B54&lt;D70,(D70-B54)*B58+B55,B57))))</f>
      </c>
      <c r="G70" s="23">
        <f>IF(ISERR(F70*E70),IF(D70&gt;B56,G69,""),F70*E70)</f>
        <v>1073104.1389495193</v>
      </c>
      <c r="H70" s="22">
        <f>IF(ISERR(G70-G55),"",(G70-G55))</f>
        <v>943449.0815928262</v>
      </c>
      <c r="I70" s="21">
        <f>IF(ISERR(B53*H70),"",((B53*H70)))</f>
        <v>2264172.9425043804</v>
      </c>
    </row>
    <row r="71" spans="4:9" ht="12.75">
      <c r="D71" s="25">
        <v>2024</v>
      </c>
      <c r="E71" s="23">
        <f>IF(D71&lt;=B56,B51*EXP(B52*(D71-D52)),"")</f>
      </c>
      <c r="F71" s="24">
        <f>IF(D71&gt;B56,"",IF(B54&gt;D71,"",IF(B54=D71,B55,IF(B54&lt;D71,(D71-B54)*B58+B55,B57))))</f>
      </c>
      <c r="G71" s="23">
        <f>IF(ISERR(F71*E71),IF(D71&gt;B56,G70,""),F71*E71)</f>
        <v>1073104.1389495193</v>
      </c>
      <c r="H71" s="22">
        <f>IF(ISERR(G71-G55),"",(G71-G55))</f>
        <v>943449.0815928262</v>
      </c>
      <c r="I71" s="21">
        <f>IF(ISERR(B53*H71),"",((B53*H71)))</f>
        <v>2264172.9425043804</v>
      </c>
    </row>
    <row r="72" spans="4:9" ht="12.75">
      <c r="D72" s="25">
        <v>2025</v>
      </c>
      <c r="E72" s="23">
        <f>IF(D72&lt;=B56,B51*EXP(B52*(D72-D52)),"")</f>
      </c>
      <c r="F72" s="24">
        <f>IF(D72&gt;B56,"",IF(B54&gt;D72,"",IF(B54=D72,B55,IF(B54&lt;D72,(D72-B54)*B58+B55,B57))))</f>
      </c>
      <c r="G72" s="23">
        <f>IF(ISERR(F72*E72),IF(D72&gt;B56,G71,""),F72*E72)</f>
        <v>1073104.1389495193</v>
      </c>
      <c r="H72" s="22">
        <f>IF(ISERR(G72-G55),"",(G72-G55))</f>
        <v>943449.0815928262</v>
      </c>
      <c r="I72" s="21">
        <f>IF(ISERR(B53*H72),"",((B53*H72)))</f>
        <v>2264172.9425043804</v>
      </c>
    </row>
    <row r="73" spans="4:9" ht="12.75">
      <c r="D73" s="25">
        <v>2026</v>
      </c>
      <c r="E73" s="23">
        <f>IF(D73&lt;=B56,B51*EXP(B52*(D73-D52)),"")</f>
      </c>
      <c r="F73" s="24">
        <f>IF(D73&gt;B56,"",IF(B54&gt;D73,"",IF(B54=D73,B55,IF(B54&lt;D73,(D73-B54)*B58+B55,B57))))</f>
      </c>
      <c r="G73" s="23">
        <f>IF(ISERR(F73*E73),IF(D73&gt;B56,G72,""),F73*E73)</f>
        <v>1073104.1389495193</v>
      </c>
      <c r="H73" s="22">
        <f>IF(ISERR(G73-G55),"",(G73-G55))</f>
        <v>943449.0815928262</v>
      </c>
      <c r="I73" s="21">
        <f>IF(ISERR(B53*H73),"",((B53*H73)))</f>
        <v>2264172.9425043804</v>
      </c>
    </row>
    <row r="74" spans="4:9" ht="12.75">
      <c r="D74" s="25">
        <v>2027</v>
      </c>
      <c r="E74" s="23">
        <f>IF(D74&lt;=B56,B51*EXP(B52*(D74-D52)),"")</f>
      </c>
      <c r="F74" s="24">
        <f>IF(D74&gt;B56,"",IF(B54&gt;D74,"",IF(B54=D74,B55,IF(B54&lt;D74,(D74-B54)*B58+B55,B57))))</f>
      </c>
      <c r="G74" s="23">
        <f>IF(ISERR(F74*E74),IF(D74&gt;B56,G73,""),F74*E74)</f>
        <v>1073104.1389495193</v>
      </c>
      <c r="H74" s="22">
        <f>IF(ISERR(G74-G55),"",(G74-G55))</f>
        <v>943449.0815928262</v>
      </c>
      <c r="I74" s="21">
        <f>IF(ISERR(B53*H74),"",((B53*H74)))</f>
        <v>2264172.9425043804</v>
      </c>
    </row>
    <row r="75" spans="4:9" ht="12.75">
      <c r="D75" s="25">
        <v>2028</v>
      </c>
      <c r="E75" s="23">
        <f>IF(D75&lt;=B56,B51*EXP(B52*(D75-D52)),"")</f>
      </c>
      <c r="F75" s="24">
        <f>IF(D75&gt;B56,"",IF(B54&gt;D75,"",IF(B54=D75,B55,IF(B54&lt;D75,(D75-B54)*B58+B55,B57))))</f>
      </c>
      <c r="G75" s="23">
        <f>IF(ISERR(F75*E75),IF(D75&gt;B56,G74,""),F75*E75)</f>
        <v>1073104.1389495193</v>
      </c>
      <c r="H75" s="22">
        <f>IF(ISERR(G75-G55),"",(G75-G55))</f>
        <v>943449.0815928262</v>
      </c>
      <c r="I75" s="21">
        <f>IF(ISERR(B53*H75),"",((B53*H75)))</f>
        <v>2264172.9425043804</v>
      </c>
    </row>
    <row r="76" spans="4:9" ht="12.75">
      <c r="D76" s="25">
        <v>2029</v>
      </c>
      <c r="E76" s="23">
        <f>IF(D76&lt;=B56,B51*EXP(B52*(D76-D52)),"")</f>
      </c>
      <c r="F76" s="24">
        <f>IF(D76&gt;B56,"",IF(B54&gt;D76,"",IF(B54=D76,B55,IF(B54&lt;D76,(D76-B54)*B58+B55,B57))))</f>
      </c>
      <c r="G76" s="23">
        <f>IF(ISERR(F76*E76),IF(D76&gt;B56,G75,""),F76*E76)</f>
        <v>1073104.1389495193</v>
      </c>
      <c r="H76" s="22">
        <f>IF(ISERR(G76-G55),"",(G76-G55))</f>
        <v>943449.0815928262</v>
      </c>
      <c r="I76" s="21">
        <f>IF(ISERR(B53*H76),"",((B53*H76)))</f>
        <v>2264172.9425043804</v>
      </c>
    </row>
    <row r="77" spans="4:9" ht="13.5" thickBot="1">
      <c r="D77" s="20">
        <v>2030</v>
      </c>
      <c r="E77" s="18">
        <f>IF(D77&lt;=B56,B51*EXP(B52*(D77-D52)),"")</f>
      </c>
      <c r="F77" s="19">
        <f>IF(D77&gt;B56,"",IF(B54&gt;D77,"",IF(B54=D77,B55,IF(B54&lt;D77,(D77-B54)*B58+B55,B57))))</f>
      </c>
      <c r="G77" s="18">
        <f>IF(ISERR(F77*E77),IF(D77&gt;B56,G76,""),F77*E77)</f>
        <v>1073104.1389495193</v>
      </c>
      <c r="H77" s="17">
        <f>IF(ISERR(G77-G55),"",(G77-G55))</f>
        <v>943449.0815928262</v>
      </c>
      <c r="I77" s="16">
        <f>IF(ISERR(B53*H77),"",((B53*H77)))</f>
        <v>2264172.9425043804</v>
      </c>
    </row>
    <row r="78" spans="1:5" ht="38.25">
      <c r="A78" s="15" t="s">
        <v>686</v>
      </c>
      <c r="B78" s="212" t="s">
        <v>685</v>
      </c>
      <c r="C78" s="212" t="s">
        <v>684</v>
      </c>
      <c r="D78" s="212" t="s">
        <v>683</v>
      </c>
      <c r="E78" s="207" t="s">
        <v>342</v>
      </c>
    </row>
    <row r="79" spans="1:5" ht="12.75">
      <c r="A79" s="15"/>
      <c r="B79" s="210">
        <v>0.042</v>
      </c>
      <c r="C79" s="210">
        <f>B79*25199579.631</f>
        <v>1058382.3445020001</v>
      </c>
      <c r="D79" s="210">
        <v>2.54</v>
      </c>
      <c r="E79" s="134">
        <f>(D79*10^6)/C79</f>
        <v>2.3998888617091816</v>
      </c>
    </row>
    <row r="82" spans="1:13" s="114" customFormat="1" ht="15" customHeight="1">
      <c r="A82" s="112"/>
      <c r="B82" s="246"/>
      <c r="K82" s="113"/>
      <c r="L82" s="113"/>
      <c r="M82" s="113"/>
    </row>
    <row r="83" spans="1:9" s="68" customFormat="1" ht="12" customHeight="1">
      <c r="A83" s="466" t="s">
        <v>409</v>
      </c>
      <c r="B83" s="530"/>
      <c r="C83" s="530"/>
      <c r="D83" s="530"/>
      <c r="E83" s="530"/>
      <c r="F83" s="530"/>
      <c r="G83" s="530"/>
      <c r="H83" s="530"/>
      <c r="I83" s="531"/>
    </row>
    <row r="84" spans="1:9" s="68" customFormat="1" ht="12" customHeight="1">
      <c r="A84" s="468" t="s">
        <v>444</v>
      </c>
      <c r="B84" s="456"/>
      <c r="C84" s="456"/>
      <c r="D84" s="456"/>
      <c r="E84" s="456"/>
      <c r="F84" s="456"/>
      <c r="G84" s="456"/>
      <c r="H84" s="456"/>
      <c r="I84" s="436"/>
    </row>
    <row r="85" spans="1:9" s="68" customFormat="1" ht="27" customHeight="1">
      <c r="A85" s="532" t="s">
        <v>408</v>
      </c>
      <c r="B85" s="525"/>
      <c r="C85" s="525"/>
      <c r="D85" s="525"/>
      <c r="E85" s="525"/>
      <c r="F85" s="525"/>
      <c r="G85" s="525"/>
      <c r="H85" s="525"/>
      <c r="I85" s="533"/>
    </row>
    <row r="86" spans="1:8" s="242" customFormat="1" ht="12.75">
      <c r="A86" s="416" t="s">
        <v>707</v>
      </c>
      <c r="B86" s="245"/>
      <c r="C86" s="245"/>
      <c r="D86" s="245"/>
      <c r="E86" s="244"/>
      <c r="F86" s="244"/>
      <c r="G86" s="244"/>
      <c r="H86" s="243"/>
    </row>
    <row r="87" spans="1:10" s="68" customFormat="1" ht="51.75" thickBot="1">
      <c r="A87" s="344" t="s">
        <v>455</v>
      </c>
      <c r="B87" s="363" t="s">
        <v>1131</v>
      </c>
      <c r="C87" s="363" t="s">
        <v>1130</v>
      </c>
      <c r="D87" s="363" t="s">
        <v>361</v>
      </c>
      <c r="E87" s="363" t="s">
        <v>360</v>
      </c>
      <c r="F87" s="363" t="s">
        <v>159</v>
      </c>
      <c r="G87" s="363" t="s">
        <v>779</v>
      </c>
      <c r="H87" s="364" t="s">
        <v>501</v>
      </c>
      <c r="I87" s="345" t="s">
        <v>502</v>
      </c>
      <c r="J87" s="338"/>
    </row>
    <row r="88" spans="1:10" s="68" customFormat="1" ht="13.5" thickTop="1">
      <c r="A88" s="133">
        <f>A89-1</f>
        <v>2005</v>
      </c>
      <c r="B88" s="134"/>
      <c r="C88" s="134"/>
      <c r="D88" s="134"/>
      <c r="E88" s="134"/>
      <c r="F88" s="134"/>
      <c r="G88" s="134"/>
      <c r="H88" s="134"/>
      <c r="I88" s="339"/>
      <c r="J88" s="69"/>
    </row>
    <row r="89" spans="1:10" s="68" customFormat="1" ht="12.75">
      <c r="A89" s="133">
        <f>A90-1</f>
        <v>2006</v>
      </c>
      <c r="B89" s="134"/>
      <c r="C89" s="134"/>
      <c r="D89" s="134"/>
      <c r="E89" s="134"/>
      <c r="F89" s="134"/>
      <c r="G89" s="134"/>
      <c r="H89" s="134"/>
      <c r="I89" s="339"/>
      <c r="J89" s="69"/>
    </row>
    <row r="90" spans="1:10" s="68" customFormat="1" ht="12.75">
      <c r="A90" s="152">
        <f>A91-1</f>
        <v>2007</v>
      </c>
      <c r="B90" s="157"/>
      <c r="C90" s="157"/>
      <c r="D90" s="157"/>
      <c r="E90" s="350"/>
      <c r="F90" s="350"/>
      <c r="G90" s="350"/>
      <c r="H90" s="351"/>
      <c r="I90" s="136"/>
      <c r="J90" s="346"/>
    </row>
    <row r="91" spans="1:10" s="68" customFormat="1" ht="12.75">
      <c r="A91" s="152">
        <v>2008</v>
      </c>
      <c r="B91" s="134">
        <v>0</v>
      </c>
      <c r="C91" s="157">
        <f aca="true" t="shared" si="1" ref="C91:C113">B91*35.3</f>
        <v>0</v>
      </c>
      <c r="D91" s="157">
        <f aca="true" t="shared" si="2" ref="D91:D113">C91*1027</f>
        <v>0</v>
      </c>
      <c r="E91" s="350">
        <f aca="true" t="shared" si="3" ref="E91:E113">D91/1000000</f>
        <v>0</v>
      </c>
      <c r="F91" s="352">
        <v>1</v>
      </c>
      <c r="G91" s="353">
        <f aca="true" t="shared" si="4" ref="G91:G113">E91*F91</f>
        <v>0</v>
      </c>
      <c r="H91" s="351">
        <f aca="true" t="shared" si="5" ref="H91:H113">G91*52790</f>
        <v>0</v>
      </c>
      <c r="I91" s="354">
        <f aca="true" t="shared" si="6" ref="I91:I113">H91/1000000000000</f>
        <v>0</v>
      </c>
      <c r="J91" s="347"/>
    </row>
    <row r="92" spans="1:10" s="68" customFormat="1" ht="12.75">
      <c r="A92" s="152">
        <f aca="true" t="shared" si="7" ref="A92:A113">A91+1</f>
        <v>2009</v>
      </c>
      <c r="B92" s="241">
        <f>((B113-B91)/22)+B91</f>
        <v>590909.0909090909</v>
      </c>
      <c r="C92" s="157">
        <f t="shared" si="1"/>
        <v>20859090.90909091</v>
      </c>
      <c r="D92" s="157">
        <f t="shared" si="2"/>
        <v>21422286363.636364</v>
      </c>
      <c r="E92" s="350">
        <f t="shared" si="3"/>
        <v>21422.286363636365</v>
      </c>
      <c r="F92" s="352">
        <v>1</v>
      </c>
      <c r="G92" s="353">
        <f t="shared" si="4"/>
        <v>21422.286363636365</v>
      </c>
      <c r="H92" s="351">
        <f t="shared" si="5"/>
        <v>1130882497.1363637</v>
      </c>
      <c r="I92" s="356">
        <f t="shared" si="6"/>
        <v>0.0011308824971363637</v>
      </c>
      <c r="J92" s="347"/>
    </row>
    <row r="93" spans="1:11" s="68" customFormat="1" ht="12.75">
      <c r="A93" s="152">
        <f t="shared" si="7"/>
        <v>2010</v>
      </c>
      <c r="B93" s="241">
        <f>((B113-B91)/22)+B92</f>
        <v>1181818.1818181819</v>
      </c>
      <c r="C93" s="157">
        <f t="shared" si="1"/>
        <v>41718181.81818182</v>
      </c>
      <c r="D93" s="157">
        <f t="shared" si="2"/>
        <v>42844572727.27273</v>
      </c>
      <c r="E93" s="350">
        <f t="shared" si="3"/>
        <v>42844.57272727273</v>
      </c>
      <c r="F93" s="352">
        <v>1</v>
      </c>
      <c r="G93" s="353">
        <f t="shared" si="4"/>
        <v>42844.57272727273</v>
      </c>
      <c r="H93" s="351">
        <f t="shared" si="5"/>
        <v>2261764994.2727275</v>
      </c>
      <c r="I93" s="356">
        <f t="shared" si="6"/>
        <v>0.0022617649942727274</v>
      </c>
      <c r="J93" s="347"/>
      <c r="K93" s="173"/>
    </row>
    <row r="94" spans="1:11" s="68" customFormat="1" ht="12.75">
      <c r="A94" s="152">
        <f t="shared" si="7"/>
        <v>2011</v>
      </c>
      <c r="B94" s="241">
        <f>((B113-B91)/22)+B93</f>
        <v>1772727.272727273</v>
      </c>
      <c r="C94" s="157">
        <f t="shared" si="1"/>
        <v>62577272.72727273</v>
      </c>
      <c r="D94" s="157">
        <f t="shared" si="2"/>
        <v>64266859090.90909</v>
      </c>
      <c r="E94" s="350">
        <f t="shared" si="3"/>
        <v>64266.859090909085</v>
      </c>
      <c r="F94" s="352">
        <v>1</v>
      </c>
      <c r="G94" s="353">
        <f t="shared" si="4"/>
        <v>64266.859090909085</v>
      </c>
      <c r="H94" s="351">
        <f t="shared" si="5"/>
        <v>3392647491.4090905</v>
      </c>
      <c r="I94" s="356">
        <f t="shared" si="6"/>
        <v>0.0033926474914090904</v>
      </c>
      <c r="J94" s="347"/>
      <c r="K94" s="172"/>
    </row>
    <row r="95" spans="1:10" s="68" customFormat="1" ht="12.75">
      <c r="A95" s="152">
        <f t="shared" si="7"/>
        <v>2012</v>
      </c>
      <c r="B95" s="241">
        <f>((B113-B91)/22)+B94</f>
        <v>2363636.3636363638</v>
      </c>
      <c r="C95" s="157">
        <f t="shared" si="1"/>
        <v>83436363.63636364</v>
      </c>
      <c r="D95" s="157">
        <f t="shared" si="2"/>
        <v>85689145454.54546</v>
      </c>
      <c r="E95" s="350">
        <f t="shared" si="3"/>
        <v>85689.14545454546</v>
      </c>
      <c r="F95" s="352">
        <v>1</v>
      </c>
      <c r="G95" s="353">
        <f t="shared" si="4"/>
        <v>85689.14545454546</v>
      </c>
      <c r="H95" s="351">
        <f t="shared" si="5"/>
        <v>4523529988.545455</v>
      </c>
      <c r="I95" s="356">
        <f t="shared" si="6"/>
        <v>0.004523529988545455</v>
      </c>
      <c r="J95" s="347"/>
    </row>
    <row r="96" spans="1:10" s="68" customFormat="1" ht="12.75">
      <c r="A96" s="152">
        <f t="shared" si="7"/>
        <v>2013</v>
      </c>
      <c r="B96" s="241">
        <f>((B113-B91)/22)+B95</f>
        <v>2954545.4545454546</v>
      </c>
      <c r="C96" s="157">
        <f t="shared" si="1"/>
        <v>104295454.54545453</v>
      </c>
      <c r="D96" s="157">
        <f t="shared" si="2"/>
        <v>107111431818.18181</v>
      </c>
      <c r="E96" s="350">
        <f t="shared" si="3"/>
        <v>107111.43181818181</v>
      </c>
      <c r="F96" s="352">
        <v>1</v>
      </c>
      <c r="G96" s="353">
        <f t="shared" si="4"/>
        <v>107111.43181818181</v>
      </c>
      <c r="H96" s="351">
        <f t="shared" si="5"/>
        <v>5654412485.681818</v>
      </c>
      <c r="I96" s="356">
        <f t="shared" si="6"/>
        <v>0.005654412485681818</v>
      </c>
      <c r="J96" s="347"/>
    </row>
    <row r="97" spans="1:10" s="68" customFormat="1" ht="12.75">
      <c r="A97" s="152">
        <f t="shared" si="7"/>
        <v>2014</v>
      </c>
      <c r="B97" s="241">
        <f>((B113-B91)/22)+B96</f>
        <v>3545454.5454545454</v>
      </c>
      <c r="C97" s="157">
        <f t="shared" si="1"/>
        <v>125154545.45454544</v>
      </c>
      <c r="D97" s="157">
        <f t="shared" si="2"/>
        <v>128533718181.81816</v>
      </c>
      <c r="E97" s="350">
        <f t="shared" si="3"/>
        <v>128533.71818181816</v>
      </c>
      <c r="F97" s="352">
        <v>1</v>
      </c>
      <c r="G97" s="353">
        <f t="shared" si="4"/>
        <v>128533.71818181816</v>
      </c>
      <c r="H97" s="351">
        <f t="shared" si="5"/>
        <v>6785294982.81818</v>
      </c>
      <c r="I97" s="356">
        <f t="shared" si="6"/>
        <v>0.00678529498281818</v>
      </c>
      <c r="J97" s="347"/>
    </row>
    <row r="98" spans="1:10" s="68" customFormat="1" ht="12.75">
      <c r="A98" s="152">
        <f t="shared" si="7"/>
        <v>2015</v>
      </c>
      <c r="B98" s="241">
        <f>((B113-B91)/22)+B97</f>
        <v>4136363.6363636362</v>
      </c>
      <c r="C98" s="157">
        <f t="shared" si="1"/>
        <v>146013636.36363634</v>
      </c>
      <c r="D98" s="157">
        <f t="shared" si="2"/>
        <v>149956004545.45453</v>
      </c>
      <c r="E98" s="350">
        <f t="shared" si="3"/>
        <v>149956.00454545452</v>
      </c>
      <c r="F98" s="352">
        <v>1</v>
      </c>
      <c r="G98" s="353">
        <f t="shared" si="4"/>
        <v>149956.00454545452</v>
      </c>
      <c r="H98" s="351">
        <f t="shared" si="5"/>
        <v>7916177479.954544</v>
      </c>
      <c r="I98" s="356">
        <f t="shared" si="6"/>
        <v>0.007916177479954545</v>
      </c>
      <c r="J98" s="347"/>
    </row>
    <row r="99" spans="1:10" s="68" customFormat="1" ht="12.75">
      <c r="A99" s="152">
        <f t="shared" si="7"/>
        <v>2016</v>
      </c>
      <c r="B99" s="241">
        <f>((B113-B91)/22)+B98</f>
        <v>4727272.7272727275</v>
      </c>
      <c r="C99" s="157">
        <f t="shared" si="1"/>
        <v>166872727.27272728</v>
      </c>
      <c r="D99" s="157">
        <f t="shared" si="2"/>
        <v>171378290909.0909</v>
      </c>
      <c r="E99" s="350">
        <f t="shared" si="3"/>
        <v>171378.29090909092</v>
      </c>
      <c r="F99" s="352">
        <v>1</v>
      </c>
      <c r="G99" s="353">
        <f t="shared" si="4"/>
        <v>171378.29090909092</v>
      </c>
      <c r="H99" s="351">
        <f t="shared" si="5"/>
        <v>9047059977.09091</v>
      </c>
      <c r="I99" s="356">
        <f t="shared" si="6"/>
        <v>0.00904705997709091</v>
      </c>
      <c r="J99" s="347"/>
    </row>
    <row r="100" spans="1:10" s="68" customFormat="1" ht="12.75">
      <c r="A100" s="152">
        <f t="shared" si="7"/>
        <v>2017</v>
      </c>
      <c r="B100" s="241">
        <f>((B113-B91)/22)+B99</f>
        <v>5318181.818181818</v>
      </c>
      <c r="C100" s="157">
        <f t="shared" si="1"/>
        <v>187731818.1818182</v>
      </c>
      <c r="D100" s="157">
        <f t="shared" si="2"/>
        <v>192800577272.72726</v>
      </c>
      <c r="E100" s="350">
        <f t="shared" si="3"/>
        <v>192800.57727272727</v>
      </c>
      <c r="F100" s="352">
        <v>1</v>
      </c>
      <c r="G100" s="353">
        <f t="shared" si="4"/>
        <v>192800.57727272727</v>
      </c>
      <c r="H100" s="351">
        <f t="shared" si="5"/>
        <v>10177942474.227272</v>
      </c>
      <c r="I100" s="356">
        <f t="shared" si="6"/>
        <v>0.010177942474227273</v>
      </c>
      <c r="J100" s="347"/>
    </row>
    <row r="101" spans="1:10" s="68" customFormat="1" ht="12.75">
      <c r="A101" s="152">
        <f t="shared" si="7"/>
        <v>2018</v>
      </c>
      <c r="B101" s="241">
        <f>((B113-B91)/22)+B100</f>
        <v>5909090.909090909</v>
      </c>
      <c r="C101" s="157">
        <f t="shared" si="1"/>
        <v>208590909.09090906</v>
      </c>
      <c r="D101" s="157">
        <f t="shared" si="2"/>
        <v>214222863636.36362</v>
      </c>
      <c r="E101" s="350">
        <f t="shared" si="3"/>
        <v>214222.86363636362</v>
      </c>
      <c r="F101" s="352">
        <v>1</v>
      </c>
      <c r="G101" s="353">
        <f t="shared" si="4"/>
        <v>214222.86363636362</v>
      </c>
      <c r="H101" s="351">
        <f t="shared" si="5"/>
        <v>11308824971.363636</v>
      </c>
      <c r="I101" s="356">
        <f t="shared" si="6"/>
        <v>0.011308824971363636</v>
      </c>
      <c r="J101" s="347"/>
    </row>
    <row r="102" spans="1:10" s="68" customFormat="1" ht="12.75">
      <c r="A102" s="152">
        <f t="shared" si="7"/>
        <v>2019</v>
      </c>
      <c r="B102" s="241">
        <f>((B113-B91)/22)+B101</f>
        <v>6500000</v>
      </c>
      <c r="C102" s="157">
        <f t="shared" si="1"/>
        <v>229449999.99999997</v>
      </c>
      <c r="D102" s="157">
        <f t="shared" si="2"/>
        <v>235645149999.99997</v>
      </c>
      <c r="E102" s="350">
        <f t="shared" si="3"/>
        <v>235645.14999999997</v>
      </c>
      <c r="F102" s="352">
        <v>1</v>
      </c>
      <c r="G102" s="353">
        <f t="shared" si="4"/>
        <v>235645.14999999997</v>
      </c>
      <c r="H102" s="351">
        <f t="shared" si="5"/>
        <v>12439707468.499998</v>
      </c>
      <c r="I102" s="356">
        <f t="shared" si="6"/>
        <v>0.012439707468499999</v>
      </c>
      <c r="J102" s="347"/>
    </row>
    <row r="103" spans="1:10" s="68" customFormat="1" ht="12.75">
      <c r="A103" s="152">
        <f t="shared" si="7"/>
        <v>2020</v>
      </c>
      <c r="B103" s="241">
        <f>((B113-B91)/22)+B102</f>
        <v>7090909.090909091</v>
      </c>
      <c r="C103" s="157">
        <f t="shared" si="1"/>
        <v>250309090.90909088</v>
      </c>
      <c r="D103" s="157">
        <f t="shared" si="2"/>
        <v>257067436363.63632</v>
      </c>
      <c r="E103" s="350">
        <f t="shared" si="3"/>
        <v>257067.4363636363</v>
      </c>
      <c r="F103" s="352">
        <v>1</v>
      </c>
      <c r="G103" s="353">
        <f t="shared" si="4"/>
        <v>257067.4363636363</v>
      </c>
      <c r="H103" s="351">
        <f t="shared" si="5"/>
        <v>13570589965.63636</v>
      </c>
      <c r="I103" s="356">
        <f t="shared" si="6"/>
        <v>0.01357058996563636</v>
      </c>
      <c r="J103" s="347"/>
    </row>
    <row r="104" spans="1:10" s="68" customFormat="1" ht="12.75">
      <c r="A104" s="152">
        <f t="shared" si="7"/>
        <v>2021</v>
      </c>
      <c r="B104" s="241">
        <f>((B113-B91)/22)+B103</f>
        <v>7681818.181818182</v>
      </c>
      <c r="C104" s="157">
        <f t="shared" si="1"/>
        <v>271168181.8181818</v>
      </c>
      <c r="D104" s="157">
        <f t="shared" si="2"/>
        <v>278489722727.2727</v>
      </c>
      <c r="E104" s="350">
        <f t="shared" si="3"/>
        <v>278489.7227272727</v>
      </c>
      <c r="F104" s="352">
        <v>1</v>
      </c>
      <c r="G104" s="353">
        <f t="shared" si="4"/>
        <v>278489.7227272727</v>
      </c>
      <c r="H104" s="351">
        <f t="shared" si="5"/>
        <v>14701472462.772726</v>
      </c>
      <c r="I104" s="356">
        <f t="shared" si="6"/>
        <v>0.014701472462772727</v>
      </c>
      <c r="J104" s="347"/>
    </row>
    <row r="105" spans="1:10" s="116" customFormat="1" ht="12.75">
      <c r="A105" s="152">
        <f t="shared" si="7"/>
        <v>2022</v>
      </c>
      <c r="B105" s="241">
        <f>((B113-B91)/22)+B104</f>
        <v>8272727.2727272725</v>
      </c>
      <c r="C105" s="157">
        <f t="shared" si="1"/>
        <v>292027272.7272727</v>
      </c>
      <c r="D105" s="157">
        <f t="shared" si="2"/>
        <v>299912009090.90906</v>
      </c>
      <c r="E105" s="350">
        <f t="shared" si="3"/>
        <v>299912.00909090904</v>
      </c>
      <c r="F105" s="352">
        <v>1</v>
      </c>
      <c r="G105" s="353">
        <f t="shared" si="4"/>
        <v>299912.00909090904</v>
      </c>
      <c r="H105" s="351">
        <f t="shared" si="5"/>
        <v>15832354959.909088</v>
      </c>
      <c r="I105" s="356">
        <f t="shared" si="6"/>
        <v>0.01583235495990909</v>
      </c>
      <c r="J105" s="78"/>
    </row>
    <row r="106" spans="1:10" s="68" customFormat="1" ht="12.75">
      <c r="A106" s="152">
        <f t="shared" si="7"/>
        <v>2023</v>
      </c>
      <c r="B106" s="241">
        <f>((B113-B91)/22)+B105</f>
        <v>8863636.363636363</v>
      </c>
      <c r="C106" s="157">
        <f t="shared" si="1"/>
        <v>312886363.6363636</v>
      </c>
      <c r="D106" s="157">
        <f t="shared" si="2"/>
        <v>321334295454.5455</v>
      </c>
      <c r="E106" s="350">
        <f t="shared" si="3"/>
        <v>321334.29545454547</v>
      </c>
      <c r="F106" s="352">
        <v>1</v>
      </c>
      <c r="G106" s="353">
        <f t="shared" si="4"/>
        <v>321334.29545454547</v>
      </c>
      <c r="H106" s="351">
        <f t="shared" si="5"/>
        <v>16963237457.045456</v>
      </c>
      <c r="I106" s="356">
        <f t="shared" si="6"/>
        <v>0.016963237457045456</v>
      </c>
      <c r="J106" s="347"/>
    </row>
    <row r="107" spans="1:10" s="68" customFormat="1" ht="12.75">
      <c r="A107" s="152">
        <f t="shared" si="7"/>
        <v>2024</v>
      </c>
      <c r="B107" s="241">
        <f>((B113-B91)/22)+B106</f>
        <v>9454545.454545455</v>
      </c>
      <c r="C107" s="157">
        <f t="shared" si="1"/>
        <v>333745454.54545456</v>
      </c>
      <c r="D107" s="157">
        <f t="shared" si="2"/>
        <v>342756581818.1818</v>
      </c>
      <c r="E107" s="350">
        <f t="shared" si="3"/>
        <v>342756.58181818185</v>
      </c>
      <c r="F107" s="352">
        <v>1</v>
      </c>
      <c r="G107" s="353">
        <f t="shared" si="4"/>
        <v>342756.58181818185</v>
      </c>
      <c r="H107" s="351">
        <f t="shared" si="5"/>
        <v>18094119954.18182</v>
      </c>
      <c r="I107" s="356">
        <f t="shared" si="6"/>
        <v>0.01809411995418182</v>
      </c>
      <c r="J107" s="347"/>
    </row>
    <row r="108" spans="1:10" s="68" customFormat="1" ht="12.75">
      <c r="A108" s="152">
        <f t="shared" si="7"/>
        <v>2025</v>
      </c>
      <c r="B108" s="241">
        <f>((B113-B91)/22)+B107</f>
        <v>10045454.545454547</v>
      </c>
      <c r="C108" s="157">
        <f t="shared" si="1"/>
        <v>354604545.4545455</v>
      </c>
      <c r="D108" s="157">
        <f t="shared" si="2"/>
        <v>364178868181.81824</v>
      </c>
      <c r="E108" s="350">
        <f t="shared" si="3"/>
        <v>364178.8681818182</v>
      </c>
      <c r="F108" s="352">
        <v>1</v>
      </c>
      <c r="G108" s="353">
        <f t="shared" si="4"/>
        <v>364178.8681818182</v>
      </c>
      <c r="H108" s="351">
        <f t="shared" si="5"/>
        <v>19225002451.318184</v>
      </c>
      <c r="I108" s="356">
        <f t="shared" si="6"/>
        <v>0.019225002451318182</v>
      </c>
      <c r="J108" s="347"/>
    </row>
    <row r="109" spans="1:10" s="68" customFormat="1" ht="12.75">
      <c r="A109" s="152">
        <f t="shared" si="7"/>
        <v>2026</v>
      </c>
      <c r="B109" s="241">
        <f>((B113-B91)/22)+B108</f>
        <v>10636363.636363639</v>
      </c>
      <c r="C109" s="157">
        <f t="shared" si="1"/>
        <v>375463636.36363643</v>
      </c>
      <c r="D109" s="157">
        <f t="shared" si="2"/>
        <v>385601154545.4546</v>
      </c>
      <c r="E109" s="350">
        <f t="shared" si="3"/>
        <v>385601.1545454546</v>
      </c>
      <c r="F109" s="352">
        <v>1</v>
      </c>
      <c r="G109" s="353">
        <f t="shared" si="4"/>
        <v>385601.1545454546</v>
      </c>
      <c r="H109" s="351">
        <f t="shared" si="5"/>
        <v>20355884948.454548</v>
      </c>
      <c r="I109" s="356">
        <f t="shared" si="6"/>
        <v>0.02035588494845455</v>
      </c>
      <c r="J109" s="347"/>
    </row>
    <row r="110" spans="1:10" s="68" customFormat="1" ht="12.75">
      <c r="A110" s="152">
        <f t="shared" si="7"/>
        <v>2027</v>
      </c>
      <c r="B110" s="241">
        <f>((B113-B91)/22)+B109</f>
        <v>11227272.72727273</v>
      </c>
      <c r="C110" s="157">
        <f t="shared" si="1"/>
        <v>396322727.2727274</v>
      </c>
      <c r="D110" s="157">
        <f t="shared" si="2"/>
        <v>407023440909.091</v>
      </c>
      <c r="E110" s="350">
        <f t="shared" si="3"/>
        <v>407023.440909091</v>
      </c>
      <c r="F110" s="352">
        <v>1</v>
      </c>
      <c r="G110" s="353">
        <f t="shared" si="4"/>
        <v>407023.440909091</v>
      </c>
      <c r="H110" s="351">
        <f t="shared" si="5"/>
        <v>21486767445.59091</v>
      </c>
      <c r="I110" s="356">
        <f t="shared" si="6"/>
        <v>0.021486767445590912</v>
      </c>
      <c r="J110" s="347"/>
    </row>
    <row r="111" spans="1:10" s="68" customFormat="1" ht="12.75">
      <c r="A111" s="152">
        <f t="shared" si="7"/>
        <v>2028</v>
      </c>
      <c r="B111" s="241">
        <f>((B113-B91)/22)+B110</f>
        <v>11818181.818181822</v>
      </c>
      <c r="C111" s="157">
        <f t="shared" si="1"/>
        <v>417181818.1818183</v>
      </c>
      <c r="D111" s="157">
        <f t="shared" si="2"/>
        <v>428445727272.7274</v>
      </c>
      <c r="E111" s="350">
        <f t="shared" si="3"/>
        <v>428445.7272727274</v>
      </c>
      <c r="F111" s="352">
        <v>1</v>
      </c>
      <c r="G111" s="353">
        <f t="shared" si="4"/>
        <v>428445.7272727274</v>
      </c>
      <c r="H111" s="351">
        <f t="shared" si="5"/>
        <v>22617649942.72728</v>
      </c>
      <c r="I111" s="356">
        <f t="shared" si="6"/>
        <v>0.02261764994272728</v>
      </c>
      <c r="J111" s="347"/>
    </row>
    <row r="112" spans="1:10" s="68" customFormat="1" ht="12.75">
      <c r="A112" s="152">
        <f t="shared" si="7"/>
        <v>2029</v>
      </c>
      <c r="B112" s="241">
        <f>((B113-B91)/22)+B111</f>
        <v>12409090.909090914</v>
      </c>
      <c r="C112" s="157">
        <f t="shared" si="1"/>
        <v>438040909.09090924</v>
      </c>
      <c r="D112" s="157">
        <f t="shared" si="2"/>
        <v>449868013636.3638</v>
      </c>
      <c r="E112" s="350">
        <f t="shared" si="3"/>
        <v>449868.0136363638</v>
      </c>
      <c r="F112" s="352">
        <v>1</v>
      </c>
      <c r="G112" s="353">
        <f t="shared" si="4"/>
        <v>449868.0136363638</v>
      </c>
      <c r="H112" s="351">
        <f t="shared" si="5"/>
        <v>23748532439.863644</v>
      </c>
      <c r="I112" s="356">
        <f t="shared" si="6"/>
        <v>0.023748532439863645</v>
      </c>
      <c r="J112" s="347"/>
    </row>
    <row r="113" spans="1:10" s="68" customFormat="1" ht="12.75">
      <c r="A113" s="357">
        <f t="shared" si="7"/>
        <v>2030</v>
      </c>
      <c r="B113" s="349">
        <v>13000000</v>
      </c>
      <c r="C113" s="349">
        <f t="shared" si="1"/>
        <v>458899999.99999994</v>
      </c>
      <c r="D113" s="349">
        <f t="shared" si="2"/>
        <v>471290299999.99994</v>
      </c>
      <c r="E113" s="358">
        <f t="shared" si="3"/>
        <v>471290.29999999993</v>
      </c>
      <c r="F113" s="359">
        <v>1</v>
      </c>
      <c r="G113" s="360">
        <f t="shared" si="4"/>
        <v>471290.29999999993</v>
      </c>
      <c r="H113" s="361">
        <f t="shared" si="5"/>
        <v>24879414936.999996</v>
      </c>
      <c r="I113" s="362">
        <f t="shared" si="6"/>
        <v>0.024879414936999997</v>
      </c>
      <c r="J113" s="347"/>
    </row>
    <row r="114" s="68" customFormat="1" ht="12.75"/>
    <row r="115" spans="1:8" s="68" customFormat="1" ht="12.75">
      <c r="A115" s="523" t="s">
        <v>578</v>
      </c>
      <c r="B115" s="523"/>
      <c r="C115" s="523"/>
      <c r="D115" s="523"/>
      <c r="E115" s="524"/>
      <c r="F115" s="169"/>
      <c r="G115" s="169"/>
      <c r="H115" s="185">
        <f>I113</f>
        <v>0.024879414936999997</v>
      </c>
    </row>
    <row r="116" spans="1:8" s="68" customFormat="1" ht="12.75">
      <c r="A116" s="523" t="s">
        <v>582</v>
      </c>
      <c r="B116" s="523"/>
      <c r="C116" s="523"/>
      <c r="D116" s="523"/>
      <c r="E116" s="524"/>
      <c r="F116" s="169"/>
      <c r="G116" s="169"/>
      <c r="H116" s="181">
        <f>SUM(I92:I113)</f>
        <v>0.2861132717755</v>
      </c>
    </row>
    <row r="119" spans="1:9" ht="12.75" customHeight="1">
      <c r="A119" s="466" t="s">
        <v>905</v>
      </c>
      <c r="B119" s="467"/>
      <c r="C119" s="467"/>
      <c r="D119" s="467"/>
      <c r="E119" s="467"/>
      <c r="F119" s="467"/>
      <c r="G119" s="86"/>
      <c r="H119" s="55"/>
      <c r="I119" s="54"/>
    </row>
    <row r="120" spans="1:9" ht="12.75">
      <c r="A120" s="468" t="s">
        <v>359</v>
      </c>
      <c r="B120" s="469"/>
      <c r="C120" s="469"/>
      <c r="D120" s="469"/>
      <c r="E120" s="469"/>
      <c r="F120" s="469"/>
      <c r="G120" s="52"/>
      <c r="H120" s="52"/>
      <c r="I120" s="51"/>
    </row>
    <row r="121" spans="1:9" ht="12.75">
      <c r="A121" s="470" t="s">
        <v>692</v>
      </c>
      <c r="B121" s="469"/>
      <c r="C121" s="469"/>
      <c r="D121" s="469"/>
      <c r="E121" s="469"/>
      <c r="F121" s="469"/>
      <c r="G121" s="52"/>
      <c r="H121" s="52"/>
      <c r="I121" s="51"/>
    </row>
    <row r="122" spans="1:9" ht="61.5" customHeight="1">
      <c r="A122" s="470" t="s">
        <v>710</v>
      </c>
      <c r="B122" s="469"/>
      <c r="C122" s="469"/>
      <c r="D122" s="469"/>
      <c r="E122" s="469"/>
      <c r="F122" s="469"/>
      <c r="G122" s="52"/>
      <c r="H122" s="52"/>
      <c r="I122" s="51"/>
    </row>
    <row r="123" spans="1:9" ht="12.75">
      <c r="A123" s="459" t="s">
        <v>371</v>
      </c>
      <c r="B123" s="462"/>
      <c r="C123" s="462"/>
      <c r="D123" s="49"/>
      <c r="E123" s="49"/>
      <c r="F123" s="49"/>
      <c r="G123" s="49"/>
      <c r="H123" s="49"/>
      <c r="I123" s="48"/>
    </row>
    <row r="125" spans="1:5" ht="51">
      <c r="A125" s="130" t="s">
        <v>455</v>
      </c>
      <c r="B125" s="131" t="s">
        <v>495</v>
      </c>
      <c r="C125" s="131" t="s">
        <v>500</v>
      </c>
      <c r="D125" s="240" t="s">
        <v>501</v>
      </c>
      <c r="E125" s="239" t="s">
        <v>502</v>
      </c>
    </row>
    <row r="126" spans="1:5" ht="12.75">
      <c r="A126" s="133">
        <f>A127-1</f>
        <v>2005</v>
      </c>
      <c r="B126" s="238">
        <v>573</v>
      </c>
      <c r="C126" s="238"/>
      <c r="D126" s="238"/>
      <c r="E126" s="379"/>
    </row>
    <row r="127" spans="1:5" ht="12.75">
      <c r="A127" s="133">
        <f>A128-1</f>
        <v>2006</v>
      </c>
      <c r="B127" s="238">
        <f aca="true" t="shared" si="8" ref="B127:B151">B126</f>
        <v>573</v>
      </c>
      <c r="C127" s="238"/>
      <c r="D127" s="238"/>
      <c r="E127" s="379"/>
    </row>
    <row r="128" spans="1:5" ht="12.75">
      <c r="A128" s="152">
        <f>A129-1</f>
        <v>2007</v>
      </c>
      <c r="B128" s="236">
        <f t="shared" si="8"/>
        <v>573</v>
      </c>
      <c r="C128" s="380">
        <f>1641*1000000</f>
        <v>1641000000</v>
      </c>
      <c r="D128" s="381">
        <f aca="true" t="shared" si="9" ref="D128:D151">B128*C128</f>
        <v>940293000000</v>
      </c>
      <c r="E128" s="382">
        <f aca="true" t="shared" si="10" ref="E128:E151">D128/1000000000000</f>
        <v>0.940293</v>
      </c>
    </row>
    <row r="129" spans="1:5" ht="12.75">
      <c r="A129" s="152">
        <v>2008</v>
      </c>
      <c r="B129" s="236">
        <f t="shared" si="8"/>
        <v>573</v>
      </c>
      <c r="C129" s="380">
        <f>C128+((C$134-C$128)/6)</f>
        <v>2051500000</v>
      </c>
      <c r="D129" s="381">
        <f t="shared" si="9"/>
        <v>1175509500000</v>
      </c>
      <c r="E129" s="382">
        <f t="shared" si="10"/>
        <v>1.1755095</v>
      </c>
    </row>
    <row r="130" spans="1:5" ht="12.75">
      <c r="A130" s="152">
        <f aca="true" t="shared" si="11" ref="A130:A151">A129+1</f>
        <v>2009</v>
      </c>
      <c r="B130" s="236">
        <f t="shared" si="8"/>
        <v>573</v>
      </c>
      <c r="C130" s="380">
        <f>C129+((C$134-C$128)/6)</f>
        <v>2462000000</v>
      </c>
      <c r="D130" s="381">
        <f t="shared" si="9"/>
        <v>1410726000000</v>
      </c>
      <c r="E130" s="383">
        <f t="shared" si="10"/>
        <v>1.410726</v>
      </c>
    </row>
    <row r="131" spans="1:5" ht="12.75">
      <c r="A131" s="152">
        <f t="shared" si="11"/>
        <v>2010</v>
      </c>
      <c r="B131" s="236">
        <f t="shared" si="8"/>
        <v>573</v>
      </c>
      <c r="C131" s="380">
        <f>C130+((C$134-C$128)/6)</f>
        <v>2872500000</v>
      </c>
      <c r="D131" s="381">
        <f t="shared" si="9"/>
        <v>1645942500000</v>
      </c>
      <c r="E131" s="383">
        <f t="shared" si="10"/>
        <v>1.6459425</v>
      </c>
    </row>
    <row r="132" spans="1:5" ht="12.75">
      <c r="A132" s="152">
        <f t="shared" si="11"/>
        <v>2011</v>
      </c>
      <c r="B132" s="236">
        <f t="shared" si="8"/>
        <v>573</v>
      </c>
      <c r="C132" s="380">
        <f>C131+((C$134-C$128)/6)</f>
        <v>3283000000</v>
      </c>
      <c r="D132" s="381">
        <f t="shared" si="9"/>
        <v>1881159000000</v>
      </c>
      <c r="E132" s="383">
        <f t="shared" si="10"/>
        <v>1.881159</v>
      </c>
    </row>
    <row r="133" spans="1:5" ht="12.75">
      <c r="A133" s="152">
        <f t="shared" si="11"/>
        <v>2012</v>
      </c>
      <c r="B133" s="236">
        <f t="shared" si="8"/>
        <v>573</v>
      </c>
      <c r="C133" s="380">
        <f>C132+((C$134-C$128)/6)</f>
        <v>3693500000</v>
      </c>
      <c r="D133" s="381">
        <f t="shared" si="9"/>
        <v>2116375500000</v>
      </c>
      <c r="E133" s="383">
        <f t="shared" si="10"/>
        <v>2.1163755</v>
      </c>
    </row>
    <row r="134" spans="1:5" ht="12.75">
      <c r="A134" s="152">
        <f t="shared" si="11"/>
        <v>2013</v>
      </c>
      <c r="B134" s="157">
        <f t="shared" si="8"/>
        <v>573</v>
      </c>
      <c r="C134" s="350">
        <f aca="true" t="shared" si="12" ref="C134:C151">4104*1000000</f>
        <v>4104000000</v>
      </c>
      <c r="D134" s="351">
        <f t="shared" si="9"/>
        <v>2351592000000</v>
      </c>
      <c r="E134" s="340">
        <f t="shared" si="10"/>
        <v>2.351592</v>
      </c>
    </row>
    <row r="135" spans="1:5" ht="12.75">
      <c r="A135" s="152">
        <f t="shared" si="11"/>
        <v>2014</v>
      </c>
      <c r="B135" s="236">
        <f t="shared" si="8"/>
        <v>573</v>
      </c>
      <c r="C135" s="380">
        <f t="shared" si="12"/>
        <v>4104000000</v>
      </c>
      <c r="D135" s="381">
        <f t="shared" si="9"/>
        <v>2351592000000</v>
      </c>
      <c r="E135" s="383">
        <f t="shared" si="10"/>
        <v>2.351592</v>
      </c>
    </row>
    <row r="136" spans="1:5" ht="12.75">
      <c r="A136" s="152">
        <f t="shared" si="11"/>
        <v>2015</v>
      </c>
      <c r="B136" s="236">
        <f t="shared" si="8"/>
        <v>573</v>
      </c>
      <c r="C136" s="384">
        <f t="shared" si="12"/>
        <v>4104000000</v>
      </c>
      <c r="D136" s="385">
        <f t="shared" si="9"/>
        <v>2351592000000</v>
      </c>
      <c r="E136" s="341">
        <f t="shared" si="10"/>
        <v>2.351592</v>
      </c>
    </row>
    <row r="137" spans="1:5" ht="12.75">
      <c r="A137" s="152">
        <f t="shared" si="11"/>
        <v>2016</v>
      </c>
      <c r="B137" s="236">
        <f t="shared" si="8"/>
        <v>573</v>
      </c>
      <c r="C137" s="380">
        <f t="shared" si="12"/>
        <v>4104000000</v>
      </c>
      <c r="D137" s="381">
        <f t="shared" si="9"/>
        <v>2351592000000</v>
      </c>
      <c r="E137" s="383">
        <f t="shared" si="10"/>
        <v>2.351592</v>
      </c>
    </row>
    <row r="138" spans="1:5" ht="12.75">
      <c r="A138" s="152">
        <f t="shared" si="11"/>
        <v>2017</v>
      </c>
      <c r="B138" s="236">
        <f t="shared" si="8"/>
        <v>573</v>
      </c>
      <c r="C138" s="380">
        <f t="shared" si="12"/>
        <v>4104000000</v>
      </c>
      <c r="D138" s="381">
        <f t="shared" si="9"/>
        <v>2351592000000</v>
      </c>
      <c r="E138" s="383">
        <f t="shared" si="10"/>
        <v>2.351592</v>
      </c>
    </row>
    <row r="139" spans="1:5" ht="12.75">
      <c r="A139" s="152">
        <f t="shared" si="11"/>
        <v>2018</v>
      </c>
      <c r="B139" s="236">
        <f t="shared" si="8"/>
        <v>573</v>
      </c>
      <c r="C139" s="380">
        <f t="shared" si="12"/>
        <v>4104000000</v>
      </c>
      <c r="D139" s="381">
        <f t="shared" si="9"/>
        <v>2351592000000</v>
      </c>
      <c r="E139" s="383">
        <f t="shared" si="10"/>
        <v>2.351592</v>
      </c>
    </row>
    <row r="140" spans="1:5" ht="12.75">
      <c r="A140" s="152">
        <f t="shared" si="11"/>
        <v>2019</v>
      </c>
      <c r="B140" s="236">
        <f t="shared" si="8"/>
        <v>573</v>
      </c>
      <c r="C140" s="380">
        <f t="shared" si="12"/>
        <v>4104000000</v>
      </c>
      <c r="D140" s="381">
        <f t="shared" si="9"/>
        <v>2351592000000</v>
      </c>
      <c r="E140" s="383">
        <f t="shared" si="10"/>
        <v>2.351592</v>
      </c>
    </row>
    <row r="141" spans="1:5" ht="12.75">
      <c r="A141" s="152">
        <f t="shared" si="11"/>
        <v>2020</v>
      </c>
      <c r="B141" s="236">
        <f t="shared" si="8"/>
        <v>573</v>
      </c>
      <c r="C141" s="380">
        <f t="shared" si="12"/>
        <v>4104000000</v>
      </c>
      <c r="D141" s="381">
        <f t="shared" si="9"/>
        <v>2351592000000</v>
      </c>
      <c r="E141" s="383">
        <f t="shared" si="10"/>
        <v>2.351592</v>
      </c>
    </row>
    <row r="142" spans="1:5" ht="12.75">
      <c r="A142" s="152">
        <f t="shared" si="11"/>
        <v>2021</v>
      </c>
      <c r="B142" s="236">
        <f t="shared" si="8"/>
        <v>573</v>
      </c>
      <c r="C142" s="380">
        <f t="shared" si="12"/>
        <v>4104000000</v>
      </c>
      <c r="D142" s="381">
        <f t="shared" si="9"/>
        <v>2351592000000</v>
      </c>
      <c r="E142" s="383">
        <f t="shared" si="10"/>
        <v>2.351592</v>
      </c>
    </row>
    <row r="143" spans="1:5" ht="12.75">
      <c r="A143" s="152">
        <f t="shared" si="11"/>
        <v>2022</v>
      </c>
      <c r="B143" s="236">
        <f t="shared" si="8"/>
        <v>573</v>
      </c>
      <c r="C143" s="380">
        <f t="shared" si="12"/>
        <v>4104000000</v>
      </c>
      <c r="D143" s="381">
        <f t="shared" si="9"/>
        <v>2351592000000</v>
      </c>
      <c r="E143" s="383">
        <f t="shared" si="10"/>
        <v>2.351592</v>
      </c>
    </row>
    <row r="144" spans="1:5" ht="12.75">
      <c r="A144" s="152">
        <f t="shared" si="11"/>
        <v>2023</v>
      </c>
      <c r="B144" s="236">
        <f t="shared" si="8"/>
        <v>573</v>
      </c>
      <c r="C144" s="380">
        <f t="shared" si="12"/>
        <v>4104000000</v>
      </c>
      <c r="D144" s="381">
        <f t="shared" si="9"/>
        <v>2351592000000</v>
      </c>
      <c r="E144" s="383">
        <f t="shared" si="10"/>
        <v>2.351592</v>
      </c>
    </row>
    <row r="145" spans="1:5" ht="12.75">
      <c r="A145" s="152">
        <f t="shared" si="11"/>
        <v>2024</v>
      </c>
      <c r="B145" s="236">
        <f t="shared" si="8"/>
        <v>573</v>
      </c>
      <c r="C145" s="380">
        <f t="shared" si="12"/>
        <v>4104000000</v>
      </c>
      <c r="D145" s="381">
        <f t="shared" si="9"/>
        <v>2351592000000</v>
      </c>
      <c r="E145" s="383">
        <f t="shared" si="10"/>
        <v>2.351592</v>
      </c>
    </row>
    <row r="146" spans="1:5" ht="12.75">
      <c r="A146" s="152">
        <f t="shared" si="11"/>
        <v>2025</v>
      </c>
      <c r="B146" s="236">
        <f t="shared" si="8"/>
        <v>573</v>
      </c>
      <c r="C146" s="380">
        <f t="shared" si="12"/>
        <v>4104000000</v>
      </c>
      <c r="D146" s="381">
        <f t="shared" si="9"/>
        <v>2351592000000</v>
      </c>
      <c r="E146" s="383">
        <f t="shared" si="10"/>
        <v>2.351592</v>
      </c>
    </row>
    <row r="147" spans="1:5" ht="12.75">
      <c r="A147" s="152">
        <f t="shared" si="11"/>
        <v>2026</v>
      </c>
      <c r="B147" s="236">
        <f t="shared" si="8"/>
        <v>573</v>
      </c>
      <c r="C147" s="380">
        <f t="shared" si="12"/>
        <v>4104000000</v>
      </c>
      <c r="D147" s="381">
        <f t="shared" si="9"/>
        <v>2351592000000</v>
      </c>
      <c r="E147" s="383">
        <f t="shared" si="10"/>
        <v>2.351592</v>
      </c>
    </row>
    <row r="148" spans="1:5" ht="12.75">
      <c r="A148" s="152">
        <f t="shared" si="11"/>
        <v>2027</v>
      </c>
      <c r="B148" s="236">
        <f t="shared" si="8"/>
        <v>573</v>
      </c>
      <c r="C148" s="380">
        <f t="shared" si="12"/>
        <v>4104000000</v>
      </c>
      <c r="D148" s="381">
        <f t="shared" si="9"/>
        <v>2351592000000</v>
      </c>
      <c r="E148" s="383">
        <f t="shared" si="10"/>
        <v>2.351592</v>
      </c>
    </row>
    <row r="149" spans="1:5" ht="12.75">
      <c r="A149" s="152">
        <f t="shared" si="11"/>
        <v>2028</v>
      </c>
      <c r="B149" s="236">
        <f t="shared" si="8"/>
        <v>573</v>
      </c>
      <c r="C149" s="380">
        <f t="shared" si="12"/>
        <v>4104000000</v>
      </c>
      <c r="D149" s="381">
        <f t="shared" si="9"/>
        <v>2351592000000</v>
      </c>
      <c r="E149" s="383">
        <f t="shared" si="10"/>
        <v>2.351592</v>
      </c>
    </row>
    <row r="150" spans="1:5" ht="12.75">
      <c r="A150" s="152">
        <f t="shared" si="11"/>
        <v>2029</v>
      </c>
      <c r="B150" s="236">
        <f t="shared" si="8"/>
        <v>573</v>
      </c>
      <c r="C150" s="380">
        <f t="shared" si="12"/>
        <v>4104000000</v>
      </c>
      <c r="D150" s="381">
        <f t="shared" si="9"/>
        <v>2351592000000</v>
      </c>
      <c r="E150" s="383">
        <f t="shared" si="10"/>
        <v>2.351592</v>
      </c>
    </row>
    <row r="151" spans="1:5" ht="12.75">
      <c r="A151" s="342">
        <f t="shared" si="11"/>
        <v>2030</v>
      </c>
      <c r="B151" s="235">
        <f t="shared" si="8"/>
        <v>573</v>
      </c>
      <c r="C151" s="386">
        <f t="shared" si="12"/>
        <v>4104000000</v>
      </c>
      <c r="D151" s="387">
        <f t="shared" si="9"/>
        <v>2351592000000</v>
      </c>
      <c r="E151" s="388">
        <f t="shared" si="10"/>
        <v>2.351592</v>
      </c>
    </row>
    <row r="153" spans="1:5" ht="12.75">
      <c r="A153" s="523" t="s">
        <v>578</v>
      </c>
      <c r="B153" s="523"/>
      <c r="C153" s="523"/>
      <c r="D153" s="536"/>
      <c r="E153" s="165">
        <f>E136</f>
        <v>2.351592</v>
      </c>
    </row>
    <row r="154" spans="1:5" ht="12.75">
      <c r="A154" s="523" t="s">
        <v>582</v>
      </c>
      <c r="B154" s="523"/>
      <c r="C154" s="523"/>
      <c r="D154" s="536"/>
      <c r="E154" s="168">
        <f>SUM(E129:E151)</f>
        <v>50.558368499999986</v>
      </c>
    </row>
    <row r="156" spans="1:12" ht="15.75" customHeight="1">
      <c r="A156" s="466" t="s">
        <v>565</v>
      </c>
      <c r="B156" s="461"/>
      <c r="C156" s="461"/>
      <c r="D156" s="461"/>
      <c r="E156" s="461"/>
      <c r="F156" s="461"/>
      <c r="G156" s="461"/>
      <c r="H156" s="461"/>
      <c r="I156" s="529"/>
      <c r="J156" s="440"/>
      <c r="K156" s="440"/>
      <c r="L156" s="440"/>
    </row>
    <row r="157" spans="1:12" ht="16.5" customHeight="1">
      <c r="A157" s="468" t="s">
        <v>370</v>
      </c>
      <c r="B157" s="463"/>
      <c r="C157" s="463"/>
      <c r="D157" s="463"/>
      <c r="E157" s="463"/>
      <c r="F157" s="463"/>
      <c r="G157" s="463"/>
      <c r="H157" s="463"/>
      <c r="I157" s="450"/>
      <c r="J157" s="440"/>
      <c r="K157" s="440"/>
      <c r="L157" s="440"/>
    </row>
    <row r="158" spans="1:12" ht="33" customHeight="1">
      <c r="A158" s="470" t="s">
        <v>369</v>
      </c>
      <c r="B158" s="446"/>
      <c r="C158" s="446"/>
      <c r="D158" s="446"/>
      <c r="E158" s="446"/>
      <c r="F158" s="446"/>
      <c r="G158" s="446"/>
      <c r="H158" s="446"/>
      <c r="I158" s="451"/>
      <c r="J158" s="438"/>
      <c r="K158" s="438"/>
      <c r="L158" s="438"/>
    </row>
    <row r="159" spans="1:12" ht="39" customHeight="1">
      <c r="A159" s="470" t="s">
        <v>465</v>
      </c>
      <c r="B159" s="446"/>
      <c r="C159" s="446"/>
      <c r="D159" s="446"/>
      <c r="E159" s="446"/>
      <c r="F159" s="446"/>
      <c r="G159" s="446"/>
      <c r="H159" s="446"/>
      <c r="I159" s="451"/>
      <c r="J159" s="98"/>
      <c r="K159" s="98"/>
      <c r="L159" s="98"/>
    </row>
    <row r="160" spans="1:9" ht="12.75">
      <c r="A160" s="459" t="s">
        <v>352</v>
      </c>
      <c r="B160" s="462"/>
      <c r="C160" s="462"/>
      <c r="D160" s="49"/>
      <c r="E160" s="49"/>
      <c r="F160" s="49"/>
      <c r="G160" s="49"/>
      <c r="H160" s="49"/>
      <c r="I160" s="48"/>
    </row>
    <row r="162" spans="1:3" ht="48" customHeight="1">
      <c r="A162" s="130" t="s">
        <v>455</v>
      </c>
      <c r="B162" s="239" t="s">
        <v>502</v>
      </c>
      <c r="C162" s="194"/>
    </row>
    <row r="163" spans="1:3" ht="12.75">
      <c r="A163" s="133">
        <f>A164-1</f>
        <v>2005</v>
      </c>
      <c r="B163" s="379"/>
      <c r="C163" s="63"/>
    </row>
    <row r="164" spans="1:7" ht="12.75">
      <c r="A164" s="133">
        <f>A165-1</f>
        <v>2006</v>
      </c>
      <c r="B164" s="379"/>
      <c r="C164" s="63"/>
      <c r="G164" s="231"/>
    </row>
    <row r="165" spans="1:7" ht="12.75">
      <c r="A165" s="133">
        <f>A166-1</f>
        <v>2007</v>
      </c>
      <c r="B165" s="389"/>
      <c r="C165" s="63"/>
      <c r="G165" s="231"/>
    </row>
    <row r="166" spans="1:7" ht="12" customHeight="1">
      <c r="A166" s="133">
        <v>2008</v>
      </c>
      <c r="B166" s="382"/>
      <c r="C166" s="63"/>
      <c r="G166" s="231"/>
    </row>
    <row r="167" spans="1:7" ht="12" customHeight="1">
      <c r="A167" s="133">
        <f aca="true" t="shared" si="13" ref="A167:A188">A166+1</f>
        <v>2009</v>
      </c>
      <c r="B167" s="383">
        <v>541.98</v>
      </c>
      <c r="C167" s="63"/>
      <c r="G167" s="231"/>
    </row>
    <row r="168" spans="1:7" ht="12.75">
      <c r="A168" s="133">
        <f t="shared" si="13"/>
        <v>2010</v>
      </c>
      <c r="B168" s="383">
        <f>((B178-B167)/11)+B167</f>
        <v>570.5054545454545</v>
      </c>
      <c r="C168" s="63"/>
      <c r="G168" s="231"/>
    </row>
    <row r="169" spans="1:7" ht="12.75">
      <c r="A169" s="133">
        <f t="shared" si="13"/>
        <v>2011</v>
      </c>
      <c r="B169" s="383">
        <f>((B178-B167)/11)+B168</f>
        <v>599.0309090909091</v>
      </c>
      <c r="C169" s="63"/>
      <c r="G169" s="231"/>
    </row>
    <row r="170" spans="1:7" ht="12.75">
      <c r="A170" s="133">
        <f t="shared" si="13"/>
        <v>2012</v>
      </c>
      <c r="B170" s="383">
        <f>((B178-B167)/11)+B169</f>
        <v>627.5563636363636</v>
      </c>
      <c r="C170" s="63"/>
      <c r="G170" s="231"/>
    </row>
    <row r="171" spans="1:7" ht="12.75">
      <c r="A171" s="133">
        <f t="shared" si="13"/>
        <v>2013</v>
      </c>
      <c r="B171" s="383">
        <f>((B178-B167)/11)+B170</f>
        <v>656.0818181818181</v>
      </c>
      <c r="C171" s="63"/>
      <c r="G171" s="231"/>
    </row>
    <row r="172" spans="1:7" ht="12.75" customHeight="1">
      <c r="A172" s="133">
        <f t="shared" si="13"/>
        <v>2014</v>
      </c>
      <c r="B172" s="383">
        <f>((B178-B167)/11)+B171</f>
        <v>684.6072727272726</v>
      </c>
      <c r="C172" s="63"/>
      <c r="G172" s="231"/>
    </row>
    <row r="173" spans="1:7" s="74" customFormat="1" ht="12.75" customHeight="1">
      <c r="A173" s="152">
        <f t="shared" si="13"/>
        <v>2015</v>
      </c>
      <c r="B173" s="383">
        <f>((B178-B167)/11)+B172</f>
        <v>713.1327272727272</v>
      </c>
      <c r="C173" s="71"/>
      <c r="F173"/>
      <c r="G173" s="231"/>
    </row>
    <row r="174" spans="1:7" ht="12.75" customHeight="1">
      <c r="A174" s="133">
        <f t="shared" si="13"/>
        <v>2016</v>
      </c>
      <c r="B174" s="383">
        <f>((B178-B167)/11)+B173</f>
        <v>741.6581818181817</v>
      </c>
      <c r="C174" s="63"/>
      <c r="G174" s="231"/>
    </row>
    <row r="175" spans="1:7" ht="12.75" customHeight="1">
      <c r="A175" s="133">
        <f t="shared" si="13"/>
        <v>2017</v>
      </c>
      <c r="B175" s="383">
        <f>((B178-B167)/11)+B174</f>
        <v>770.1836363636362</v>
      </c>
      <c r="C175" s="63"/>
      <c r="G175" s="231"/>
    </row>
    <row r="176" spans="1:7" ht="12.75">
      <c r="A176" s="133">
        <f t="shared" si="13"/>
        <v>2018</v>
      </c>
      <c r="B176" s="383">
        <f>((B178-B167)/11)+B175</f>
        <v>798.7090909090907</v>
      </c>
      <c r="C176" s="63"/>
      <c r="G176" s="231"/>
    </row>
    <row r="177" spans="1:7" ht="12.75">
      <c r="A177" s="133">
        <f t="shared" si="13"/>
        <v>2019</v>
      </c>
      <c r="B177" s="383">
        <f>((B178-B167)/11)+B176</f>
        <v>827.2345454545452</v>
      </c>
      <c r="C177" s="63"/>
      <c r="G177" s="231"/>
    </row>
    <row r="178" spans="1:7" s="74" customFormat="1" ht="12.75">
      <c r="A178" s="390">
        <f t="shared" si="13"/>
        <v>2020</v>
      </c>
      <c r="B178" s="383">
        <v>855.76</v>
      </c>
      <c r="C178" s="71"/>
      <c r="F178"/>
      <c r="G178" s="231"/>
    </row>
    <row r="179" spans="1:7" ht="12.75">
      <c r="A179" s="133">
        <f t="shared" si="13"/>
        <v>2021</v>
      </c>
      <c r="B179" s="383">
        <v>855.76</v>
      </c>
      <c r="C179" s="63"/>
      <c r="G179" s="231"/>
    </row>
    <row r="180" spans="1:7" ht="12.75">
      <c r="A180" s="133">
        <f t="shared" si="13"/>
        <v>2022</v>
      </c>
      <c r="B180" s="383">
        <v>855.76</v>
      </c>
      <c r="C180" s="63"/>
      <c r="G180" s="231"/>
    </row>
    <row r="181" spans="1:7" ht="12.75">
      <c r="A181" s="133">
        <f t="shared" si="13"/>
        <v>2023</v>
      </c>
      <c r="B181" s="383">
        <v>855.76</v>
      </c>
      <c r="C181" s="63"/>
      <c r="G181" s="231"/>
    </row>
    <row r="182" spans="1:7" ht="12.75">
      <c r="A182" s="133">
        <f t="shared" si="13"/>
        <v>2024</v>
      </c>
      <c r="B182" s="383">
        <v>855.76</v>
      </c>
      <c r="C182" s="63"/>
      <c r="G182" s="231"/>
    </row>
    <row r="183" spans="1:7" ht="12.75">
      <c r="A183" s="133">
        <f t="shared" si="13"/>
        <v>2025</v>
      </c>
      <c r="B183" s="383">
        <v>855.76</v>
      </c>
      <c r="C183" s="63"/>
      <c r="G183" s="231"/>
    </row>
    <row r="184" spans="1:7" ht="12.75">
      <c r="A184" s="133">
        <f t="shared" si="13"/>
        <v>2026</v>
      </c>
      <c r="B184" s="383">
        <v>855.76</v>
      </c>
      <c r="C184" s="63"/>
      <c r="G184" s="231"/>
    </row>
    <row r="185" spans="1:7" ht="12.75">
      <c r="A185" s="133">
        <f t="shared" si="13"/>
        <v>2027</v>
      </c>
      <c r="B185" s="383">
        <v>855.76</v>
      </c>
      <c r="C185" s="63"/>
      <c r="G185" s="231"/>
    </row>
    <row r="186" spans="1:7" ht="12.75">
      <c r="A186" s="133">
        <f t="shared" si="13"/>
        <v>2028</v>
      </c>
      <c r="B186" s="383">
        <v>855.76</v>
      </c>
      <c r="C186" s="63"/>
      <c r="G186" s="231"/>
    </row>
    <row r="187" spans="1:7" ht="12.75">
      <c r="A187" s="133">
        <f t="shared" si="13"/>
        <v>2029</v>
      </c>
      <c r="B187" s="383">
        <v>855.76</v>
      </c>
      <c r="C187" s="63"/>
      <c r="G187" s="231"/>
    </row>
    <row r="188" spans="1:7" ht="12.75">
      <c r="A188" s="159">
        <f t="shared" si="13"/>
        <v>2030</v>
      </c>
      <c r="B188" s="388">
        <v>855.76</v>
      </c>
      <c r="C188" s="63"/>
      <c r="G188" s="231"/>
    </row>
    <row r="189" ht="12.75">
      <c r="K189" s="231"/>
    </row>
    <row r="190" spans="1:11" ht="12.75">
      <c r="A190" s="458" t="s">
        <v>578</v>
      </c>
      <c r="B190" s="516"/>
      <c r="C190" s="516"/>
      <c r="D190" s="516"/>
      <c r="E190" s="517"/>
      <c r="F190" s="251"/>
      <c r="G190" s="251"/>
      <c r="H190" s="185">
        <f>B178</f>
        <v>855.76</v>
      </c>
      <c r="I190" s="234"/>
      <c r="K190" s="231"/>
    </row>
    <row r="191" spans="1:12" ht="12.75">
      <c r="A191" s="458" t="s">
        <v>582</v>
      </c>
      <c r="B191" s="516"/>
      <c r="C191" s="516"/>
      <c r="D191" s="516"/>
      <c r="E191" s="517"/>
      <c r="F191" s="251"/>
      <c r="G191" s="251"/>
      <c r="H191" s="181">
        <f>SUM(B167:B188)</f>
        <v>16944.04</v>
      </c>
      <c r="I191" s="234"/>
      <c r="K191" s="231"/>
      <c r="L191" s="71"/>
    </row>
    <row r="195" spans="1:9" ht="12" customHeight="1">
      <c r="A195" s="466" t="s">
        <v>634</v>
      </c>
      <c r="B195" s="461"/>
      <c r="C195" s="461"/>
      <c r="D195" s="461"/>
      <c r="E195" s="461"/>
      <c r="F195" s="461"/>
      <c r="G195" s="55"/>
      <c r="H195" s="55"/>
      <c r="I195" s="54"/>
    </row>
    <row r="196" spans="1:9" ht="12" customHeight="1">
      <c r="A196" s="468" t="s">
        <v>633</v>
      </c>
      <c r="B196" s="463"/>
      <c r="C196" s="463"/>
      <c r="D196" s="463"/>
      <c r="E196" s="463"/>
      <c r="F196" s="463"/>
      <c r="G196" s="52"/>
      <c r="H196" s="52"/>
      <c r="I196" s="51"/>
    </row>
    <row r="197" spans="1:9" ht="12" customHeight="1">
      <c r="A197" s="470" t="s">
        <v>693</v>
      </c>
      <c r="B197" s="446"/>
      <c r="C197" s="446"/>
      <c r="D197" s="446"/>
      <c r="E197" s="446"/>
      <c r="F197" s="446"/>
      <c r="G197" s="52"/>
      <c r="H197" s="52"/>
      <c r="I197" s="51"/>
    </row>
    <row r="198" spans="1:9" ht="12.75">
      <c r="A198" s="459" t="s">
        <v>635</v>
      </c>
      <c r="B198" s="462"/>
      <c r="C198" s="462"/>
      <c r="D198" s="462"/>
      <c r="E198" s="49"/>
      <c r="F198" s="49"/>
      <c r="G198" s="49"/>
      <c r="H198" s="49"/>
      <c r="I198" s="48"/>
    </row>
    <row r="199" ht="13.5" thickBot="1">
      <c r="A199" s="15"/>
    </row>
    <row r="200" spans="1:7" ht="48" customHeight="1" thickBot="1">
      <c r="A200" s="15"/>
      <c r="B200" s="333" t="s">
        <v>575</v>
      </c>
      <c r="C200" s="334" t="s">
        <v>502</v>
      </c>
      <c r="G200" s="194"/>
    </row>
    <row r="201" spans="1:7" ht="13.5" thickTop="1">
      <c r="A201" s="15"/>
      <c r="B201" s="189">
        <f>B202-1</f>
        <v>2005</v>
      </c>
      <c r="C201" s="193"/>
      <c r="G201" s="63"/>
    </row>
    <row r="202" spans="1:7" ht="12.75">
      <c r="A202" s="15"/>
      <c r="B202" s="189">
        <f>B203-1</f>
        <v>2006</v>
      </c>
      <c r="C202" s="193"/>
      <c r="G202" s="63"/>
    </row>
    <row r="203" spans="1:7" ht="12.75">
      <c r="A203" s="15"/>
      <c r="B203" s="189">
        <f>B204-1</f>
        <v>2007</v>
      </c>
      <c r="C203" s="192"/>
      <c r="G203" s="63"/>
    </row>
    <row r="204" spans="1:7" ht="12.75">
      <c r="A204" s="15"/>
      <c r="B204" s="189">
        <v>2008</v>
      </c>
      <c r="C204" s="191">
        <v>0</v>
      </c>
      <c r="G204" s="63"/>
    </row>
    <row r="205" spans="1:7" ht="12.75">
      <c r="A205" s="15"/>
      <c r="B205" s="189">
        <f aca="true" t="shared" si="14" ref="B205:B226">B204+1</f>
        <v>2009</v>
      </c>
      <c r="C205" s="403">
        <f>($C$208-$C$204)/($B$208-$B$204)*(B205-$B$204)</f>
        <v>0.00625</v>
      </c>
      <c r="G205" s="63"/>
    </row>
    <row r="206" spans="1:7" ht="12.75">
      <c r="A206" s="15"/>
      <c r="B206" s="189">
        <f t="shared" si="14"/>
        <v>2010</v>
      </c>
      <c r="C206" s="403">
        <f>($C$208-$C$204)/($B$208-$B$204)*(B206-$B$204)</f>
        <v>0.0125</v>
      </c>
      <c r="G206" s="63"/>
    </row>
    <row r="207" spans="1:7" ht="12.75">
      <c r="A207" s="15"/>
      <c r="B207" s="189">
        <f t="shared" si="14"/>
        <v>2011</v>
      </c>
      <c r="C207" s="403">
        <f>($C$208-$C$204)/($B$208-$B$204)*(B207-$B$204)</f>
        <v>0.018750000000000003</v>
      </c>
      <c r="G207" s="63"/>
    </row>
    <row r="208" spans="1:7" ht="12.75">
      <c r="A208" s="15"/>
      <c r="B208" s="189">
        <f t="shared" si="14"/>
        <v>2012</v>
      </c>
      <c r="C208" s="404">
        <f>25/(10^3)</f>
        <v>0.025</v>
      </c>
      <c r="G208" s="63"/>
    </row>
    <row r="209" spans="1:7" ht="12.75">
      <c r="A209" s="15"/>
      <c r="B209" s="189">
        <f t="shared" si="14"/>
        <v>2013</v>
      </c>
      <c r="C209" s="403">
        <f>C208</f>
        <v>0.025</v>
      </c>
      <c r="G209" s="63"/>
    </row>
    <row r="210" spans="1:7" ht="12.75" customHeight="1">
      <c r="A210" s="15"/>
      <c r="B210" s="189">
        <f t="shared" si="14"/>
        <v>2014</v>
      </c>
      <c r="C210" s="403">
        <f aca="true" t="shared" si="15" ref="C210:C226">C209</f>
        <v>0.025</v>
      </c>
      <c r="G210" s="63"/>
    </row>
    <row r="211" spans="1:7" s="74" customFormat="1" ht="12.75" customHeight="1">
      <c r="A211" s="81"/>
      <c r="B211" s="190">
        <f t="shared" si="14"/>
        <v>2015</v>
      </c>
      <c r="C211" s="403">
        <f t="shared" si="15"/>
        <v>0.025</v>
      </c>
      <c r="D211"/>
      <c r="E211"/>
      <c r="G211" s="71"/>
    </row>
    <row r="212" spans="1:7" ht="12.75" customHeight="1">
      <c r="A212" s="15"/>
      <c r="B212" s="189">
        <f t="shared" si="14"/>
        <v>2016</v>
      </c>
      <c r="C212" s="403">
        <f t="shared" si="15"/>
        <v>0.025</v>
      </c>
      <c r="G212" s="63"/>
    </row>
    <row r="213" spans="1:7" ht="12.75" customHeight="1">
      <c r="A213" s="15"/>
      <c r="B213" s="189">
        <f t="shared" si="14"/>
        <v>2017</v>
      </c>
      <c r="C213" s="403">
        <f t="shared" si="15"/>
        <v>0.025</v>
      </c>
      <c r="G213" s="63"/>
    </row>
    <row r="214" spans="1:7" ht="12.75">
      <c r="A214" s="15"/>
      <c r="B214" s="189">
        <f t="shared" si="14"/>
        <v>2018</v>
      </c>
      <c r="C214" s="403">
        <f t="shared" si="15"/>
        <v>0.025</v>
      </c>
      <c r="G214" s="63"/>
    </row>
    <row r="215" spans="1:7" ht="12.75">
      <c r="A215" s="15"/>
      <c r="B215" s="189">
        <f t="shared" si="14"/>
        <v>2019</v>
      </c>
      <c r="C215" s="403">
        <f t="shared" si="15"/>
        <v>0.025</v>
      </c>
      <c r="G215" s="63"/>
    </row>
    <row r="216" spans="1:7" s="74" customFormat="1" ht="12.75">
      <c r="A216" s="81"/>
      <c r="B216" s="190">
        <f t="shared" si="14"/>
        <v>2020</v>
      </c>
      <c r="C216" s="403">
        <f t="shared" si="15"/>
        <v>0.025</v>
      </c>
      <c r="D216"/>
      <c r="E216"/>
      <c r="G216" s="71"/>
    </row>
    <row r="217" spans="1:7" ht="12.75">
      <c r="A217" s="15"/>
      <c r="B217" s="189">
        <f t="shared" si="14"/>
        <v>2021</v>
      </c>
      <c r="C217" s="403">
        <f t="shared" si="15"/>
        <v>0.025</v>
      </c>
      <c r="G217" s="63"/>
    </row>
    <row r="218" spans="1:7" ht="12.75">
      <c r="A218" s="15"/>
      <c r="B218" s="189">
        <f t="shared" si="14"/>
        <v>2022</v>
      </c>
      <c r="C218" s="403">
        <f t="shared" si="15"/>
        <v>0.025</v>
      </c>
      <c r="G218" s="63"/>
    </row>
    <row r="219" spans="1:7" ht="12.75">
      <c r="A219" s="15"/>
      <c r="B219" s="189">
        <f t="shared" si="14"/>
        <v>2023</v>
      </c>
      <c r="C219" s="403">
        <f t="shared" si="15"/>
        <v>0.025</v>
      </c>
      <c r="G219" s="63"/>
    </row>
    <row r="220" spans="1:7" ht="12.75">
      <c r="A220" s="15"/>
      <c r="B220" s="189">
        <f t="shared" si="14"/>
        <v>2024</v>
      </c>
      <c r="C220" s="403">
        <f t="shared" si="15"/>
        <v>0.025</v>
      </c>
      <c r="G220" s="63"/>
    </row>
    <row r="221" spans="1:7" ht="12.75">
      <c r="A221" s="15"/>
      <c r="B221" s="189">
        <f t="shared" si="14"/>
        <v>2025</v>
      </c>
      <c r="C221" s="199">
        <f t="shared" si="15"/>
        <v>0.025</v>
      </c>
      <c r="G221" s="63"/>
    </row>
    <row r="222" spans="1:7" ht="12.75">
      <c r="A222" s="15"/>
      <c r="B222" s="189">
        <f t="shared" si="14"/>
        <v>2026</v>
      </c>
      <c r="C222" s="199">
        <f t="shared" si="15"/>
        <v>0.025</v>
      </c>
      <c r="G222" s="63"/>
    </row>
    <row r="223" spans="1:7" ht="12.75">
      <c r="A223" s="15"/>
      <c r="B223" s="189">
        <f t="shared" si="14"/>
        <v>2027</v>
      </c>
      <c r="C223" s="199">
        <f t="shared" si="15"/>
        <v>0.025</v>
      </c>
      <c r="G223" s="63"/>
    </row>
    <row r="224" spans="1:7" ht="12.75">
      <c r="A224" s="15"/>
      <c r="B224" s="189">
        <f t="shared" si="14"/>
        <v>2028</v>
      </c>
      <c r="C224" s="199">
        <f t="shared" si="15"/>
        <v>0.025</v>
      </c>
      <c r="G224" s="63"/>
    </row>
    <row r="225" spans="1:7" ht="12.75">
      <c r="A225" s="15"/>
      <c r="B225" s="189">
        <f t="shared" si="14"/>
        <v>2029</v>
      </c>
      <c r="C225" s="199">
        <f t="shared" si="15"/>
        <v>0.025</v>
      </c>
      <c r="G225" s="63"/>
    </row>
    <row r="226" spans="1:7" ht="13.5" thickBot="1">
      <c r="A226" s="15"/>
      <c r="B226" s="187">
        <f t="shared" si="14"/>
        <v>2030</v>
      </c>
      <c r="C226" s="198">
        <f t="shared" si="15"/>
        <v>0.025</v>
      </c>
      <c r="G226" s="63"/>
    </row>
    <row r="227" spans="1:11" ht="12.75">
      <c r="A227" s="15"/>
      <c r="K227" s="63"/>
    </row>
    <row r="228" spans="1:6" ht="12.75">
      <c r="A228" s="458" t="s">
        <v>578</v>
      </c>
      <c r="B228" s="516"/>
      <c r="C228" s="516"/>
      <c r="D228" s="516"/>
      <c r="E228" s="517"/>
      <c r="F228" s="185">
        <f>C208</f>
        <v>0.025</v>
      </c>
    </row>
    <row r="229" spans="1:12" ht="12.75">
      <c r="A229" s="458" t="s">
        <v>582</v>
      </c>
      <c r="B229" s="516"/>
      <c r="C229" s="516"/>
      <c r="D229" s="516"/>
      <c r="E229" s="517"/>
      <c r="F229" s="181">
        <f>SUM(C205:C226)</f>
        <v>0.5125000000000002</v>
      </c>
      <c r="J229" s="71"/>
      <c r="K229" s="71"/>
      <c r="L229" s="71"/>
    </row>
    <row r="232" spans="1:9" ht="12" customHeight="1">
      <c r="A232" s="466" t="s">
        <v>327</v>
      </c>
      <c r="B232" s="461"/>
      <c r="C232" s="461"/>
      <c r="D232" s="461"/>
      <c r="E232" s="461"/>
      <c r="F232" s="461"/>
      <c r="G232" s="55"/>
      <c r="H232" s="55"/>
      <c r="I232" s="54"/>
    </row>
    <row r="233" spans="1:9" ht="12" customHeight="1">
      <c r="A233" s="468" t="s">
        <v>328</v>
      </c>
      <c r="B233" s="463"/>
      <c r="C233" s="463"/>
      <c r="D233" s="463"/>
      <c r="E233" s="463"/>
      <c r="F233" s="463"/>
      <c r="G233" s="52"/>
      <c r="H233" s="52"/>
      <c r="I233" s="51"/>
    </row>
    <row r="234" spans="1:9" ht="12" customHeight="1">
      <c r="A234" s="470" t="s">
        <v>329</v>
      </c>
      <c r="B234" s="446"/>
      <c r="C234" s="446"/>
      <c r="D234" s="446"/>
      <c r="E234" s="446"/>
      <c r="F234" s="446"/>
      <c r="G234" s="52"/>
      <c r="H234" s="52"/>
      <c r="I234" s="51"/>
    </row>
    <row r="235" spans="1:9" ht="12.75">
      <c r="A235" s="459" t="s">
        <v>635</v>
      </c>
      <c r="B235" s="462"/>
      <c r="C235" s="462"/>
      <c r="D235" s="462"/>
      <c r="E235" s="49"/>
      <c r="F235" s="49"/>
      <c r="G235" s="49"/>
      <c r="H235" s="49"/>
      <c r="I235" s="48"/>
    </row>
    <row r="236" ht="13.5" thickBot="1">
      <c r="A236" s="15"/>
    </row>
    <row r="237" spans="1:7" ht="48" customHeight="1" thickBot="1">
      <c r="A237" s="15"/>
      <c r="B237" s="333" t="s">
        <v>575</v>
      </c>
      <c r="C237" s="334" t="s">
        <v>502</v>
      </c>
      <c r="G237" s="194"/>
    </row>
    <row r="238" spans="1:7" ht="13.5" thickTop="1">
      <c r="A238" s="15"/>
      <c r="B238" s="189">
        <f>B239-1</f>
        <v>2005</v>
      </c>
      <c r="C238" s="193"/>
      <c r="G238" s="63"/>
    </row>
    <row r="239" spans="1:7" ht="12.75">
      <c r="A239" s="15"/>
      <c r="B239" s="189">
        <f>B240-1</f>
        <v>2006</v>
      </c>
      <c r="C239" s="193"/>
      <c r="G239" s="63"/>
    </row>
    <row r="240" spans="1:7" ht="12.75">
      <c r="A240" s="15"/>
      <c r="B240" s="189">
        <f>B241-1</f>
        <v>2007</v>
      </c>
      <c r="C240" s="192"/>
      <c r="G240" s="63"/>
    </row>
    <row r="241" spans="1:7" ht="12.75">
      <c r="A241" s="15"/>
      <c r="B241" s="189">
        <v>2008</v>
      </c>
      <c r="C241" s="191">
        <v>0</v>
      </c>
      <c r="G241" s="63"/>
    </row>
    <row r="242" spans="1:7" ht="12.75">
      <c r="A242" s="15"/>
      <c r="B242" s="189">
        <f aca="true" t="shared" si="16" ref="B242:B263">B241+1</f>
        <v>2009</v>
      </c>
      <c r="C242" s="404">
        <f>300000/(10^6)</f>
        <v>0.3</v>
      </c>
      <c r="G242" s="63"/>
    </row>
    <row r="243" spans="1:7" ht="12.75">
      <c r="A243" s="15"/>
      <c r="B243" s="189">
        <f t="shared" si="16"/>
        <v>2010</v>
      </c>
      <c r="C243" s="403">
        <f>C242</f>
        <v>0.3</v>
      </c>
      <c r="G243" s="63"/>
    </row>
    <row r="244" spans="1:7" ht="12.75">
      <c r="A244" s="15"/>
      <c r="B244" s="189">
        <f t="shared" si="16"/>
        <v>2011</v>
      </c>
      <c r="C244" s="403">
        <f aca="true" t="shared" si="17" ref="C244:C262">C243</f>
        <v>0.3</v>
      </c>
      <c r="G244" s="63"/>
    </row>
    <row r="245" spans="1:7" ht="12.75">
      <c r="A245" s="15"/>
      <c r="B245" s="189">
        <f t="shared" si="16"/>
        <v>2012</v>
      </c>
      <c r="C245" s="403">
        <f t="shared" si="17"/>
        <v>0.3</v>
      </c>
      <c r="G245" s="63"/>
    </row>
    <row r="246" spans="1:7" ht="12.75">
      <c r="A246" s="15"/>
      <c r="B246" s="189">
        <f t="shared" si="16"/>
        <v>2013</v>
      </c>
      <c r="C246" s="403">
        <f t="shared" si="17"/>
        <v>0.3</v>
      </c>
      <c r="G246" s="63"/>
    </row>
    <row r="247" spans="1:7" ht="12.75" customHeight="1">
      <c r="A247" s="15"/>
      <c r="B247" s="189">
        <f t="shared" si="16"/>
        <v>2014</v>
      </c>
      <c r="C247" s="403">
        <f t="shared" si="17"/>
        <v>0.3</v>
      </c>
      <c r="G247" s="63"/>
    </row>
    <row r="248" spans="1:7" s="74" customFormat="1" ht="12.75" customHeight="1">
      <c r="A248" s="81"/>
      <c r="B248" s="190">
        <f t="shared" si="16"/>
        <v>2015</v>
      </c>
      <c r="C248" s="403">
        <f t="shared" si="17"/>
        <v>0.3</v>
      </c>
      <c r="D248"/>
      <c r="E248"/>
      <c r="G248" s="71"/>
    </row>
    <row r="249" spans="1:7" ht="12.75" customHeight="1">
      <c r="A249" s="15"/>
      <c r="B249" s="189">
        <f t="shared" si="16"/>
        <v>2016</v>
      </c>
      <c r="C249" s="403">
        <f t="shared" si="17"/>
        <v>0.3</v>
      </c>
      <c r="G249" s="63"/>
    </row>
    <row r="250" spans="1:7" ht="12.75" customHeight="1">
      <c r="A250" s="15"/>
      <c r="B250" s="189">
        <f t="shared" si="16"/>
        <v>2017</v>
      </c>
      <c r="C250" s="403">
        <f t="shared" si="17"/>
        <v>0.3</v>
      </c>
      <c r="G250" s="63"/>
    </row>
    <row r="251" spans="1:7" ht="12.75">
      <c r="A251" s="15"/>
      <c r="B251" s="189">
        <f t="shared" si="16"/>
        <v>2018</v>
      </c>
      <c r="C251" s="403">
        <f t="shared" si="17"/>
        <v>0.3</v>
      </c>
      <c r="G251" s="63"/>
    </row>
    <row r="252" spans="1:7" ht="12.75">
      <c r="A252" s="15"/>
      <c r="B252" s="189">
        <f t="shared" si="16"/>
        <v>2019</v>
      </c>
      <c r="C252" s="403">
        <f t="shared" si="17"/>
        <v>0.3</v>
      </c>
      <c r="G252" s="63"/>
    </row>
    <row r="253" spans="1:7" s="74" customFormat="1" ht="12.75">
      <c r="A253" s="81"/>
      <c r="B253" s="190">
        <f t="shared" si="16"/>
        <v>2020</v>
      </c>
      <c r="C253" s="403">
        <f t="shared" si="17"/>
        <v>0.3</v>
      </c>
      <c r="D253"/>
      <c r="E253"/>
      <c r="G253" s="71"/>
    </row>
    <row r="254" spans="1:7" ht="12.75">
      <c r="A254" s="15"/>
      <c r="B254" s="189">
        <f t="shared" si="16"/>
        <v>2021</v>
      </c>
      <c r="C254" s="403">
        <f t="shared" si="17"/>
        <v>0.3</v>
      </c>
      <c r="G254" s="63"/>
    </row>
    <row r="255" spans="1:7" ht="12.75">
      <c r="A255" s="15"/>
      <c r="B255" s="189">
        <f t="shared" si="16"/>
        <v>2022</v>
      </c>
      <c r="C255" s="403">
        <f t="shared" si="17"/>
        <v>0.3</v>
      </c>
      <c r="G255" s="63"/>
    </row>
    <row r="256" spans="1:7" ht="12.75">
      <c r="A256" s="15"/>
      <c r="B256" s="189">
        <f t="shared" si="16"/>
        <v>2023</v>
      </c>
      <c r="C256" s="403">
        <f t="shared" si="17"/>
        <v>0.3</v>
      </c>
      <c r="G256" s="63"/>
    </row>
    <row r="257" spans="1:7" ht="12.75">
      <c r="A257" s="15"/>
      <c r="B257" s="189">
        <f t="shared" si="16"/>
        <v>2024</v>
      </c>
      <c r="C257" s="403">
        <f t="shared" si="17"/>
        <v>0.3</v>
      </c>
      <c r="G257" s="63"/>
    </row>
    <row r="258" spans="1:7" ht="12.75">
      <c r="A258" s="15"/>
      <c r="B258" s="189">
        <f t="shared" si="16"/>
        <v>2025</v>
      </c>
      <c r="C258" s="403">
        <f t="shared" si="17"/>
        <v>0.3</v>
      </c>
      <c r="G258" s="63"/>
    </row>
    <row r="259" spans="1:7" ht="12.75">
      <c r="A259" s="15"/>
      <c r="B259" s="189">
        <f t="shared" si="16"/>
        <v>2026</v>
      </c>
      <c r="C259" s="403">
        <f t="shared" si="17"/>
        <v>0.3</v>
      </c>
      <c r="G259" s="63"/>
    </row>
    <row r="260" spans="1:7" ht="12.75">
      <c r="A260" s="15"/>
      <c r="B260" s="189">
        <f t="shared" si="16"/>
        <v>2027</v>
      </c>
      <c r="C260" s="403">
        <f t="shared" si="17"/>
        <v>0.3</v>
      </c>
      <c r="G260" s="63"/>
    </row>
    <row r="261" spans="1:7" ht="12.75">
      <c r="A261" s="15"/>
      <c r="B261" s="189">
        <f t="shared" si="16"/>
        <v>2028</v>
      </c>
      <c r="C261" s="403">
        <f t="shared" si="17"/>
        <v>0.3</v>
      </c>
      <c r="G261" s="63"/>
    </row>
    <row r="262" spans="1:7" ht="12.75">
      <c r="A262" s="15"/>
      <c r="B262" s="189">
        <f t="shared" si="16"/>
        <v>2029</v>
      </c>
      <c r="C262" s="403">
        <f t="shared" si="17"/>
        <v>0.3</v>
      </c>
      <c r="G262" s="63"/>
    </row>
    <row r="263" spans="1:7" ht="13.5" thickBot="1">
      <c r="A263" s="15"/>
      <c r="B263" s="187">
        <f t="shared" si="16"/>
        <v>2030</v>
      </c>
      <c r="C263" s="198">
        <f>C262</f>
        <v>0.3</v>
      </c>
      <c r="G263" s="63"/>
    </row>
    <row r="264" spans="1:11" ht="12.75">
      <c r="A264" s="15"/>
      <c r="K264" s="63"/>
    </row>
    <row r="265" spans="1:6" ht="12.75">
      <c r="A265" s="458" t="s">
        <v>578</v>
      </c>
      <c r="B265" s="516"/>
      <c r="C265" s="516"/>
      <c r="D265" s="516"/>
      <c r="E265" s="517"/>
      <c r="F265" s="185">
        <f>C242</f>
        <v>0.3</v>
      </c>
    </row>
    <row r="266" spans="1:12" ht="12.75">
      <c r="A266" s="458" t="s">
        <v>582</v>
      </c>
      <c r="B266" s="516"/>
      <c r="C266" s="516"/>
      <c r="D266" s="516"/>
      <c r="E266" s="517"/>
      <c r="F266" s="181">
        <f>SUM(C242:C263)</f>
        <v>6.599999999999998</v>
      </c>
      <c r="J266" s="71"/>
      <c r="K266" s="71"/>
      <c r="L266" s="71"/>
    </row>
  </sheetData>
  <mergeCells count="45">
    <mergeCell ref="A159:I159"/>
    <mergeCell ref="A158:I158"/>
    <mergeCell ref="J158:L158"/>
    <mergeCell ref="A156:I156"/>
    <mergeCell ref="A6:F6"/>
    <mergeCell ref="J156:L156"/>
    <mergeCell ref="A157:I157"/>
    <mergeCell ref="J157:L157"/>
    <mergeCell ref="A84:I84"/>
    <mergeCell ref="A38:E38"/>
    <mergeCell ref="A42:F42"/>
    <mergeCell ref="A43:F43"/>
    <mergeCell ref="A1:I1"/>
    <mergeCell ref="A153:D153"/>
    <mergeCell ref="A154:D154"/>
    <mergeCell ref="A122:F122"/>
    <mergeCell ref="A120:F120"/>
    <mergeCell ref="A121:F121"/>
    <mergeCell ref="A7:D7"/>
    <mergeCell ref="A4:F4"/>
    <mergeCell ref="A5:F5"/>
    <mergeCell ref="A37:E37"/>
    <mergeCell ref="A195:F195"/>
    <mergeCell ref="A196:F196"/>
    <mergeCell ref="A160:C160"/>
    <mergeCell ref="A190:E190"/>
    <mergeCell ref="A191:E191"/>
    <mergeCell ref="A197:F197"/>
    <mergeCell ref="A198:D198"/>
    <mergeCell ref="A115:E115"/>
    <mergeCell ref="A44:F44"/>
    <mergeCell ref="A123:C123"/>
    <mergeCell ref="A119:F119"/>
    <mergeCell ref="A45:F45"/>
    <mergeCell ref="A83:I83"/>
    <mergeCell ref="A85:I85"/>
    <mergeCell ref="A116:E116"/>
    <mergeCell ref="A228:E228"/>
    <mergeCell ref="A229:E229"/>
    <mergeCell ref="A232:F232"/>
    <mergeCell ref="A233:F233"/>
    <mergeCell ref="A234:F234"/>
    <mergeCell ref="A235:D235"/>
    <mergeCell ref="A265:E265"/>
    <mergeCell ref="A266:E266"/>
  </mergeCells>
  <hyperlinks>
    <hyperlink ref="A7" r:id="rId1" display="http://www.ren21.net/wiap/detail.asp?id=97"/>
    <hyperlink ref="A45" r:id="rId2" display="http://www.ren21.net/wiap/detail.asp?id=75"/>
    <hyperlink ref="A123" r:id="rId3" display="http://www.ren21.net/wiap/detail.asp?id=220"/>
    <hyperlink ref="A160" r:id="rId4" display="http://www.ren21.net/wiap/detail.asp?id=87"/>
    <hyperlink ref="A198" r:id="rId5" display="http://www.ren21.net/wiap/detail.asp?id=247"/>
    <hyperlink ref="A235" r:id="rId6" display="http://www.ren21.net/wiap/detail.asp?id=247"/>
    <hyperlink ref="A86" r:id="rId7" display="http://www.ren21.net/wiap/detail.asp?id=42"/>
  </hyperlink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S112"/>
  <sheetViews>
    <sheetView zoomScale="90" zoomScaleNormal="90" workbookViewId="0" topLeftCell="A5">
      <selection activeCell="A5" sqref="A5:F5"/>
    </sheetView>
  </sheetViews>
  <sheetFormatPr defaultColWidth="11.421875" defaultRowHeight="12.75"/>
  <cols>
    <col min="1" max="1" width="38.00390625" style="0" bestFit="1" customWidth="1"/>
    <col min="2" max="5" width="11.421875" style="0" customWidth="1"/>
    <col min="6" max="6" width="16.140625" style="0" bestFit="1" customWidth="1"/>
    <col min="7" max="7" width="11.421875" style="0" customWidth="1"/>
    <col min="8" max="8" width="22.8515625" style="0" customWidth="1"/>
  </cols>
  <sheetData>
    <row r="1" spans="1:9" ht="21.75" customHeight="1">
      <c r="A1" s="475" t="s">
        <v>1042</v>
      </c>
      <c r="B1" s="476"/>
      <c r="C1" s="476"/>
      <c r="D1" s="476"/>
      <c r="E1" s="476"/>
      <c r="F1" s="476"/>
      <c r="G1" s="476"/>
      <c r="H1" s="476"/>
      <c r="I1" s="476"/>
    </row>
    <row r="2" spans="1:12" ht="12.75">
      <c r="A2" s="67"/>
      <c r="J2" s="63"/>
      <c r="K2" s="63"/>
      <c r="L2" s="63"/>
    </row>
    <row r="3" spans="1:12" ht="12.75">
      <c r="A3" s="67"/>
      <c r="J3" s="63"/>
      <c r="K3" s="63"/>
      <c r="L3" s="63"/>
    </row>
    <row r="5" spans="1:9" ht="12.75">
      <c r="A5" s="466" t="s">
        <v>5</v>
      </c>
      <c r="B5" s="461"/>
      <c r="C5" s="461"/>
      <c r="D5" s="461"/>
      <c r="E5" s="461"/>
      <c r="F5" s="461"/>
      <c r="G5" s="55"/>
      <c r="H5" s="55"/>
      <c r="I5" s="54"/>
    </row>
    <row r="6" spans="1:9" ht="12.75">
      <c r="A6" s="468" t="s">
        <v>705</v>
      </c>
      <c r="B6" s="463"/>
      <c r="C6" s="463"/>
      <c r="D6" s="463"/>
      <c r="E6" s="463"/>
      <c r="F6" s="463"/>
      <c r="G6" s="52"/>
      <c r="H6" s="52"/>
      <c r="I6" s="51"/>
    </row>
    <row r="7" spans="1:9" ht="12.75">
      <c r="A7" s="470" t="s">
        <v>654</v>
      </c>
      <c r="B7" s="446"/>
      <c r="C7" s="446"/>
      <c r="D7" s="446"/>
      <c r="E7" s="446"/>
      <c r="F7" s="446"/>
      <c r="G7" s="52"/>
      <c r="H7" s="52"/>
      <c r="I7" s="51"/>
    </row>
    <row r="8" spans="1:9" ht="12.75">
      <c r="A8" s="470" t="s">
        <v>299</v>
      </c>
      <c r="B8" s="446"/>
      <c r="C8" s="446"/>
      <c r="D8" s="446"/>
      <c r="E8" s="446"/>
      <c r="F8" s="446"/>
      <c r="G8" s="52"/>
      <c r="H8" s="52"/>
      <c r="I8" s="51"/>
    </row>
    <row r="9" spans="1:9" ht="12.75">
      <c r="A9" s="459" t="s">
        <v>652</v>
      </c>
      <c r="B9" s="462"/>
      <c r="C9" s="462"/>
      <c r="D9" s="49"/>
      <c r="E9" s="49"/>
      <c r="F9" s="49"/>
      <c r="G9" s="49"/>
      <c r="H9" s="49"/>
      <c r="I9" s="48"/>
    </row>
    <row r="11" spans="1:4" ht="12.75">
      <c r="A11" s="74" t="s">
        <v>16</v>
      </c>
      <c r="D11" s="64" t="s">
        <v>300</v>
      </c>
    </row>
    <row r="13" ht="13.5" thickBot="1"/>
    <row r="14" spans="1:11" ht="127.5">
      <c r="A14" t="s">
        <v>743</v>
      </c>
      <c r="B14" t="s">
        <v>301</v>
      </c>
      <c r="D14" s="46" t="s">
        <v>932</v>
      </c>
      <c r="E14" s="45" t="s">
        <v>176</v>
      </c>
      <c r="F14" s="45" t="s">
        <v>175</v>
      </c>
      <c r="G14" s="45" t="s">
        <v>115</v>
      </c>
      <c r="H14" s="45" t="s">
        <v>610</v>
      </c>
      <c r="I14" s="45" t="s">
        <v>485</v>
      </c>
      <c r="J14" s="45" t="s">
        <v>302</v>
      </c>
      <c r="K14" s="44" t="s">
        <v>303</v>
      </c>
    </row>
    <row r="15" spans="1:11" ht="67.5" customHeight="1" thickBot="1">
      <c r="A15" t="s">
        <v>304</v>
      </c>
      <c r="B15" s="58">
        <v>9070000</v>
      </c>
      <c r="D15" s="43"/>
      <c r="E15" s="206" t="s">
        <v>305</v>
      </c>
      <c r="F15" s="205" t="s">
        <v>207</v>
      </c>
      <c r="G15" s="41" t="s">
        <v>206</v>
      </c>
      <c r="H15" s="42" t="s">
        <v>862</v>
      </c>
      <c r="I15" s="41" t="s">
        <v>861</v>
      </c>
      <c r="J15" s="41" t="s">
        <v>860</v>
      </c>
      <c r="K15" s="40" t="s">
        <v>306</v>
      </c>
    </row>
    <row r="16" spans="1:11" ht="13.5" thickTop="1">
      <c r="A16" t="s">
        <v>307</v>
      </c>
      <c r="B16" s="31">
        <v>0.021</v>
      </c>
      <c r="C16" s="30"/>
      <c r="D16" s="25">
        <v>2005</v>
      </c>
      <c r="E16" s="23">
        <f>B15*EXP(B16*(D16-D16))</f>
        <v>9070000</v>
      </c>
      <c r="F16" s="23">
        <f>B15*EXP(B16*(D16-D16))</f>
        <v>9070000</v>
      </c>
      <c r="G16" s="23">
        <f aca="true" t="shared" si="0" ref="G16:G22">E16-F16</f>
        <v>0</v>
      </c>
      <c r="H16" s="432">
        <v>0.0019</v>
      </c>
      <c r="I16" s="23">
        <f>IF(ISERR(H16*G16),IF(F16&gt;D20,I15,""),H16*G16)</f>
        <v>0</v>
      </c>
      <c r="J16" s="39"/>
      <c r="K16" s="38"/>
    </row>
    <row r="17" spans="1:11" ht="12.75">
      <c r="A17" s="204" t="s">
        <v>308</v>
      </c>
      <c r="B17" s="31">
        <f>(0-20)/(2011-2008)/100</f>
        <v>-0.06666666666666667</v>
      </c>
      <c r="D17" s="25">
        <v>2006</v>
      </c>
      <c r="E17" s="23">
        <f>B15*EXP(B16*(D17-D16))</f>
        <v>9262484.008352384</v>
      </c>
      <c r="F17" s="23">
        <f>B15*EXP(B16*(D17-D16))</f>
        <v>9262484.008352384</v>
      </c>
      <c r="G17" s="23">
        <f t="shared" si="0"/>
        <v>0</v>
      </c>
      <c r="H17" s="432">
        <v>0.01825</v>
      </c>
      <c r="I17" s="23">
        <f>IF(ISERR(H17*G17),IF(F17&gt;D20,I16,""),H17*G17)</f>
        <v>0</v>
      </c>
      <c r="J17" s="23"/>
      <c r="K17" s="34"/>
    </row>
    <row r="18" spans="1:11" ht="12.75">
      <c r="A18" t="s">
        <v>640</v>
      </c>
      <c r="B18" s="37">
        <v>2.452</v>
      </c>
      <c r="D18" s="25">
        <v>2007</v>
      </c>
      <c r="E18" s="23">
        <f>B15*EXP(B16*(D18-D16))</f>
        <v>9459052.922269423</v>
      </c>
      <c r="F18" s="23">
        <f>B15*EXP(B16*(D18-D16))</f>
        <v>9459052.922269423</v>
      </c>
      <c r="G18" s="23">
        <f t="shared" si="0"/>
        <v>0</v>
      </c>
      <c r="H18" s="432">
        <v>0.0346</v>
      </c>
      <c r="I18" s="23">
        <f>IF(ISERR(H18*G18),IF(F18&gt;D20,I17,""),H18*G18)</f>
        <v>0</v>
      </c>
      <c r="J18" s="23"/>
      <c r="K18" s="34"/>
    </row>
    <row r="19" spans="1:11" s="33" customFormat="1" ht="12.75">
      <c r="A19" t="s">
        <v>309</v>
      </c>
      <c r="B19" s="37">
        <v>2005</v>
      </c>
      <c r="C19" s="35"/>
      <c r="D19" s="25">
        <v>2008</v>
      </c>
      <c r="E19" s="23">
        <f>B15*EXP(B16*(D19-D16))</f>
        <v>9659793.43182794</v>
      </c>
      <c r="F19" s="23">
        <f>F18*EXP(B17*(D19-D18))</f>
        <v>8849010.08056678</v>
      </c>
      <c r="G19" s="23">
        <f t="shared" si="0"/>
        <v>810783.3512611594</v>
      </c>
      <c r="H19" s="432">
        <v>0.05095</v>
      </c>
      <c r="I19" s="23">
        <f>IF(ISERR(H19*G19),IF(F19&gt;D20,I18,""),H19*G19)</f>
        <v>41309.41174675607</v>
      </c>
      <c r="J19" s="23"/>
      <c r="K19" s="34"/>
    </row>
    <row r="20" spans="1:11" ht="12.75">
      <c r="A20" s="33" t="s">
        <v>855</v>
      </c>
      <c r="B20" s="36">
        <f>0.19%</f>
        <v>0.0019</v>
      </c>
      <c r="C20" s="30"/>
      <c r="D20" s="25">
        <v>2009</v>
      </c>
      <c r="E20" s="23">
        <f>B15*EXP(B16*(D20-D16))</f>
        <v>9864794.066846052</v>
      </c>
      <c r="F20" s="23">
        <f>F18*EXP(B17*(D20-D18))</f>
        <v>8278310.740985422</v>
      </c>
      <c r="G20" s="22">
        <f t="shared" si="0"/>
        <v>1586483.3258606298</v>
      </c>
      <c r="H20" s="432">
        <v>0.0673</v>
      </c>
      <c r="I20" s="23">
        <f>IF(ISERR(H20*G20),IF(F20&gt;D20,I19,""),H20*G20)</f>
        <v>106770.32783042038</v>
      </c>
      <c r="J20" s="22">
        <f>IF(ISERR(I20-I19),"",(I20-I19+G20))</f>
        <v>1651944.2419442942</v>
      </c>
      <c r="K20" s="21">
        <f>G20*B18</f>
        <v>3890057.1150102643</v>
      </c>
    </row>
    <row r="21" spans="1:11" ht="12.75">
      <c r="A21" t="s">
        <v>854</v>
      </c>
      <c r="B21" s="32">
        <v>2011</v>
      </c>
      <c r="C21" s="30"/>
      <c r="D21" s="25">
        <v>2010</v>
      </c>
      <c r="E21" s="23">
        <f>B15*EXP(B16*(D21-D16))</f>
        <v>10074145.235926246</v>
      </c>
      <c r="F21" s="23">
        <f>F18*EXP(B17*(D21-D18))</f>
        <v>7744417.522454129</v>
      </c>
      <c r="G21" s="22">
        <f t="shared" si="0"/>
        <v>2329727.7134721177</v>
      </c>
      <c r="H21" s="432">
        <v>0.08365</v>
      </c>
      <c r="I21" s="23">
        <f>IF(ISERR(H21*G21),IF(F21&gt;D20,I20,""),H21*G21)</f>
        <v>194881.72323194265</v>
      </c>
      <c r="J21" s="22">
        <f>IF(ISERR(I21-I19),"",(I21-I19+G21))</f>
        <v>2483300.0249573044</v>
      </c>
      <c r="K21" s="21">
        <f>G21*B18</f>
        <v>5712492.353433632</v>
      </c>
    </row>
    <row r="22" spans="1:11" ht="12.75">
      <c r="A22" t="s">
        <v>921</v>
      </c>
      <c r="B22" s="31">
        <v>0.1</v>
      </c>
      <c r="D22" s="25">
        <v>2011</v>
      </c>
      <c r="E22" s="23">
        <f>B15*EXP(B16*(D22-D16))</f>
        <v>10287939.266327038</v>
      </c>
      <c r="F22" s="23">
        <f>F18*EXP(B17*(D22-D18))</f>
        <v>7244956.687257093</v>
      </c>
      <c r="G22" s="22">
        <f t="shared" si="0"/>
        <v>3042982.579069945</v>
      </c>
      <c r="H22" s="432">
        <v>0.1</v>
      </c>
      <c r="I22" s="23">
        <f>IF(ISERR(H22*G22),IF(F22&gt;D20,I21,""),H22*G22)</f>
        <v>304298.2579069945</v>
      </c>
      <c r="J22" s="22">
        <f aca="true" t="shared" si="1" ref="J22:J41">IF(ISERR(I22-I20),"",(I22-I20+G22))</f>
        <v>3240510.509146519</v>
      </c>
      <c r="K22" s="21">
        <f>G22*B18</f>
        <v>7461393.2838795055</v>
      </c>
    </row>
    <row r="23" spans="1:11" ht="12.75">
      <c r="A23" s="29" t="s">
        <v>310</v>
      </c>
      <c r="B23" s="28">
        <f>(B22-B20)/(B21-B19)</f>
        <v>0.01635</v>
      </c>
      <c r="D23" s="25">
        <v>2012</v>
      </c>
      <c r="E23" s="23"/>
      <c r="F23" s="23"/>
      <c r="G23" s="22">
        <f>G22</f>
        <v>3042982.579069945</v>
      </c>
      <c r="H23" s="432"/>
      <c r="I23" s="23">
        <f>I22</f>
        <v>304298.2579069945</v>
      </c>
      <c r="J23" s="22">
        <f t="shared" si="1"/>
        <v>3152399.113744997</v>
      </c>
      <c r="K23" s="21">
        <f>G23*B18</f>
        <v>7461393.2838795055</v>
      </c>
    </row>
    <row r="24" spans="4:11" ht="12.75">
      <c r="D24" s="25">
        <v>2013</v>
      </c>
      <c r="E24" s="23"/>
      <c r="F24" s="23"/>
      <c r="G24" s="22">
        <f aca="true" t="shared" si="2" ref="G24:G41">G23</f>
        <v>3042982.579069945</v>
      </c>
      <c r="H24" s="432"/>
      <c r="I24" s="23">
        <f aca="true" t="shared" si="3" ref="I24:I41">I23</f>
        <v>304298.2579069945</v>
      </c>
      <c r="J24" s="22">
        <f t="shared" si="1"/>
        <v>3042982.579069945</v>
      </c>
      <c r="K24" s="21">
        <f>G24*B18</f>
        <v>7461393.2838795055</v>
      </c>
    </row>
    <row r="25" spans="4:11" ht="12.75">
      <c r="D25" s="25">
        <v>2014</v>
      </c>
      <c r="E25" s="23"/>
      <c r="F25" s="23"/>
      <c r="G25" s="22">
        <f t="shared" si="2"/>
        <v>3042982.579069945</v>
      </c>
      <c r="H25" s="432"/>
      <c r="I25" s="23">
        <f t="shared" si="3"/>
        <v>304298.2579069945</v>
      </c>
      <c r="J25" s="22">
        <f t="shared" si="1"/>
        <v>3042982.579069945</v>
      </c>
      <c r="K25" s="21">
        <f>G25*B18</f>
        <v>7461393.2838795055</v>
      </c>
    </row>
    <row r="26" spans="1:11" ht="12.75">
      <c r="A26" t="s">
        <v>311</v>
      </c>
      <c r="B26" s="27">
        <f>K22</f>
        <v>7461393.2838795055</v>
      </c>
      <c r="D26" s="25">
        <v>2015</v>
      </c>
      <c r="E26" s="23"/>
      <c r="F26" s="23"/>
      <c r="G26" s="22">
        <f t="shared" si="2"/>
        <v>3042982.579069945</v>
      </c>
      <c r="H26" s="432"/>
      <c r="I26" s="23">
        <f t="shared" si="3"/>
        <v>304298.2579069945</v>
      </c>
      <c r="J26" s="22">
        <f t="shared" si="1"/>
        <v>3042982.579069945</v>
      </c>
      <c r="K26" s="21">
        <f>G26*B18</f>
        <v>7461393.2838795055</v>
      </c>
    </row>
    <row r="27" spans="1:11" ht="12.75">
      <c r="A27" t="s">
        <v>292</v>
      </c>
      <c r="B27" s="27">
        <f>SUM(K20:K41)</f>
        <v>158830415.14603403</v>
      </c>
      <c r="D27" s="25">
        <v>2016</v>
      </c>
      <c r="E27" s="23"/>
      <c r="F27" s="23"/>
      <c r="G27" s="22">
        <f t="shared" si="2"/>
        <v>3042982.579069945</v>
      </c>
      <c r="H27" s="432"/>
      <c r="I27" s="23">
        <f t="shared" si="3"/>
        <v>304298.2579069945</v>
      </c>
      <c r="J27" s="22">
        <f t="shared" si="1"/>
        <v>3042982.579069945</v>
      </c>
      <c r="K27" s="21">
        <f>G27*B18</f>
        <v>7461393.2838795055</v>
      </c>
    </row>
    <row r="28" spans="1:11" ht="12.75">
      <c r="A28" t="s">
        <v>293</v>
      </c>
      <c r="B28" s="26">
        <f>B26/(10^6)</f>
        <v>7.461393283879506</v>
      </c>
      <c r="D28" s="25">
        <v>2017</v>
      </c>
      <c r="E28" s="23"/>
      <c r="F28" s="23"/>
      <c r="G28" s="22">
        <f t="shared" si="2"/>
        <v>3042982.579069945</v>
      </c>
      <c r="H28" s="432"/>
      <c r="I28" s="23">
        <f t="shared" si="3"/>
        <v>304298.2579069945</v>
      </c>
      <c r="J28" s="22">
        <f t="shared" si="1"/>
        <v>3042982.579069945</v>
      </c>
      <c r="K28" s="21">
        <f>G28*B18</f>
        <v>7461393.2838795055</v>
      </c>
    </row>
    <row r="29" spans="1:11" ht="12.75">
      <c r="A29" t="s">
        <v>294</v>
      </c>
      <c r="B29" s="26">
        <f>B27/(10^6)</f>
        <v>158.83041514603403</v>
      </c>
      <c r="D29" s="25">
        <v>2018</v>
      </c>
      <c r="E29" s="23"/>
      <c r="F29" s="23"/>
      <c r="G29" s="22">
        <f t="shared" si="2"/>
        <v>3042982.579069945</v>
      </c>
      <c r="H29" s="432"/>
      <c r="I29" s="23">
        <f t="shared" si="3"/>
        <v>304298.2579069945</v>
      </c>
      <c r="J29" s="22">
        <f t="shared" si="1"/>
        <v>3042982.579069945</v>
      </c>
      <c r="K29" s="21">
        <f>G29*B18</f>
        <v>7461393.2838795055</v>
      </c>
    </row>
    <row r="30" spans="4:11" ht="12.75">
      <c r="D30" s="25">
        <v>2019</v>
      </c>
      <c r="E30" s="23"/>
      <c r="F30" s="23"/>
      <c r="G30" s="22">
        <f t="shared" si="2"/>
        <v>3042982.579069945</v>
      </c>
      <c r="H30" s="432"/>
      <c r="I30" s="23">
        <f t="shared" si="3"/>
        <v>304298.2579069945</v>
      </c>
      <c r="J30" s="22">
        <f t="shared" si="1"/>
        <v>3042982.579069945</v>
      </c>
      <c r="K30" s="21">
        <f>G30*B18</f>
        <v>7461393.2838795055</v>
      </c>
    </row>
    <row r="31" spans="4:11" ht="12.75">
      <c r="D31" s="25">
        <v>2020</v>
      </c>
      <c r="E31" s="23"/>
      <c r="F31" s="23"/>
      <c r="G31" s="22">
        <f t="shared" si="2"/>
        <v>3042982.579069945</v>
      </c>
      <c r="H31" s="432"/>
      <c r="I31" s="23">
        <f t="shared" si="3"/>
        <v>304298.2579069945</v>
      </c>
      <c r="J31" s="22">
        <f t="shared" si="1"/>
        <v>3042982.579069945</v>
      </c>
      <c r="K31" s="21">
        <f>G31*B18</f>
        <v>7461393.2838795055</v>
      </c>
    </row>
    <row r="32" spans="4:11" ht="12.75">
      <c r="D32" s="25">
        <v>2021</v>
      </c>
      <c r="E32" s="23"/>
      <c r="F32" s="23"/>
      <c r="G32" s="22">
        <f t="shared" si="2"/>
        <v>3042982.579069945</v>
      </c>
      <c r="H32" s="432"/>
      <c r="I32" s="23">
        <f t="shared" si="3"/>
        <v>304298.2579069945</v>
      </c>
      <c r="J32" s="22">
        <f t="shared" si="1"/>
        <v>3042982.579069945</v>
      </c>
      <c r="K32" s="21">
        <f>G32*B18</f>
        <v>7461393.2838795055</v>
      </c>
    </row>
    <row r="33" spans="4:11" ht="12.75">
      <c r="D33" s="25">
        <v>2022</v>
      </c>
      <c r="E33" s="23"/>
      <c r="F33" s="23"/>
      <c r="G33" s="22">
        <f t="shared" si="2"/>
        <v>3042982.579069945</v>
      </c>
      <c r="H33" s="432"/>
      <c r="I33" s="23">
        <f t="shared" si="3"/>
        <v>304298.2579069945</v>
      </c>
      <c r="J33" s="22">
        <f t="shared" si="1"/>
        <v>3042982.579069945</v>
      </c>
      <c r="K33" s="21">
        <f>G33*B18</f>
        <v>7461393.2838795055</v>
      </c>
    </row>
    <row r="34" spans="4:11" ht="12.75">
      <c r="D34" s="25">
        <v>2023</v>
      </c>
      <c r="E34" s="23"/>
      <c r="F34" s="23"/>
      <c r="G34" s="22">
        <f t="shared" si="2"/>
        <v>3042982.579069945</v>
      </c>
      <c r="H34" s="432"/>
      <c r="I34" s="23">
        <f t="shared" si="3"/>
        <v>304298.2579069945</v>
      </c>
      <c r="J34" s="22">
        <f t="shared" si="1"/>
        <v>3042982.579069945</v>
      </c>
      <c r="K34" s="21">
        <f>G34*B18</f>
        <v>7461393.2838795055</v>
      </c>
    </row>
    <row r="35" spans="4:11" ht="12.75">
      <c r="D35" s="25">
        <v>2024</v>
      </c>
      <c r="E35" s="23"/>
      <c r="F35" s="23"/>
      <c r="G35" s="22">
        <f t="shared" si="2"/>
        <v>3042982.579069945</v>
      </c>
      <c r="H35" s="432"/>
      <c r="I35" s="23">
        <f t="shared" si="3"/>
        <v>304298.2579069945</v>
      </c>
      <c r="J35" s="22">
        <f t="shared" si="1"/>
        <v>3042982.579069945</v>
      </c>
      <c r="K35" s="21">
        <f>G35*B18</f>
        <v>7461393.2838795055</v>
      </c>
    </row>
    <row r="36" spans="4:11" ht="12.75">
      <c r="D36" s="25">
        <v>2025</v>
      </c>
      <c r="E36" s="23"/>
      <c r="F36" s="23"/>
      <c r="G36" s="22">
        <f t="shared" si="2"/>
        <v>3042982.579069945</v>
      </c>
      <c r="H36" s="432"/>
      <c r="I36" s="23">
        <f t="shared" si="3"/>
        <v>304298.2579069945</v>
      </c>
      <c r="J36" s="22">
        <f t="shared" si="1"/>
        <v>3042982.579069945</v>
      </c>
      <c r="K36" s="21">
        <f>G36*B18</f>
        <v>7461393.2838795055</v>
      </c>
    </row>
    <row r="37" spans="4:11" ht="12.75">
      <c r="D37" s="25">
        <v>2026</v>
      </c>
      <c r="E37" s="23"/>
      <c r="F37" s="24"/>
      <c r="G37" s="22">
        <f t="shared" si="2"/>
        <v>3042982.579069945</v>
      </c>
      <c r="H37" s="432"/>
      <c r="I37" s="23">
        <f t="shared" si="3"/>
        <v>304298.2579069945</v>
      </c>
      <c r="J37" s="22">
        <f t="shared" si="1"/>
        <v>3042982.579069945</v>
      </c>
      <c r="K37" s="21">
        <f>G37*B18</f>
        <v>7461393.2838795055</v>
      </c>
    </row>
    <row r="38" spans="4:11" ht="12.75">
      <c r="D38" s="25">
        <v>2027</v>
      </c>
      <c r="E38" s="23"/>
      <c r="F38" s="24"/>
      <c r="G38" s="22">
        <f t="shared" si="2"/>
        <v>3042982.579069945</v>
      </c>
      <c r="H38" s="432"/>
      <c r="I38" s="23">
        <f t="shared" si="3"/>
        <v>304298.2579069945</v>
      </c>
      <c r="J38" s="22">
        <f t="shared" si="1"/>
        <v>3042982.579069945</v>
      </c>
      <c r="K38" s="21">
        <f>G38*B18</f>
        <v>7461393.2838795055</v>
      </c>
    </row>
    <row r="39" spans="4:11" ht="12.75">
      <c r="D39" s="25">
        <v>2028</v>
      </c>
      <c r="E39" s="23"/>
      <c r="F39" s="24"/>
      <c r="G39" s="22">
        <f t="shared" si="2"/>
        <v>3042982.579069945</v>
      </c>
      <c r="H39" s="432"/>
      <c r="I39" s="23">
        <f t="shared" si="3"/>
        <v>304298.2579069945</v>
      </c>
      <c r="J39" s="22">
        <f t="shared" si="1"/>
        <v>3042982.579069945</v>
      </c>
      <c r="K39" s="21">
        <f>G39*B18</f>
        <v>7461393.2838795055</v>
      </c>
    </row>
    <row r="40" spans="4:11" ht="12.75">
      <c r="D40" s="25">
        <v>2029</v>
      </c>
      <c r="E40" s="23"/>
      <c r="F40" s="24"/>
      <c r="G40" s="22">
        <f t="shared" si="2"/>
        <v>3042982.579069945</v>
      </c>
      <c r="H40" s="432"/>
      <c r="I40" s="23">
        <f t="shared" si="3"/>
        <v>304298.2579069945</v>
      </c>
      <c r="J40" s="22">
        <f t="shared" si="1"/>
        <v>3042982.579069945</v>
      </c>
      <c r="K40" s="21">
        <f>G40*B18</f>
        <v>7461393.2838795055</v>
      </c>
    </row>
    <row r="41" spans="4:11" ht="13.5" thickBot="1">
      <c r="D41" s="20">
        <v>2030</v>
      </c>
      <c r="E41" s="18"/>
      <c r="F41" s="19"/>
      <c r="G41" s="17">
        <f t="shared" si="2"/>
        <v>3042982.579069945</v>
      </c>
      <c r="H41" s="19"/>
      <c r="I41" s="18">
        <f t="shared" si="3"/>
        <v>304298.2579069945</v>
      </c>
      <c r="J41" s="17">
        <f t="shared" si="1"/>
        <v>3042982.579069945</v>
      </c>
      <c r="K41" s="16">
        <f>G41*B18</f>
        <v>7461393.2838795055</v>
      </c>
    </row>
    <row r="45" spans="1:9" ht="12.75">
      <c r="A45" s="466" t="s">
        <v>653</v>
      </c>
      <c r="B45" s="461"/>
      <c r="C45" s="461"/>
      <c r="D45" s="461"/>
      <c r="E45" s="461"/>
      <c r="F45" s="461"/>
      <c r="G45" s="55"/>
      <c r="H45" s="55"/>
      <c r="I45" s="54"/>
    </row>
    <row r="46" spans="1:9" ht="12.75">
      <c r="A46" s="468" t="s">
        <v>662</v>
      </c>
      <c r="B46" s="463"/>
      <c r="C46" s="463"/>
      <c r="D46" s="463"/>
      <c r="E46" s="463"/>
      <c r="F46" s="463"/>
      <c r="G46" s="52"/>
      <c r="H46" s="52"/>
      <c r="I46" s="51"/>
    </row>
    <row r="47" spans="1:9" ht="21.75" customHeight="1">
      <c r="A47" s="470" t="s">
        <v>298</v>
      </c>
      <c r="B47" s="446"/>
      <c r="C47" s="446"/>
      <c r="D47" s="446"/>
      <c r="E47" s="446"/>
      <c r="F47" s="446"/>
      <c r="G47" s="52"/>
      <c r="H47" s="52"/>
      <c r="I47" s="51"/>
    </row>
    <row r="48" spans="1:9" ht="9.75" customHeight="1">
      <c r="A48" s="470"/>
      <c r="B48" s="446"/>
      <c r="C48" s="446"/>
      <c r="D48" s="446"/>
      <c r="E48" s="446"/>
      <c r="F48" s="446"/>
      <c r="G48" s="52"/>
      <c r="H48" s="52"/>
      <c r="I48" s="51"/>
    </row>
    <row r="49" spans="1:9" ht="12.75">
      <c r="A49" s="492" t="s">
        <v>333</v>
      </c>
      <c r="B49" s="462"/>
      <c r="C49" s="462"/>
      <c r="D49" s="49"/>
      <c r="E49" s="49"/>
      <c r="F49" s="49"/>
      <c r="G49" s="49"/>
      <c r="H49" s="49"/>
      <c r="I49" s="48"/>
    </row>
    <row r="50" ht="13.5" thickBot="1"/>
    <row r="51" spans="4:7" ht="51">
      <c r="D51" s="46" t="s">
        <v>932</v>
      </c>
      <c r="E51" s="45" t="s">
        <v>297</v>
      </c>
      <c r="F51" s="45" t="s">
        <v>1086</v>
      </c>
      <c r="G51" s="44" t="s">
        <v>928</v>
      </c>
    </row>
    <row r="52" spans="1:9" ht="13.5" thickBot="1">
      <c r="A52" t="s">
        <v>927</v>
      </c>
      <c r="B52" s="57"/>
      <c r="D52" s="43"/>
      <c r="E52" s="41"/>
      <c r="F52" s="41" t="s">
        <v>860</v>
      </c>
      <c r="G52" s="40" t="s">
        <v>859</v>
      </c>
      <c r="I52" s="57"/>
    </row>
    <row r="53" spans="1:7" ht="13.5" thickTop="1">
      <c r="A53" t="s">
        <v>858</v>
      </c>
      <c r="C53" s="30"/>
      <c r="D53" s="25">
        <v>2005</v>
      </c>
      <c r="E53" s="23">
        <f>IF(D53&lt;B55,"",IF(D53=B55,B56,IF(D53&gt;B57,"",(D53-B55)*B59+B56)))</f>
      </c>
      <c r="F53" s="39"/>
      <c r="G53" s="38"/>
    </row>
    <row r="54" spans="1:7" ht="12.75">
      <c r="A54" t="s">
        <v>857</v>
      </c>
      <c r="B54" s="37">
        <v>428.54</v>
      </c>
      <c r="D54" s="25">
        <v>2006</v>
      </c>
      <c r="E54" s="23">
        <f>IF(D54&lt;B55,"",IF(D54=B55,B56,IF(D54&gt;B57,"",(D54-B55)*B59+B56)))</f>
      </c>
      <c r="F54" s="23"/>
      <c r="G54" s="34"/>
    </row>
    <row r="55" spans="1:7" ht="12.75">
      <c r="A55" t="s">
        <v>856</v>
      </c>
      <c r="B55" s="37">
        <v>2008</v>
      </c>
      <c r="D55" s="25">
        <v>2007</v>
      </c>
      <c r="E55" s="23">
        <f>IF(D55&lt;B55,"",IF(D55=B55,B56,IF(D55&gt;B57,"",(D55-B55)*B59+B56)))</f>
      </c>
      <c r="F55" s="23"/>
      <c r="G55" s="34"/>
    </row>
    <row r="56" spans="1:7" s="33" customFormat="1" ht="12.75">
      <c r="A56" s="33" t="s">
        <v>295</v>
      </c>
      <c r="B56" s="84">
        <v>0</v>
      </c>
      <c r="C56" s="35"/>
      <c r="D56" s="25">
        <v>2008</v>
      </c>
      <c r="E56" s="23">
        <f>IF(D56&lt;B55,"",IF(D56=B55,B56,IF(D56&gt;B57,"",(D56-B55)*B59+B56)))</f>
        <v>0</v>
      </c>
      <c r="F56" s="23"/>
      <c r="G56" s="34"/>
    </row>
    <row r="57" spans="1:8" ht="12.75">
      <c r="A57" t="s">
        <v>854</v>
      </c>
      <c r="B57" s="32">
        <v>2016</v>
      </c>
      <c r="C57" s="30"/>
      <c r="D57" s="25">
        <v>2009</v>
      </c>
      <c r="E57" s="23">
        <f>IF(D57&lt;B55,"",IF(D57=B55,B56,IF(D57&gt;B57,"",(D57-B55)*B59+B56)))</f>
        <v>219000000</v>
      </c>
      <c r="F57" s="22">
        <f>IF(ISERR(E57-E56),IF(D57&gt;B57,F56,""),(E57-E56))</f>
        <v>219000000</v>
      </c>
      <c r="G57" s="21">
        <f>IF(ISERR(B54*F57),"",((B54*F57)))</f>
        <v>93850260000</v>
      </c>
      <c r="H57" s="57"/>
    </row>
    <row r="58" spans="1:8" ht="12.75">
      <c r="A58" t="s">
        <v>296</v>
      </c>
      <c r="B58" s="102">
        <f>1*10^6*0.2*8760</f>
        <v>1752000000</v>
      </c>
      <c r="C58" s="30"/>
      <c r="D58" s="25">
        <v>2010</v>
      </c>
      <c r="E58" s="23">
        <f>IF(D58&lt;B55,"",IF(D58=B55,B56,IF(D58&gt;B57,"",(D58-B55)*B59+B56)))</f>
        <v>438000000</v>
      </c>
      <c r="F58" s="22">
        <f>IF(ISERR(E58-E57),IF(D58&gt;B57,F57,""),(E58-E56))</f>
        <v>438000000</v>
      </c>
      <c r="G58" s="21">
        <f>IF(ISERR(B54*F58),"",((B54*F58)))</f>
        <v>187700520000</v>
      </c>
      <c r="H58" s="57"/>
    </row>
    <row r="59" spans="1:7" ht="12.75">
      <c r="A59" s="29" t="s">
        <v>1057</v>
      </c>
      <c r="B59" s="27">
        <f>(B58-B56)/(B57-B55)</f>
        <v>219000000</v>
      </c>
      <c r="D59" s="25">
        <v>2011</v>
      </c>
      <c r="E59" s="23">
        <f>IF(D59&lt;B55,"",IF(D59=B55,B56,IF(D59&gt;B57,"",(D59-B55)*B59+B56)))</f>
        <v>657000000</v>
      </c>
      <c r="F59" s="22">
        <f>IF(ISERR(E59-E58),IF(D59&gt;B57,F58,""),(E59-E56))</f>
        <v>657000000</v>
      </c>
      <c r="G59" s="21">
        <f>IF(ISERR(B54*F59),"",((B54*F59)))</f>
        <v>281550780000</v>
      </c>
    </row>
    <row r="60" spans="4:7" ht="12.75">
      <c r="D60" s="25">
        <v>2012</v>
      </c>
      <c r="E60" s="23">
        <f>IF(D60&lt;B55,"",IF(D60=B55,B56,IF(D60&gt;B57,"",(D60-B55)*B59+B56)))</f>
        <v>876000000</v>
      </c>
      <c r="F60" s="22">
        <f>IF(ISERR(E60-E59),IF(D60&gt;B57,F59,""),(E60-E56))</f>
        <v>876000000</v>
      </c>
      <c r="G60" s="21">
        <f>IF(ISERR(B54*F60),"",((B54*F60)))</f>
        <v>375401040000</v>
      </c>
    </row>
    <row r="61" spans="4:7" ht="12.75">
      <c r="D61" s="25">
        <v>2013</v>
      </c>
      <c r="E61" s="23">
        <f>IF(D61&lt;B55,"",IF(D61=B55,B56,IF(D61&gt;B57,"",(D61-B55)*B59+B56)))</f>
        <v>1095000000</v>
      </c>
      <c r="F61" s="22">
        <f>IF(ISERR(E61-E60),IF(D61&gt;B57,F60,""),(E61-E56))</f>
        <v>1095000000</v>
      </c>
      <c r="G61" s="21">
        <f>IF(ISERR(B54*F61),"",((B54*F61)))</f>
        <v>469251300000</v>
      </c>
    </row>
    <row r="62" spans="1:7" ht="12.75">
      <c r="A62" t="s">
        <v>915</v>
      </c>
      <c r="B62" s="27">
        <f>VLOOKUP(B57,D53:G78,4,FALSE)</f>
        <v>750802080000</v>
      </c>
      <c r="D62" s="25">
        <v>2014</v>
      </c>
      <c r="E62" s="23">
        <f>IF(D62&lt;B55,"",IF(D62=B55,B56,IF(D62&gt;B57,"",(D62-B55)*B59+B56)))</f>
        <v>1314000000</v>
      </c>
      <c r="F62" s="22">
        <f>IF(ISERR(E62-E61),IF(D62&gt;B57,F61,""),(E62-E56))</f>
        <v>1314000000</v>
      </c>
      <c r="G62" s="21">
        <f>IF(ISERR(B54*F62),"",((B54*F62)))</f>
        <v>563101560000</v>
      </c>
    </row>
    <row r="63" spans="1:7" ht="12.75">
      <c r="A63" t="s">
        <v>914</v>
      </c>
      <c r="B63" s="27">
        <f>SUM(G57:G78)</f>
        <v>13889838480000</v>
      </c>
      <c r="D63" s="25">
        <v>2015</v>
      </c>
      <c r="E63" s="23">
        <f>IF(D63&lt;B55,"",IF(D63=B55,B56,IF(D63&gt;B57,"",(D63-B55)*B59+B56)))</f>
        <v>1533000000</v>
      </c>
      <c r="F63" s="22">
        <f>IF(ISERR(E63-E62),IF(D63&gt;B57,F62,""),(E63-E56))</f>
        <v>1533000000</v>
      </c>
      <c r="G63" s="21">
        <f>IF(ISERR(B54*F63),"",((B54*F63)))</f>
        <v>656951820000</v>
      </c>
    </row>
    <row r="64" spans="1:7" ht="12.75">
      <c r="A64" t="s">
        <v>1068</v>
      </c>
      <c r="B64" s="26">
        <f>B62/(10^12)</f>
        <v>0.75080208</v>
      </c>
      <c r="D64" s="25">
        <v>2016</v>
      </c>
      <c r="E64" s="23">
        <f>IF(D64&lt;B55,"",IF(D64=B55,B56,IF(D64&gt;B57,"",(D64-B55)*B59+B56)))</f>
        <v>1752000000</v>
      </c>
      <c r="F64" s="22">
        <f>IF(ISERR(E64-E63),IF(D64&gt;B57,F63,""),(E64-E56))</f>
        <v>1752000000</v>
      </c>
      <c r="G64" s="21">
        <f>IF(ISERR(B54*F64),"",((B54*F64)))</f>
        <v>750802080000</v>
      </c>
    </row>
    <row r="65" spans="1:7" ht="12.75">
      <c r="A65" t="s">
        <v>1067</v>
      </c>
      <c r="B65" s="26">
        <f>B63/(10^12)</f>
        <v>13.88983848</v>
      </c>
      <c r="D65" s="25">
        <v>2017</v>
      </c>
      <c r="E65" s="23">
        <f>IF(D65&lt;B55,"",IF(D65=B55,B56,IF(D65&gt;B57,"",(D65-B55)*B59+B56)))</f>
      </c>
      <c r="F65" s="22">
        <f>IF(ISERR(E65-E64),IF(D65&gt;B57,F64,""),(E65-E56))</f>
        <v>1752000000</v>
      </c>
      <c r="G65" s="21">
        <f>IF(ISERR(B54*F65),"",((B54*F65)))</f>
        <v>750802080000</v>
      </c>
    </row>
    <row r="66" spans="4:7" ht="12.75">
      <c r="D66" s="25">
        <v>2018</v>
      </c>
      <c r="E66" s="23">
        <f>IF(D66&lt;B55,"",IF(D66=B55,B56,IF(D66&gt;B57,"",(D66-B55)*B59+B56)))</f>
      </c>
      <c r="F66" s="22">
        <f>IF(ISERR(E66-E65),IF(D66&gt;B57,F65,""),(E66-E56))</f>
        <v>1752000000</v>
      </c>
      <c r="G66" s="21">
        <f>IF(ISERR(B54*F66),"",((B54*F66)))</f>
        <v>750802080000</v>
      </c>
    </row>
    <row r="67" spans="4:7" ht="12.75">
      <c r="D67" s="25">
        <v>2019</v>
      </c>
      <c r="E67" s="23">
        <f>IF(D67&lt;B55,"",IF(D67=B55,B56,IF(D67&gt;B57,"",(D67-B55)*B59+B56)))</f>
      </c>
      <c r="F67" s="22">
        <f>IF(ISERR(E67-E66),IF(D67&gt;B57,F66,""),(E67-E56))</f>
        <v>1752000000</v>
      </c>
      <c r="G67" s="21">
        <f>IF(ISERR(B54*F67),"",((B54*F67)))</f>
        <v>750802080000</v>
      </c>
    </row>
    <row r="68" spans="4:7" ht="12.75">
      <c r="D68" s="25">
        <v>2020</v>
      </c>
      <c r="E68" s="23">
        <f>IF(D68&lt;B55,"",IF(D68=B55,B56,IF(D68&gt;B57,"",(D68-B55)*B59+B56)))</f>
      </c>
      <c r="F68" s="22">
        <f>IF(ISERR(E68-E67),IF(D68&gt;B57,F67,""),(E68-E56))</f>
        <v>1752000000</v>
      </c>
      <c r="G68" s="21">
        <f>IF(ISERR(B54*F68),"",((B54*F68)))</f>
        <v>750802080000</v>
      </c>
    </row>
    <row r="69" spans="4:7" ht="12.75">
      <c r="D69" s="25">
        <v>2021</v>
      </c>
      <c r="E69" s="23">
        <f>IF(D69&lt;B55,"",IF(D69=B55,B56,IF(D69&gt;B57,"",(D69-B55)*B59+B56)))</f>
      </c>
      <c r="F69" s="22">
        <f>IF(ISERR(E69-E68),IF(D69&gt;B57,F68,""),(E69-E56))</f>
        <v>1752000000</v>
      </c>
      <c r="G69" s="21">
        <f>IF(ISERR(B54*F69),"",((B54*F69)))</f>
        <v>750802080000</v>
      </c>
    </row>
    <row r="70" spans="4:7" ht="12.75">
      <c r="D70" s="25">
        <v>2022</v>
      </c>
      <c r="E70" s="23">
        <f>IF(D70&lt;B55,"",IF(D70=B55,B56,IF(D70&gt;B57,"",(D70-B55)*B59+B56)))</f>
      </c>
      <c r="F70" s="22">
        <f>IF(ISERR(E70-E69),IF(D70&gt;B57,F69,""),(E70-E56))</f>
        <v>1752000000</v>
      </c>
      <c r="G70" s="21">
        <f>IF(ISERR(B54*F70),"",((B54*F70)))</f>
        <v>750802080000</v>
      </c>
    </row>
    <row r="71" spans="4:7" ht="12.75">
      <c r="D71" s="25">
        <v>2023</v>
      </c>
      <c r="E71" s="23">
        <f>IF(D71&lt;B55,"",IF(D71=B55,B56,IF(D71&gt;B57,"",(D71-B55)*B59+B56)))</f>
      </c>
      <c r="F71" s="22">
        <f>IF(ISERR(E71-E70),IF(D71&gt;B57,F70,""),(E71-E56))</f>
        <v>1752000000</v>
      </c>
      <c r="G71" s="21">
        <f>IF(ISERR(B54*F71),"",((B54*F71)))</f>
        <v>750802080000</v>
      </c>
    </row>
    <row r="72" spans="4:7" ht="12.75">
      <c r="D72" s="25">
        <v>2024</v>
      </c>
      <c r="E72" s="23">
        <f>IF(D72&lt;B55,"",IF(D72=B55,B56,IF(D72&gt;B57,"",(D72-B55)*B59+B56)))</f>
      </c>
      <c r="F72" s="22">
        <f>IF(ISERR(E72-E71),IF(D72&gt;B57,F71,""),(E72-E56))</f>
        <v>1752000000</v>
      </c>
      <c r="G72" s="21">
        <f>IF(ISERR(B54*F72),"",((B54*F72)))</f>
        <v>750802080000</v>
      </c>
    </row>
    <row r="73" spans="4:7" ht="12.75">
      <c r="D73" s="25">
        <v>2025</v>
      </c>
      <c r="E73" s="23">
        <f>IF(D73&lt;B55,"",IF(D73=B55,B56,IF(D73&gt;B57,"",(D73-B55)*B59+B56)))</f>
      </c>
      <c r="F73" s="22">
        <f>IF(ISERR(E73-E72),IF(D73&gt;B57,F72,""),(E73-E56))</f>
        <v>1752000000</v>
      </c>
      <c r="G73" s="21">
        <f>IF(ISERR(B54*F73),"",((B54*F73)))</f>
        <v>750802080000</v>
      </c>
    </row>
    <row r="74" spans="4:7" ht="12.75">
      <c r="D74" s="25">
        <v>2026</v>
      </c>
      <c r="E74" s="23">
        <f>IF(D74&lt;B55,"",IF(D74=B55,B56,IF(D74&gt;B57,"",(D74-B55)*B59+B56)))</f>
      </c>
      <c r="F74" s="22">
        <f>IF(ISERR(E74-E73),IF(D74&gt;B57,F73,""),(E74-E56))</f>
        <v>1752000000</v>
      </c>
      <c r="G74" s="21">
        <f>IF(ISERR(B54*F74),"",((B54*F74)))</f>
        <v>750802080000</v>
      </c>
    </row>
    <row r="75" spans="4:7" ht="12.75">
      <c r="D75" s="25">
        <v>2027</v>
      </c>
      <c r="E75" s="23">
        <f>IF(D75&lt;B55,"",IF(D75=B55,B56,IF(D75&gt;B57,"",(D75-B55)*B59+B56)))</f>
      </c>
      <c r="F75" s="22">
        <f>IF(ISERR(E75-E74),IF(D75&gt;B57,F74,""),(E75-E56))</f>
        <v>1752000000</v>
      </c>
      <c r="G75" s="21">
        <f>IF(ISERR(B54*F75),"",((B54*F75)))</f>
        <v>750802080000</v>
      </c>
    </row>
    <row r="76" spans="4:7" ht="12.75">
      <c r="D76" s="25">
        <v>2028</v>
      </c>
      <c r="E76" s="23">
        <f>IF(D76&lt;B55,"",IF(D76=B55,B56,IF(D76&gt;B57,"",(D76-B55)*B59+B56)))</f>
      </c>
      <c r="F76" s="22">
        <f>IF(ISERR(E76-E75),IF(D76&gt;B57,F75,""),(E76-E56))</f>
        <v>1752000000</v>
      </c>
      <c r="G76" s="21">
        <f>IF(ISERR(B54*F76),"",((B54*F76)))</f>
        <v>750802080000</v>
      </c>
    </row>
    <row r="77" spans="4:7" ht="12.75">
      <c r="D77" s="25">
        <v>2029</v>
      </c>
      <c r="E77" s="23">
        <f>IF(D77&lt;B55,"",IF(D77=B55,B56,IF(D77&gt;B57,"",(D77-B55)*B59+B56)))</f>
      </c>
      <c r="F77" s="22">
        <f>IF(ISERR(E77-E76),IF(D77&gt;B57,F76,""),(E77-E56))</f>
        <v>1752000000</v>
      </c>
      <c r="G77" s="21">
        <f>IF(ISERR(B54*F77),"",((B54*F77)))</f>
        <v>750802080000</v>
      </c>
    </row>
    <row r="78" spans="4:7" ht="13.5" thickBot="1">
      <c r="D78" s="20">
        <v>2030</v>
      </c>
      <c r="E78" s="18">
        <f>IF(D78&lt;B55,"",IF(D78=B55,B56,IF(D78&gt;B57,"",(D78-B55)*B59+B56)))</f>
      </c>
      <c r="F78" s="17">
        <f>IF(ISERR(E78-E77),IF(D78&gt;B57,F77,""),(E78-E56))</f>
        <v>1752000000</v>
      </c>
      <c r="G78" s="16">
        <f>IF(ISERR(B54*F78),"",((B54*F78)))</f>
        <v>750802080000</v>
      </c>
    </row>
    <row r="79" spans="1:19" s="74" customFormat="1" ht="12.75">
      <c r="A79" s="81"/>
      <c r="B79" s="63"/>
      <c r="C79" s="63"/>
      <c r="D79" s="63"/>
      <c r="E79"/>
      <c r="F79" s="104"/>
      <c r="G79" s="103"/>
      <c r="H79" s="103"/>
      <c r="I79"/>
      <c r="J79"/>
      <c r="K79"/>
      <c r="L79"/>
      <c r="M79"/>
      <c r="N79"/>
      <c r="O79"/>
      <c r="P79"/>
      <c r="Q79"/>
      <c r="R79"/>
      <c r="S79"/>
    </row>
    <row r="81" spans="1:9" ht="12.75">
      <c r="A81" s="466" t="s">
        <v>708</v>
      </c>
      <c r="B81" s="461"/>
      <c r="C81" s="461"/>
      <c r="D81" s="461"/>
      <c r="E81" s="461"/>
      <c r="F81" s="461"/>
      <c r="G81" s="55"/>
      <c r="H81" s="55"/>
      <c r="I81" s="54"/>
    </row>
    <row r="82" spans="1:9" ht="25.5" customHeight="1">
      <c r="A82" s="468" t="s">
        <v>818</v>
      </c>
      <c r="B82" s="463"/>
      <c r="C82" s="463"/>
      <c r="D82" s="463"/>
      <c r="E82" s="463"/>
      <c r="F82" s="463"/>
      <c r="G82" s="52"/>
      <c r="H82" s="52"/>
      <c r="I82" s="51"/>
    </row>
    <row r="83" spans="1:9" ht="12.75">
      <c r="A83" s="459" t="s">
        <v>709</v>
      </c>
      <c r="B83" s="462"/>
      <c r="C83" s="462"/>
      <c r="D83" s="49"/>
      <c r="E83" s="49"/>
      <c r="F83" s="49"/>
      <c r="G83" s="49"/>
      <c r="H83" s="49"/>
      <c r="I83" s="48"/>
    </row>
    <row r="84" ht="13.5" thickBot="1"/>
    <row r="85" spans="1:6" ht="76.5">
      <c r="A85" t="s">
        <v>743</v>
      </c>
      <c r="D85" s="46" t="s">
        <v>932</v>
      </c>
      <c r="E85" s="45" t="s">
        <v>1086</v>
      </c>
      <c r="F85" s="44" t="s">
        <v>928</v>
      </c>
    </row>
    <row r="86" spans="1:6" ht="13.5" thickBot="1">
      <c r="A86" t="s">
        <v>927</v>
      </c>
      <c r="B86" s="57"/>
      <c r="D86" s="43"/>
      <c r="E86" s="41"/>
      <c r="F86" s="40" t="s">
        <v>859</v>
      </c>
    </row>
    <row r="87" spans="1:6" ht="13.5" thickTop="1">
      <c r="A87" t="s">
        <v>858</v>
      </c>
      <c r="C87" s="30"/>
      <c r="D87" s="25">
        <v>2005</v>
      </c>
      <c r="E87" s="39"/>
      <c r="F87" s="38"/>
    </row>
    <row r="88" spans="1:6" ht="12.75">
      <c r="A88" t="s">
        <v>857</v>
      </c>
      <c r="B88" s="37">
        <v>573</v>
      </c>
      <c r="D88" s="25">
        <v>2006</v>
      </c>
      <c r="E88" s="23"/>
      <c r="F88" s="34"/>
    </row>
    <row r="89" spans="1:6" ht="12.75">
      <c r="A89" t="s">
        <v>856</v>
      </c>
      <c r="B89" s="37">
        <v>2008</v>
      </c>
      <c r="D89" s="25">
        <v>2007</v>
      </c>
      <c r="E89" s="23"/>
      <c r="F89" s="34"/>
    </row>
    <row r="90" spans="3:6" ht="12.75">
      <c r="C90" s="35"/>
      <c r="D90" s="25">
        <v>2008</v>
      </c>
      <c r="E90" s="23"/>
      <c r="F90" s="34"/>
    </row>
    <row r="91" spans="3:6" ht="12.75">
      <c r="C91" s="30"/>
      <c r="D91" s="25">
        <v>2009</v>
      </c>
      <c r="E91" s="22">
        <f>17*10^9</f>
        <v>17000000000</v>
      </c>
      <c r="F91" s="21">
        <f>IF(ISERR(B88*E91),"",((B88*E91)))</f>
        <v>9741000000000</v>
      </c>
    </row>
    <row r="92" spans="3:6" ht="12.75">
      <c r="C92" s="30"/>
      <c r="D92" s="25">
        <v>2010</v>
      </c>
      <c r="E92" s="22">
        <v>17000000000</v>
      </c>
      <c r="F92" s="21">
        <f>IF(ISERR(B88*E92),"",((B88*E92)))</f>
        <v>9741000000000</v>
      </c>
    </row>
    <row r="93" spans="4:6" ht="12.75">
      <c r="D93" s="25">
        <v>2011</v>
      </c>
      <c r="E93" s="22">
        <v>17000000000</v>
      </c>
      <c r="F93" s="21">
        <f>IF(ISERR(B88*E93),"",((B88*E93)))</f>
        <v>9741000000000</v>
      </c>
    </row>
    <row r="94" spans="4:6" ht="12.75">
      <c r="D94" s="25">
        <v>2012</v>
      </c>
      <c r="E94" s="22">
        <v>17000000000</v>
      </c>
      <c r="F94" s="21">
        <f>IF(ISERR(B88*E94),"",((B88*E94)))</f>
        <v>9741000000000</v>
      </c>
    </row>
    <row r="95" spans="4:6" ht="12.75">
      <c r="D95" s="25">
        <v>2013</v>
      </c>
      <c r="E95" s="22">
        <v>17000000000</v>
      </c>
      <c r="F95" s="21">
        <f>IF(ISERR(B88*E95),"",((B88*E95)))</f>
        <v>9741000000000</v>
      </c>
    </row>
    <row r="96" spans="1:6" ht="12.75">
      <c r="A96" t="s">
        <v>915</v>
      </c>
      <c r="B96" s="27">
        <f>F91</f>
        <v>9741000000000</v>
      </c>
      <c r="D96" s="25">
        <v>2014</v>
      </c>
      <c r="E96" s="22">
        <v>17000000000</v>
      </c>
      <c r="F96" s="21">
        <f>IF(ISERR(B88*E96),"",((B88*E96)))</f>
        <v>9741000000000</v>
      </c>
    </row>
    <row r="97" spans="1:6" ht="12.75">
      <c r="A97" t="s">
        <v>914</v>
      </c>
      <c r="B97" s="27">
        <f>SUM(F91:F112)</f>
        <v>214302000000000</v>
      </c>
      <c r="D97" s="25">
        <v>2015</v>
      </c>
      <c r="E97" s="22">
        <v>17000000000</v>
      </c>
      <c r="F97" s="21">
        <f>IF(ISERR(B88*E97),"",((B88*E97)))</f>
        <v>9741000000000</v>
      </c>
    </row>
    <row r="98" spans="1:6" ht="12.75">
      <c r="A98" t="s">
        <v>1068</v>
      </c>
      <c r="B98" s="26">
        <f>B96/(10^12)</f>
        <v>9.741</v>
      </c>
      <c r="D98" s="25">
        <v>2016</v>
      </c>
      <c r="E98" s="22">
        <v>17000000000</v>
      </c>
      <c r="F98" s="21">
        <f>IF(ISERR(B88*E98),"",((B88*E98)))</f>
        <v>9741000000000</v>
      </c>
    </row>
    <row r="99" spans="1:6" ht="12.75">
      <c r="A99" t="s">
        <v>1067</v>
      </c>
      <c r="B99" s="26">
        <f>B97/(10^12)</f>
        <v>214.302</v>
      </c>
      <c r="D99" s="25">
        <v>2017</v>
      </c>
      <c r="E99" s="22">
        <v>17000000000</v>
      </c>
      <c r="F99" s="21">
        <f>IF(ISERR(B88*E99),"",((B88*E99)))</f>
        <v>9741000000000</v>
      </c>
    </row>
    <row r="100" spans="4:6" ht="12.75">
      <c r="D100" s="25">
        <v>2018</v>
      </c>
      <c r="E100" s="22">
        <v>17000000000</v>
      </c>
      <c r="F100" s="21">
        <f>IF(ISERR(B88*E100),"",((B88*E100)))</f>
        <v>9741000000000</v>
      </c>
    </row>
    <row r="101" spans="4:6" ht="12.75">
      <c r="D101" s="25">
        <v>2019</v>
      </c>
      <c r="E101" s="22">
        <v>17000000000</v>
      </c>
      <c r="F101" s="21">
        <f>IF(ISERR(B88*E101),"",((B88*E101)))</f>
        <v>9741000000000</v>
      </c>
    </row>
    <row r="102" spans="4:6" ht="12.75">
      <c r="D102" s="25">
        <v>2020</v>
      </c>
      <c r="E102" s="22">
        <v>17000000000</v>
      </c>
      <c r="F102" s="21">
        <f>IF(ISERR(B88*E102),"",((B88*E102)))</f>
        <v>9741000000000</v>
      </c>
    </row>
    <row r="103" spans="4:6" ht="12.75">
      <c r="D103" s="25">
        <v>2021</v>
      </c>
      <c r="E103" s="22">
        <v>17000000000</v>
      </c>
      <c r="F103" s="21">
        <f>IF(ISERR(B88*E103),"",((B88*E103)))</f>
        <v>9741000000000</v>
      </c>
    </row>
    <row r="104" spans="4:6" ht="12.75">
      <c r="D104" s="25">
        <v>2022</v>
      </c>
      <c r="E104" s="22">
        <v>17000000000</v>
      </c>
      <c r="F104" s="21">
        <f>IF(ISERR(B88*E104),"",((B88*E104)))</f>
        <v>9741000000000</v>
      </c>
    </row>
    <row r="105" spans="4:6" ht="12.75">
      <c r="D105" s="25">
        <v>2023</v>
      </c>
      <c r="E105" s="22">
        <v>17000000000</v>
      </c>
      <c r="F105" s="21">
        <f>IF(ISERR(B88*E105),"",((B88*E105)))</f>
        <v>9741000000000</v>
      </c>
    </row>
    <row r="106" spans="4:6" ht="12.75">
      <c r="D106" s="25">
        <v>2024</v>
      </c>
      <c r="E106" s="22">
        <v>17000000000</v>
      </c>
      <c r="F106" s="21">
        <f>IF(ISERR(B88*E106),"",((B88*E106)))</f>
        <v>9741000000000</v>
      </c>
    </row>
    <row r="107" spans="4:6" ht="12.75">
      <c r="D107" s="25">
        <v>2025</v>
      </c>
      <c r="E107" s="22">
        <v>17000000000</v>
      </c>
      <c r="F107" s="21">
        <f>IF(ISERR(B88*E107),"",((B88*E107)))</f>
        <v>9741000000000</v>
      </c>
    </row>
    <row r="108" spans="4:6" ht="12.75">
      <c r="D108" s="25">
        <v>2026</v>
      </c>
      <c r="E108" s="22">
        <v>17000000000</v>
      </c>
      <c r="F108" s="21">
        <f>IF(ISERR(B88*E108),"",((B88*E108)))</f>
        <v>9741000000000</v>
      </c>
    </row>
    <row r="109" spans="4:6" ht="12.75">
      <c r="D109" s="25">
        <v>2027</v>
      </c>
      <c r="E109" s="22">
        <v>17000000000</v>
      </c>
      <c r="F109" s="21">
        <f>IF(ISERR(B88*E109),"",((B88*E109)))</f>
        <v>9741000000000</v>
      </c>
    </row>
    <row r="110" spans="4:6" ht="12.75">
      <c r="D110" s="25">
        <v>2028</v>
      </c>
      <c r="E110" s="22">
        <v>17000000000</v>
      </c>
      <c r="F110" s="21">
        <f>IF(ISERR(B88*E110),"",((B88*E110)))</f>
        <v>9741000000000</v>
      </c>
    </row>
    <row r="111" spans="4:6" ht="12.75">
      <c r="D111" s="25">
        <v>2029</v>
      </c>
      <c r="E111" s="22">
        <v>17000000000</v>
      </c>
      <c r="F111" s="21">
        <f>IF(ISERR(B88*E111),"",((B88*E111)))</f>
        <v>9741000000000</v>
      </c>
    </row>
    <row r="112" spans="4:6" ht="13.5" thickBot="1">
      <c r="D112" s="20">
        <v>2030</v>
      </c>
      <c r="E112" s="17">
        <v>17000000000</v>
      </c>
      <c r="F112" s="16">
        <f>IF(ISERR(B88*E112),"",((B88*E112)))</f>
        <v>9741000000000</v>
      </c>
    </row>
  </sheetData>
  <mergeCells count="14">
    <mergeCell ref="A48:F48"/>
    <mergeCell ref="A83:C83"/>
    <mergeCell ref="A49:C49"/>
    <mergeCell ref="A81:F81"/>
    <mergeCell ref="A82:F82"/>
    <mergeCell ref="A1:I1"/>
    <mergeCell ref="A45:F45"/>
    <mergeCell ref="A46:F46"/>
    <mergeCell ref="A47:F47"/>
    <mergeCell ref="A5:F5"/>
    <mergeCell ref="A6:F6"/>
    <mergeCell ref="A7:F7"/>
    <mergeCell ref="A8:F8"/>
    <mergeCell ref="A9:C9"/>
  </mergeCells>
  <hyperlinks>
    <hyperlink ref="A9" r:id="rId1" display="http://www.ren21.net/wiap/detail.asp?id=131"/>
    <hyperlink ref="A49" r:id="rId2" display="http://www.ren21.net/wiap/detail.asp?id=131"/>
    <hyperlink ref="A83" r:id="rId3" display="http://www.ren21.net/wiap/detail.asp?id=144"/>
    <hyperlink ref="D11" r:id="rId4" display="http://tonto.eia.doe.gov/country/country_energy_data.cfm?fips=TS"/>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NREL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Babiuch</dc:creator>
  <cp:keywords/>
  <dc:description/>
  <cp:lastModifiedBy>jleyshon</cp:lastModifiedBy>
  <dcterms:created xsi:type="dcterms:W3CDTF">2008-06-27T11:24:22Z</dcterms:created>
  <dcterms:modified xsi:type="dcterms:W3CDTF">2008-07-07T20:00:18Z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