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worksheets/sheet3.xml" ContentType="application/vnd.openxmlformats-officedocument.spreadsheetml.worksheet+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7.xml" ContentType="application/vnd.openxmlformats-officedocument.drawing+xml"/>
  <Override PartName="/xl/worksheets/sheet4.xml" ContentType="application/vnd.openxmlformats-officedocument.spreadsheetml.worksheet+xml"/>
  <Override PartName="/xl/chartsheets/sheet5.xml" ContentType="application/vnd.openxmlformats-officedocument.spreadsheetml.chartsheet+xml"/>
  <Override PartName="/xl/drawings/drawing9.xml" ContentType="application/vnd.openxmlformats-officedocument.drawing+xml"/>
  <Override PartName="/xl/worksheets/sheet5.xml" ContentType="application/vnd.openxmlformats-officedocument.spreadsheetml.worksheet+xml"/>
  <Override PartName="/xl/chartsheets/sheet6.xml" ContentType="application/vnd.openxmlformats-officedocument.spreadsheetml.chartsheet+xml"/>
  <Override PartName="/xl/drawings/drawing11.xml" ContentType="application/vnd.openxmlformats-officedocument.drawing+xml"/>
  <Override PartName="/xl/chartsheets/sheet7.xml" ContentType="application/vnd.openxmlformats-officedocument.spreadsheetml.chartsheet+xml"/>
  <Override PartName="/xl/drawings/drawing13.xml" ContentType="application/vnd.openxmlformats-officedocument.drawing+xml"/>
  <Override PartName="/xl/worksheets/sheet6.xml" ContentType="application/vnd.openxmlformats-officedocument.spreadsheetml.worksheet+xml"/>
  <Override PartName="/xl/drawings/drawing14.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8190" windowHeight="8625" firstSheet="6" activeTab="13"/>
  </bookViews>
  <sheets>
    <sheet name="General Info" sheetId="1" r:id="rId1"/>
    <sheet name="Photons" sheetId="2" r:id="rId2"/>
    <sheet name="compair" sheetId="3" r:id="rId3"/>
    <sheet name="photon Graph" sheetId="4" r:id="rId4"/>
    <sheet name="photon -dE" sheetId="5" r:id="rId5"/>
    <sheet name="photon length" sheetId="6" r:id="rId6"/>
    <sheet name="photon Flux and Length" sheetId="7" r:id="rId7"/>
    <sheet name="Electrons" sheetId="8" r:id="rId8"/>
    <sheet name="e graph" sheetId="9" r:id="rId9"/>
    <sheet name="e -dE" sheetId="10" r:id="rId10"/>
    <sheet name="e length" sheetId="11" r:id="rId11"/>
    <sheet name="e Flux and Length" sheetId="12" r:id="rId12"/>
    <sheet name="Sum Length" sheetId="13" r:id="rId13"/>
    <sheet name="BOTTOM LINE" sheetId="14" r:id="rId14"/>
  </sheets>
  <definedNames/>
  <calcPr fullCalcOnLoad="1"/>
</workbook>
</file>

<file path=xl/comments2.xml><?xml version="1.0" encoding="utf-8"?>
<comments xmlns="http://schemas.openxmlformats.org/spreadsheetml/2006/main">
  <authors>
    <author>David Gerstle</author>
  </authors>
  <commentList>
    <comment ref="H2" authorId="0">
      <text>
        <r>
          <rPr>
            <b/>
            <sz val="10"/>
            <rFont val="Tahoma"/>
            <family val="0"/>
          </rPr>
          <t xml:space="preserve">David Gerstle:
</t>
        </r>
        <r>
          <rPr>
            <sz val="10"/>
            <rFont val="Tahoma"/>
            <family val="2"/>
          </rPr>
          <t>Multiplied out from what is seen at left.</t>
        </r>
      </text>
    </comment>
    <comment ref="I2" authorId="0">
      <text>
        <r>
          <rPr>
            <b/>
            <sz val="10"/>
            <rFont val="Tahoma"/>
            <family val="0"/>
          </rPr>
          <t>David Gerstle:</t>
        </r>
        <r>
          <rPr>
            <sz val="10"/>
            <rFont val="Tahoma"/>
            <family val="0"/>
          </rPr>
          <t xml:space="preserve">
Multiplied out from what is seen at left.</t>
        </r>
      </text>
    </comment>
    <comment ref="J2" authorId="0">
      <text>
        <r>
          <rPr>
            <b/>
            <sz val="10"/>
            <rFont val="Tahoma"/>
            <family val="0"/>
          </rPr>
          <t>David Gerstle:</t>
        </r>
        <r>
          <rPr>
            <sz val="10"/>
            <rFont val="Tahoma"/>
            <family val="0"/>
          </rPr>
          <t xml:space="preserve">
Changed to meters rather than centimeters</t>
        </r>
      </text>
    </comment>
    <comment ref="K2" authorId="0">
      <text>
        <r>
          <rPr>
            <b/>
            <sz val="10"/>
            <rFont val="Tahoma"/>
            <family val="0"/>
          </rPr>
          <t>David Gerstle:</t>
        </r>
        <r>
          <rPr>
            <sz val="10"/>
            <rFont val="Tahoma"/>
            <family val="0"/>
          </rPr>
          <t xml:space="preserve">
Integral from E to 14 GeV; which might as well be infinity.</t>
        </r>
      </text>
    </comment>
    <comment ref="L2" authorId="0">
      <text>
        <r>
          <rPr>
            <b/>
            <sz val="10"/>
            <rFont val="Tahoma"/>
            <family val="0"/>
          </rPr>
          <t>David Gerstle:</t>
        </r>
        <r>
          <rPr>
            <sz val="10"/>
            <rFont val="Tahoma"/>
            <family val="0"/>
          </rPr>
          <t xml:space="preserve">
This and the following three columns are part of my own method of trying to correct for atmospheric depth in a way suggested by Beuermann and Wibberenz.  The values used in the correction are in the table directly below this one.  I eventually decided that my method was not adequate.</t>
        </r>
      </text>
    </comment>
    <comment ref="G21" authorId="0">
      <text>
        <r>
          <rPr>
            <b/>
            <sz val="10"/>
            <rFont val="Tahoma"/>
            <family val="0"/>
          </rPr>
          <t>David Gerstle:</t>
        </r>
        <r>
          <rPr>
            <sz val="10"/>
            <rFont val="Tahoma"/>
            <family val="0"/>
          </rPr>
          <t xml:space="preserve">
These are PDG and accepted values for the attenuation length of each particle in g/cm^2</t>
        </r>
      </text>
    </comment>
    <comment ref="G22" authorId="0">
      <text>
        <r>
          <rPr>
            <b/>
            <sz val="10"/>
            <rFont val="Tahoma"/>
            <family val="0"/>
          </rPr>
          <t>David Gerstle:</t>
        </r>
        <r>
          <rPr>
            <sz val="10"/>
            <rFont val="Tahoma"/>
            <family val="0"/>
          </rPr>
          <t xml:space="preserve">
This is the actual factor used in adjusting the original flux.  Values here are multiplied by the original flux, thereby scaling the original flux to the level they would be at the 'New Depth.'  There is an IF statement which decides wheter it is included or not based on the input of 'Included?'</t>
        </r>
      </text>
    </comment>
    <comment ref="G23" authorId="0">
      <text>
        <r>
          <rPr>
            <b/>
            <sz val="10"/>
            <rFont val="Tahoma"/>
            <family val="0"/>
          </rPr>
          <t>David Gerstle:</t>
        </r>
        <r>
          <rPr>
            <sz val="10"/>
            <rFont val="Tahoma"/>
            <family val="0"/>
          </rPr>
          <t xml:space="preserve">
The total factor for that component, taking into account the 'Scaling Factor.'  I came up with this formula by a purely geometrical argument.</t>
        </r>
      </text>
    </comment>
    <comment ref="G24" authorId="0">
      <text>
        <r>
          <rPr>
            <b/>
            <sz val="10"/>
            <rFont val="Tahoma"/>
            <family val="0"/>
          </rPr>
          <t>David Gerstle:</t>
        </r>
        <r>
          <rPr>
            <sz val="10"/>
            <rFont val="Tahoma"/>
            <family val="0"/>
          </rPr>
          <t xml:space="preserve">
Only an all-caps 'YES' input will allow this component to affect the end value.</t>
        </r>
      </text>
    </comment>
    <comment ref="G25" authorId="0">
      <text>
        <r>
          <rPr>
            <b/>
            <sz val="10"/>
            <rFont val="Tahoma"/>
            <family val="0"/>
          </rPr>
          <t>David Gerstle:</t>
        </r>
        <r>
          <rPr>
            <sz val="10"/>
            <rFont val="Tahoma"/>
            <family val="0"/>
          </rPr>
          <t xml:space="preserve">
The percentage of the total adjustment value that particular particle contributes.</t>
        </r>
      </text>
    </comment>
    <comment ref="G28" authorId="0">
      <text>
        <r>
          <rPr>
            <b/>
            <sz val="10"/>
            <rFont val="Tahoma"/>
            <family val="0"/>
          </rPr>
          <t>David Gerstle:</t>
        </r>
        <r>
          <rPr>
            <sz val="10"/>
            <rFont val="Tahoma"/>
            <family val="0"/>
          </rPr>
          <t xml:space="preserve">
This is the depth correction method I decided to use; it just multiplies the electron values by 1.5.</t>
        </r>
      </text>
    </comment>
  </commentList>
</comments>
</file>

<file path=xl/sharedStrings.xml><?xml version="1.0" encoding="utf-8"?>
<sst xmlns="http://schemas.openxmlformats.org/spreadsheetml/2006/main" count="273" uniqueCount="119">
  <si>
    <t>Energy (GeV)</t>
  </si>
  <si>
    <t>E</t>
  </si>
  <si>
    <t>dN/dE</t>
  </si>
  <si>
    <t>Differential Intensity dN/dE (cm^2 s sr GeV)^-1</t>
  </si>
  <si>
    <t>Photons</t>
  </si>
  <si>
    <t>Geomagnetic cutoff</t>
  </si>
  <si>
    <t>Atmospheric Depth</t>
  </si>
  <si>
    <t>4.5 GV</t>
  </si>
  <si>
    <t>760 g/cm^2</t>
  </si>
  <si>
    <t>photons in the atmosphere, Can. J. Phys., 46, S1034, 1968</t>
  </si>
  <si>
    <t>Electrons</t>
  </si>
  <si>
    <t>ESTAR: Stopping Powers and Range Tables for Electrons</t>
  </si>
  <si>
    <t>Kinetic Energy (MeV)</t>
  </si>
  <si>
    <t>Collision (MeV cm^2/g)</t>
  </si>
  <si>
    <t>Radiative (MeV cm^2/g)</t>
  </si>
  <si>
    <t>Total (MeV cm^2/g)</t>
  </si>
  <si>
    <t>Ar (Density=1.396 g/cm3) (I=188.0 eV)</t>
  </si>
  <si>
    <t>Density-Dependent Stopping Power -dE/dx</t>
  </si>
  <si>
    <t>dx/dE</t>
  </si>
  <si>
    <t>x (cm) to lower level as trapezoidal Integral of (dx/dE)*dE</t>
  </si>
  <si>
    <t>Total distance traveled x(E) (cm)</t>
  </si>
  <si>
    <t>Kinetic Energy (GeV)</t>
  </si>
  <si>
    <t>Collision (GeV cm^2/g)</t>
  </si>
  <si>
    <t>Radiative (GeV cm^2/g)</t>
  </si>
  <si>
    <t>Total (GeV cm^2/g)</t>
  </si>
  <si>
    <t>Total distance traveled x(E) (m)</t>
  </si>
  <si>
    <t>(dN*x(E))/dE</t>
  </si>
  <si>
    <t>N*x(E) from 0 to E</t>
  </si>
  <si>
    <t>Average x from 0 to E (m)</t>
  </si>
  <si>
    <t>The Bottom Line:</t>
  </si>
  <si>
    <t>N from 0 to E</t>
  </si>
  <si>
    <t>True -dE/dx (MeV/cm)</t>
  </si>
  <si>
    <t>Total Attenuation</t>
  </si>
  <si>
    <t>Scattering</t>
  </si>
  <si>
    <t>Pair Production</t>
  </si>
  <si>
    <t>Coherent (cm^2/g)</t>
  </si>
  <si>
    <t>Incoherent (cm^2/g)</t>
  </si>
  <si>
    <t>Photoelectric Absorbtion (cm^2/g)</t>
  </si>
  <si>
    <t>In Nuclear Field (cm^2/g)</t>
  </si>
  <si>
    <t>In Electron Field (cm^2/g)</t>
  </si>
  <si>
    <t>w/Coherent Scattering (cm^2/g)</t>
  </si>
  <si>
    <t>w/o Coherent Scattering (cm^2/g)</t>
  </si>
  <si>
    <t>Total Pair Production (cm^2/g)</t>
  </si>
  <si>
    <t>Differential Flux dN/dE (GeV m^2 s sr)^-1</t>
  </si>
  <si>
    <t>(dN*x(E))/dE (GeV m s sr)^-1</t>
  </si>
  <si>
    <t>N*x(E) (m s sr)^-1</t>
  </si>
  <si>
    <t>N from 0 to E (m^2 s sr)^-1</t>
  </si>
  <si>
    <t>Average x(E) from 0 to E</t>
  </si>
  <si>
    <t>These are data from NIST XCOM: Photon Cross Sect. Database</t>
  </si>
  <si>
    <t>These are my calucations from those data</t>
  </si>
  <si>
    <t>Production length dx/dn=x(E) (m/photon)</t>
  </si>
  <si>
    <t>Differential Flux dN/dE (m^2 s sr GeV)^-1</t>
  </si>
  <si>
    <t>Differential Flux dN/dE (cm^2 s sr GeV)^-1</t>
  </si>
  <si>
    <t>Integral Flux (dN/dE)*dE from 0 to E(m^2 s sr)^-1</t>
  </si>
  <si>
    <t xml:space="preserve">Beuermann and Wibberenz, Seconday spectra of electrons and </t>
  </si>
  <si>
    <t>Real Total Pair Production dn/dx (photons/m)</t>
  </si>
  <si>
    <t>Slope</t>
  </si>
  <si>
    <t>LOG10 of Energy</t>
  </si>
  <si>
    <t>LOG10 of dN/dE</t>
  </si>
  <si>
    <t>Average</t>
  </si>
  <si>
    <t>From 0.9GeV to 14 GeV</t>
  </si>
  <si>
    <t>From 0.09GeV to 0.9 GeV</t>
  </si>
  <si>
    <t>Differential Flux dN/dE (cm^2 s sr GeV)^-1 @ 760g/cm^2</t>
  </si>
  <si>
    <t>New Depth g/cm^2</t>
  </si>
  <si>
    <t>X_0 g/cm^2</t>
  </si>
  <si>
    <t>(9/7)*X_0 g/cm^2</t>
  </si>
  <si>
    <t>Real Total Pair Production dn/dx (cm^-1)</t>
  </si>
  <si>
    <t>Electron</t>
  </si>
  <si>
    <t>Gamma</t>
  </si>
  <si>
    <t>g/cm^2</t>
  </si>
  <si>
    <t>Muon</t>
  </si>
  <si>
    <t>Pion</t>
  </si>
  <si>
    <t>N/A</t>
  </si>
  <si>
    <t>dN/dE Total Correction (cm^2 s sr GeV)^-1</t>
  </si>
  <si>
    <t>dN/dE Correction for pion component (cm^2 s sr GeV)^-1</t>
  </si>
  <si>
    <t>dN/dE Correction for gamma component (cm^2 s sr GeV)^-1</t>
  </si>
  <si>
    <t>dN/dE Correction for e component (cm^2 s sr GeV)^-1</t>
  </si>
  <si>
    <t>dN/dE Correction for muon component (cm^2 s sr GeV)^-1</t>
  </si>
  <si>
    <t>dN/dE Correction (m^2 s sr GeV)^-1</t>
  </si>
  <si>
    <t>True -dE/dx (GeV/cm)</t>
  </si>
  <si>
    <t>Included?</t>
  </si>
  <si>
    <t>Value</t>
  </si>
  <si>
    <t>NO</t>
  </si>
  <si>
    <t>YES</t>
  </si>
  <si>
    <t>Scaling factor</t>
  </si>
  <si>
    <t>Attenuation Length</t>
  </si>
  <si>
    <t>Factor</t>
  </si>
  <si>
    <t>Depth of Peak Flux g/cm^2</t>
  </si>
  <si>
    <t>Angle (degrees)</t>
  </si>
  <si>
    <t>Integral Flux (dN/dE)*dE from E to 60 GeV (m^2 s sr)^-1</t>
  </si>
  <si>
    <t>Electron dN/dE</t>
  </si>
  <si>
    <t>Photon dN/dE</t>
  </si>
  <si>
    <t>Electron N</t>
  </si>
  <si>
    <t>Photon N</t>
  </si>
  <si>
    <t>N from E to 14</t>
  </si>
  <si>
    <t>dN/dE (m^2 s sr GeV)^-1</t>
  </si>
  <si>
    <t>C</t>
  </si>
  <si>
    <t>CE^r</t>
  </si>
  <si>
    <t>Integral Flux (m^2 s sr)^-1</t>
  </si>
  <si>
    <t>Energy Range (GeV)</t>
  </si>
  <si>
    <t>-</t>
  </si>
  <si>
    <t>TAKEN AS 1.5*ELECTRONS:</t>
  </si>
  <si>
    <t>Range of lower Energy (m)</t>
  </si>
  <si>
    <t xml:space="preserve">Kinetic  </t>
  </si>
  <si>
    <t xml:space="preserve">CSDA     </t>
  </si>
  <si>
    <t xml:space="preserve">Energy   </t>
  </si>
  <si>
    <t xml:space="preserve">Range    </t>
  </si>
  <si>
    <t xml:space="preserve">MeV      </t>
  </si>
  <si>
    <t xml:space="preserve">g/cm2    </t>
  </si>
  <si>
    <t>ARGON</t>
  </si>
  <si>
    <t>Gammas</t>
  </si>
  <si>
    <t>In Nuclear</t>
  </si>
  <si>
    <t>In Electron</t>
  </si>
  <si>
    <t>MeV</t>
  </si>
  <si>
    <t>cm2/g</t>
  </si>
  <si>
    <t>inverse of sum</t>
  </si>
  <si>
    <t>Length</t>
  </si>
  <si>
    <t>m</t>
  </si>
  <si>
    <t>Energy (MeV)</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</si>
</sst>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0000"/>
    <numFmt numFmtId="169" formatCode="0.0000000"/>
    <numFmt numFmtId="170" formatCode="0.000000"/>
    <numFmt numFmtId="171" formatCode="0.00000"/>
    <numFmt numFmtId="172" formatCode="0.0000"/>
    <numFmt numFmtId="173" formatCode="0.000"/>
    <numFmt numFmtId="174" formatCode="0.0"/>
    <numFmt numFmtId="175" formatCode="0.0E+00"/>
  </numFmts>
  <fonts count="14">
    <font>
      <sz val="10"/>
      <name val="Arial"/>
      <family val="0"/>
    </font>
    <font>
      <sz val="8"/>
      <name val="Arial"/>
      <family val="0"/>
    </font>
    <font>
      <sz val="20"/>
      <name val="Arial"/>
      <family val="0"/>
    </font>
    <font>
      <b/>
      <sz val="12"/>
      <name val="Arial"/>
      <family val="0"/>
    </font>
    <font>
      <b/>
      <sz val="10"/>
      <name val="Arial"/>
      <family val="0"/>
    </font>
    <font>
      <i/>
      <sz val="15"/>
      <name val="Arial"/>
      <family val="2"/>
    </font>
    <font>
      <u val="single"/>
      <sz val="10"/>
      <color indexed="12"/>
      <name val="Arial"/>
      <family val="0"/>
    </font>
    <font>
      <u val="single"/>
      <sz val="10"/>
      <color indexed="36"/>
      <name val="Arial"/>
      <family val="0"/>
    </font>
    <font>
      <sz val="16.25"/>
      <name val="Arial"/>
      <family val="0"/>
    </font>
    <font>
      <b/>
      <sz val="16.25"/>
      <name val="Arial"/>
      <family val="0"/>
    </font>
    <font>
      <sz val="10"/>
      <name val="Tahoma"/>
      <family val="0"/>
    </font>
    <font>
      <b/>
      <sz val="10"/>
      <name val="Tahoma"/>
      <family val="0"/>
    </font>
    <font>
      <i/>
      <sz val="10"/>
      <name val="Arial"/>
      <family val="2"/>
    </font>
    <font>
      <b/>
      <sz val="8"/>
      <name val="Arial"/>
      <family val="2"/>
    </font>
  </fonts>
  <fills count="2">
    <fill>
      <patternFill/>
    </fill>
    <fill>
      <patternFill patternType="gray125"/>
    </fill>
  </fills>
  <borders count="10">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60">
    <xf numFmtId="0" fontId="0" fillId="0" borderId="0" xfId="0" applyAlignment="1">
      <alignment/>
    </xf>
    <xf numFmtId="0" fontId="0" fillId="0" borderId="0" xfId="0" applyAlignment="1">
      <alignment horizontal="center"/>
    </xf>
    <xf numFmtId="0" fontId="0" fillId="0" borderId="0" xfId="0" applyAlignment="1">
      <alignment horizontal="center" wrapText="1"/>
    </xf>
    <xf numFmtId="0" fontId="0" fillId="0" borderId="1" xfId="0" applyBorder="1" applyAlignment="1">
      <alignment horizontal="center" wrapText="1"/>
    </xf>
    <xf numFmtId="0" fontId="0" fillId="0" borderId="1" xfId="0" applyBorder="1" applyAlignment="1">
      <alignment horizontal="center"/>
    </xf>
    <xf numFmtId="0" fontId="0" fillId="0" borderId="1" xfId="0" applyBorder="1" applyAlignment="1">
      <alignment/>
    </xf>
    <xf numFmtId="0" fontId="0" fillId="0" borderId="2" xfId="0" applyBorder="1" applyAlignment="1">
      <alignment horizontal="right"/>
    </xf>
    <xf numFmtId="0" fontId="0" fillId="0" borderId="3" xfId="0" applyBorder="1" applyAlignment="1">
      <alignment horizontal="center"/>
    </xf>
    <xf numFmtId="0" fontId="0" fillId="0" borderId="3" xfId="0" applyBorder="1" applyAlignment="1">
      <alignment horizontal="center" wrapText="1"/>
    </xf>
    <xf numFmtId="0" fontId="0" fillId="0" borderId="4" xfId="0" applyBorder="1" applyAlignment="1">
      <alignment horizontal="left" wrapText="1"/>
    </xf>
    <xf numFmtId="0" fontId="0" fillId="0" borderId="4" xfId="0" applyBorder="1" applyAlignment="1">
      <alignment horizontal="left"/>
    </xf>
    <xf numFmtId="0" fontId="0" fillId="0" borderId="2" xfId="0" applyBorder="1" applyAlignment="1">
      <alignment horizontal="right" wrapText="1"/>
    </xf>
    <xf numFmtId="0" fontId="0" fillId="0" borderId="0" xfId="0" applyAlignment="1">
      <alignment wrapText="1"/>
    </xf>
    <xf numFmtId="0" fontId="2" fillId="0" borderId="0" xfId="0" applyFont="1" applyAlignment="1">
      <alignment horizontal="center"/>
    </xf>
    <xf numFmtId="0" fontId="0" fillId="0" borderId="3" xfId="0" applyFill="1" applyBorder="1" applyAlignment="1">
      <alignment horizontal="center"/>
    </xf>
    <xf numFmtId="0" fontId="0" fillId="0" borderId="1" xfId="0" applyFill="1" applyBorder="1" applyAlignment="1">
      <alignment horizontal="center"/>
    </xf>
    <xf numFmtId="0" fontId="2" fillId="0" borderId="0" xfId="0" applyFont="1" applyAlignment="1">
      <alignment/>
    </xf>
    <xf numFmtId="11" fontId="0" fillId="0" borderId="0" xfId="0" applyNumberFormat="1" applyAlignment="1">
      <alignment/>
    </xf>
    <xf numFmtId="0" fontId="0" fillId="0" borderId="0" xfId="0" applyNumberFormat="1" applyAlignment="1">
      <alignment/>
    </xf>
    <xf numFmtId="0" fontId="2" fillId="0" borderId="0" xfId="0" applyFont="1" applyAlignment="1">
      <alignment horizontal="left"/>
    </xf>
    <xf numFmtId="0" fontId="0" fillId="0" borderId="1" xfId="0" applyNumberFormat="1" applyBorder="1" applyAlignment="1">
      <alignment/>
    </xf>
    <xf numFmtId="11" fontId="0" fillId="0" borderId="0" xfId="0" applyNumberFormat="1" applyAlignment="1">
      <alignment horizontal="center"/>
    </xf>
    <xf numFmtId="0" fontId="0" fillId="0" borderId="0" xfId="0" applyNumberFormat="1" applyAlignment="1">
      <alignment horizontal="center"/>
    </xf>
    <xf numFmtId="0" fontId="5" fillId="0" borderId="5" xfId="0" applyNumberFormat="1" applyFont="1" applyBorder="1" applyAlignment="1">
      <alignment horizontal="center"/>
    </xf>
    <xf numFmtId="0" fontId="0" fillId="0" borderId="5" xfId="0" applyBorder="1" applyAlignment="1">
      <alignment horizontal="center" wrapText="1"/>
    </xf>
    <xf numFmtId="0" fontId="0" fillId="0" borderId="5" xfId="0" applyNumberFormat="1" applyBorder="1" applyAlignment="1">
      <alignment horizontal="center"/>
    </xf>
    <xf numFmtId="0" fontId="0" fillId="0" borderId="1" xfId="0" applyBorder="1" applyAlignment="1">
      <alignment horizontal="right"/>
    </xf>
    <xf numFmtId="11" fontId="0" fillId="0" borderId="1" xfId="0" applyNumberFormat="1" applyBorder="1" applyAlignment="1">
      <alignment/>
    </xf>
    <xf numFmtId="11" fontId="0" fillId="0" borderId="0" xfId="0" applyNumberFormat="1" applyBorder="1" applyAlignment="1">
      <alignment/>
    </xf>
    <xf numFmtId="0" fontId="0" fillId="0" borderId="0" xfId="0" applyBorder="1" applyAlignment="1">
      <alignment/>
    </xf>
    <xf numFmtId="0" fontId="0" fillId="0" borderId="0" xfId="0" applyNumberFormat="1" applyBorder="1" applyAlignment="1">
      <alignment/>
    </xf>
    <xf numFmtId="0" fontId="0" fillId="0" borderId="0" xfId="0" applyNumberFormat="1" applyBorder="1" applyAlignment="1">
      <alignment horizontal="center"/>
    </xf>
    <xf numFmtId="0" fontId="0" fillId="0" borderId="0" xfId="0" applyAlignment="1">
      <alignment horizontal="left"/>
    </xf>
    <xf numFmtId="0" fontId="0" fillId="0" borderId="0" xfId="0" applyBorder="1" applyAlignment="1">
      <alignment horizontal="center"/>
    </xf>
    <xf numFmtId="0" fontId="0" fillId="0" borderId="0" xfId="0" applyFill="1" applyBorder="1" applyAlignment="1">
      <alignment horizontal="center"/>
    </xf>
    <xf numFmtId="0" fontId="0" fillId="0" borderId="6" xfId="0" applyBorder="1" applyAlignment="1">
      <alignment horizontal="center"/>
    </xf>
    <xf numFmtId="0" fontId="0" fillId="0" borderId="1" xfId="0" applyFont="1" applyBorder="1" applyAlignment="1">
      <alignment horizontal="center"/>
    </xf>
    <xf numFmtId="172" fontId="0" fillId="0" borderId="1" xfId="0" applyNumberFormat="1" applyFont="1" applyBorder="1" applyAlignment="1">
      <alignment horizontal="center"/>
    </xf>
    <xf numFmtId="2" fontId="0" fillId="0" borderId="1" xfId="0" applyNumberFormat="1" applyFont="1" applyBorder="1" applyAlignment="1">
      <alignment horizontal="center"/>
    </xf>
    <xf numFmtId="174" fontId="0" fillId="0" borderId="1" xfId="0" applyNumberFormat="1" applyFont="1" applyBorder="1" applyAlignment="1">
      <alignment horizontal="center"/>
    </xf>
    <xf numFmtId="1" fontId="0" fillId="0" borderId="1" xfId="0" applyNumberFormat="1" applyFont="1" applyBorder="1" applyAlignment="1">
      <alignment horizontal="center"/>
    </xf>
    <xf numFmtId="0" fontId="0" fillId="0" borderId="0" xfId="0" applyAlignment="1">
      <alignment/>
    </xf>
    <xf numFmtId="0" fontId="12" fillId="0" borderId="1" xfId="0" applyFont="1" applyBorder="1" applyAlignment="1">
      <alignment horizontal="center"/>
    </xf>
    <xf numFmtId="0" fontId="12" fillId="0" borderId="1" xfId="0" applyFont="1" applyBorder="1" applyAlignment="1">
      <alignment horizontal="center" wrapText="1"/>
    </xf>
    <xf numFmtId="0" fontId="12" fillId="0" borderId="2" xfId="0" applyFont="1" applyBorder="1" applyAlignment="1">
      <alignment horizontal="right"/>
    </xf>
    <xf numFmtId="0" fontId="12" fillId="0" borderId="4" xfId="0" applyFont="1" applyBorder="1" applyAlignment="1">
      <alignment horizontal="right"/>
    </xf>
    <xf numFmtId="0" fontId="12" fillId="0" borderId="7" xfId="0" applyFont="1" applyBorder="1" applyAlignment="1">
      <alignment horizontal="center"/>
    </xf>
    <xf numFmtId="0" fontId="12" fillId="0" borderId="8" xfId="0" applyFont="1" applyBorder="1" applyAlignment="1">
      <alignment horizontal="center"/>
    </xf>
    <xf numFmtId="0" fontId="12" fillId="0" borderId="7" xfId="0" applyFont="1" applyBorder="1" applyAlignment="1">
      <alignment horizontal="center" wrapText="1"/>
    </xf>
    <xf numFmtId="0" fontId="12" fillId="0" borderId="8" xfId="0" applyFont="1" applyBorder="1" applyAlignment="1">
      <alignment horizontal="center" wrapText="1"/>
    </xf>
    <xf numFmtId="0" fontId="0" fillId="0" borderId="1" xfId="0" applyBorder="1" applyAlignment="1">
      <alignment horizontal="center" wrapText="1"/>
    </xf>
    <xf numFmtId="0" fontId="2" fillId="0" borderId="9" xfId="0" applyFont="1" applyBorder="1" applyAlignment="1">
      <alignment horizontal="center"/>
    </xf>
    <xf numFmtId="0" fontId="5" fillId="0" borderId="1" xfId="0" applyNumberFormat="1" applyFont="1" applyBorder="1" applyAlignment="1">
      <alignment horizontal="center"/>
    </xf>
    <xf numFmtId="0" fontId="5" fillId="0" borderId="1" xfId="0" applyFont="1" applyBorder="1" applyAlignment="1">
      <alignment horizontal="center"/>
    </xf>
    <xf numFmtId="0" fontId="0" fillId="0" borderId="7" xfId="0" applyBorder="1" applyAlignment="1">
      <alignment horizontal="center" wrapText="1"/>
    </xf>
    <xf numFmtId="0" fontId="0" fillId="0" borderId="8" xfId="0" applyBorder="1" applyAlignment="1">
      <alignment horizontal="center" wrapText="1"/>
    </xf>
    <xf numFmtId="0" fontId="0" fillId="0" borderId="0" xfId="0" applyAlignment="1">
      <alignment horizontal="center"/>
    </xf>
    <xf numFmtId="0" fontId="0" fillId="0" borderId="1" xfId="0" applyFont="1" applyBorder="1" applyAlignment="1">
      <alignment horizontal="center" vertical="center"/>
    </xf>
    <xf numFmtId="0" fontId="2" fillId="0" borderId="0" xfId="0" applyFont="1" applyAlignment="1">
      <alignment horizontal="center"/>
    </xf>
    <xf numFmtId="0" fontId="0" fillId="0" borderId="1"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chartsheet" Target="chartsheets/sheet2.xml" /><Relationship Id="rId5" Type="http://schemas.openxmlformats.org/officeDocument/2006/relationships/worksheet" Target="worksheets/sheet3.xml" /><Relationship Id="rId6" Type="http://schemas.openxmlformats.org/officeDocument/2006/relationships/chartsheet" Target="chartsheets/sheet3.xml" /><Relationship Id="rId7" Type="http://schemas.openxmlformats.org/officeDocument/2006/relationships/chartsheet" Target="chartsheets/sheet4.xml" /><Relationship Id="rId8" Type="http://schemas.openxmlformats.org/officeDocument/2006/relationships/worksheet" Target="worksheets/sheet4.xml" /><Relationship Id="rId9" Type="http://schemas.openxmlformats.org/officeDocument/2006/relationships/chartsheet" Target="chartsheets/sheet5.xml" /><Relationship Id="rId10" Type="http://schemas.openxmlformats.org/officeDocument/2006/relationships/worksheet" Target="worksheets/sheet5.xml" /><Relationship Id="rId11" Type="http://schemas.openxmlformats.org/officeDocument/2006/relationships/chartsheet" Target="chartsheets/sheet6.xml" /><Relationship Id="rId12" Type="http://schemas.openxmlformats.org/officeDocument/2006/relationships/chartsheet" Target="chartsheets/sheet7.xml" /><Relationship Id="rId13" Type="http://schemas.openxmlformats.org/officeDocument/2006/relationships/worksheet" Target="worksheets/sheet6.xml" /><Relationship Id="rId14" Type="http://schemas.openxmlformats.org/officeDocument/2006/relationships/worksheet" Target="worksheets/sheet7.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Electron and Photon Depth-Adjusted Integral from E to 60 GeV Fluxes as a function of Energy</a:t>
            </a:r>
          </a:p>
        </c:rich>
      </c:tx>
      <c:layout/>
      <c:spPr>
        <a:noFill/>
        <a:ln>
          <a:noFill/>
        </a:ln>
      </c:spPr>
    </c:title>
    <c:plotArea>
      <c:layout/>
      <c:scatterChart>
        <c:scatterStyle val="lineMarker"/>
        <c:varyColors val="0"/>
        <c:ser>
          <c:idx val="0"/>
          <c:order val="0"/>
          <c:tx>
            <c:v>Photon N</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Photons!$H$30:$H$46</c:f>
              <c:numCache>
                <c:ptCount val="17"/>
                <c:pt idx="0">
                  <c:v>0.015</c:v>
                </c:pt>
                <c:pt idx="1">
                  <c:v>0.02</c:v>
                </c:pt>
                <c:pt idx="2">
                  <c:v>0.03</c:v>
                </c:pt>
                <c:pt idx="3">
                  <c:v>0.09</c:v>
                </c:pt>
                <c:pt idx="4">
                  <c:v>0.11000000000000001</c:v>
                </c:pt>
                <c:pt idx="5">
                  <c:v>0.17</c:v>
                </c:pt>
                <c:pt idx="6">
                  <c:v>0.24</c:v>
                </c:pt>
                <c:pt idx="7">
                  <c:v>0.30000000000000004</c:v>
                </c:pt>
                <c:pt idx="8">
                  <c:v>0.41</c:v>
                </c:pt>
                <c:pt idx="9">
                  <c:v>0.6000000000000001</c:v>
                </c:pt>
                <c:pt idx="10">
                  <c:v>0.8500000000000001</c:v>
                </c:pt>
                <c:pt idx="11">
                  <c:v>1.2</c:v>
                </c:pt>
                <c:pt idx="12">
                  <c:v>1.8</c:v>
                </c:pt>
                <c:pt idx="13">
                  <c:v>2.5</c:v>
                </c:pt>
                <c:pt idx="14">
                  <c:v>3.8</c:v>
                </c:pt>
                <c:pt idx="15">
                  <c:v>7</c:v>
                </c:pt>
                <c:pt idx="16">
                  <c:v>13</c:v>
                </c:pt>
              </c:numCache>
            </c:numRef>
          </c:xVal>
          <c:yVal>
            <c:numRef>
              <c:f>Photons!$L$30:$L$46</c:f>
              <c:numCache>
                <c:ptCount val="17"/>
                <c:pt idx="0">
                  <c:v>61.1086776948124</c:v>
                </c:pt>
                <c:pt idx="1">
                  <c:v>52.166812844512975</c:v>
                </c:pt>
                <c:pt idx="2">
                  <c:v>40.95611661428683</c:v>
                </c:pt>
                <c:pt idx="3">
                  <c:v>13.730140055166187</c:v>
                </c:pt>
                <c:pt idx="4">
                  <c:v>11.434616541357974</c:v>
                </c:pt>
                <c:pt idx="5">
                  <c:v>8.07140767229013</c:v>
                </c:pt>
                <c:pt idx="6">
                  <c:v>5.8292684262449015</c:v>
                </c:pt>
                <c:pt idx="7">
                  <c:v>4.868351606511231</c:v>
                </c:pt>
                <c:pt idx="8">
                  <c:v>3.7526204102649148</c:v>
                </c:pt>
                <c:pt idx="9">
                  <c:v>2.4340289965192667</c:v>
                </c:pt>
                <c:pt idx="10">
                  <c:v>1.5665346453708149</c:v>
                </c:pt>
                <c:pt idx="11">
                  <c:v>0.9312618589913335</c:v>
                </c:pt>
                <c:pt idx="12">
                  <c:v>0.530879850768971</c:v>
                </c:pt>
                <c:pt idx="13">
                  <c:v>0.31974507176637856</c:v>
                </c:pt>
                <c:pt idx="14">
                  <c:v>0.14277622413209443</c:v>
                </c:pt>
                <c:pt idx="15">
                  <c:v>0.06248628541657001</c:v>
                </c:pt>
                <c:pt idx="16">
                  <c:v>0.03638137848047199</c:v>
                </c:pt>
              </c:numCache>
            </c:numRef>
          </c:yVal>
          <c:smooth val="0"/>
        </c:ser>
        <c:ser>
          <c:idx val="1"/>
          <c:order val="1"/>
          <c:tx>
            <c:v>Electron N</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Electrons!$H$3:$H$19</c:f>
              <c:numCache>
                <c:ptCount val="17"/>
                <c:pt idx="0">
                  <c:v>0.015</c:v>
                </c:pt>
                <c:pt idx="1">
                  <c:v>0.02</c:v>
                </c:pt>
                <c:pt idx="2">
                  <c:v>0.03</c:v>
                </c:pt>
                <c:pt idx="3">
                  <c:v>0.09</c:v>
                </c:pt>
                <c:pt idx="4">
                  <c:v>0.11000000000000001</c:v>
                </c:pt>
                <c:pt idx="5">
                  <c:v>0.17</c:v>
                </c:pt>
                <c:pt idx="6">
                  <c:v>0.24</c:v>
                </c:pt>
                <c:pt idx="7">
                  <c:v>0.30000000000000004</c:v>
                </c:pt>
                <c:pt idx="8">
                  <c:v>0.41</c:v>
                </c:pt>
                <c:pt idx="9">
                  <c:v>0.6000000000000001</c:v>
                </c:pt>
                <c:pt idx="10">
                  <c:v>0.8500000000000001</c:v>
                </c:pt>
                <c:pt idx="11">
                  <c:v>1.2</c:v>
                </c:pt>
                <c:pt idx="12">
                  <c:v>1.8</c:v>
                </c:pt>
                <c:pt idx="13">
                  <c:v>2.5</c:v>
                </c:pt>
                <c:pt idx="14">
                  <c:v>3.8</c:v>
                </c:pt>
                <c:pt idx="15">
                  <c:v>7</c:v>
                </c:pt>
                <c:pt idx="16">
                  <c:v>13</c:v>
                </c:pt>
              </c:numCache>
            </c:numRef>
          </c:xVal>
          <c:yVal>
            <c:numRef>
              <c:f>Electrons!$R$3:$R$19</c:f>
              <c:numCache>
                <c:ptCount val="17"/>
                <c:pt idx="0">
                  <c:v>40.73911846320827</c:v>
                </c:pt>
                <c:pt idx="1">
                  <c:v>34.77787522967532</c:v>
                </c:pt>
                <c:pt idx="2">
                  <c:v>27.304077742857885</c:v>
                </c:pt>
                <c:pt idx="3">
                  <c:v>9.153426703444124</c:v>
                </c:pt>
                <c:pt idx="4">
                  <c:v>7.623077694238649</c:v>
                </c:pt>
                <c:pt idx="5">
                  <c:v>5.38093844819342</c:v>
                </c:pt>
                <c:pt idx="6">
                  <c:v>3.886178950829934</c:v>
                </c:pt>
                <c:pt idx="7">
                  <c:v>3.2455677376741536</c:v>
                </c:pt>
                <c:pt idx="8">
                  <c:v>2.5017469401766097</c:v>
                </c:pt>
                <c:pt idx="9">
                  <c:v>1.6226859976795112</c:v>
                </c:pt>
                <c:pt idx="10">
                  <c:v>1.04435643024721</c:v>
                </c:pt>
                <c:pt idx="11">
                  <c:v>0.6208412393275556</c:v>
                </c:pt>
                <c:pt idx="12">
                  <c:v>0.3539199005126473</c:v>
                </c:pt>
                <c:pt idx="13">
                  <c:v>0.2131633811775857</c:v>
                </c:pt>
                <c:pt idx="14">
                  <c:v>0.09518414942139627</c:v>
                </c:pt>
                <c:pt idx="15">
                  <c:v>0.04165752361104668</c:v>
                </c:pt>
                <c:pt idx="16">
                  <c:v>0.02425425232031466</c:v>
                </c:pt>
              </c:numCache>
            </c:numRef>
          </c:yVal>
          <c:smooth val="0"/>
        </c:ser>
        <c:axId val="21523355"/>
        <c:axId val="59492468"/>
      </c:scatterChart>
      <c:valAx>
        <c:axId val="21523355"/>
        <c:scaling>
          <c:logBase val="10"/>
          <c:orientation val="minMax"/>
        </c:scaling>
        <c:axPos val="b"/>
        <c:title>
          <c:tx>
            <c:rich>
              <a:bodyPr vert="horz" rot="0" anchor="ctr"/>
              <a:lstStyle/>
              <a:p>
                <a:pPr algn="ctr">
                  <a:defRPr/>
                </a:pPr>
                <a:r>
                  <a:rPr lang="en-US" cap="none" sz="1000" b="1" i="0" u="none" baseline="0">
                    <a:latin typeface="Arial"/>
                    <a:ea typeface="Arial"/>
                    <a:cs typeface="Arial"/>
                  </a:rPr>
                  <a:t>E; (GeV)</a:t>
                </a:r>
              </a:p>
            </c:rich>
          </c:tx>
          <c:layout/>
          <c:overlay val="0"/>
          <c:spPr>
            <a:noFill/>
            <a:ln>
              <a:noFill/>
            </a:ln>
          </c:spPr>
        </c:title>
        <c:majorGridlines/>
        <c:minorGridlines/>
        <c:delete val="0"/>
        <c:numFmt formatCode="General" sourceLinked="1"/>
        <c:majorTickMark val="out"/>
        <c:minorTickMark val="none"/>
        <c:tickLblPos val="nextTo"/>
        <c:crossAx val="59492468"/>
        <c:crossesAt val="1E-37"/>
        <c:crossBetween val="midCat"/>
        <c:dispUnits/>
      </c:valAx>
      <c:valAx>
        <c:axId val="59492468"/>
        <c:scaling>
          <c:logBase val="10"/>
          <c:orientation val="minMax"/>
        </c:scaling>
        <c:axPos val="l"/>
        <c:title>
          <c:tx>
            <c:rich>
              <a:bodyPr vert="horz" rot="-5400000" anchor="ctr"/>
              <a:lstStyle/>
              <a:p>
                <a:pPr algn="ctr">
                  <a:defRPr/>
                </a:pPr>
                <a:r>
                  <a:rPr lang="en-US" cap="none" sz="1000" b="1" i="0" u="none" baseline="0">
                    <a:latin typeface="Arial"/>
                    <a:ea typeface="Arial"/>
                    <a:cs typeface="Arial"/>
                  </a:rPr>
                  <a:t>N; (m s sr)^-1</a:t>
                </a:r>
              </a:p>
            </c:rich>
          </c:tx>
          <c:layout/>
          <c:overlay val="0"/>
          <c:spPr>
            <a:noFill/>
            <a:ln>
              <a:noFill/>
            </a:ln>
          </c:spPr>
        </c:title>
        <c:majorGridlines/>
        <c:minorGridlines/>
        <c:delete val="0"/>
        <c:numFmt formatCode="General" sourceLinked="1"/>
        <c:majorTickMark val="out"/>
        <c:minorTickMark val="none"/>
        <c:tickLblPos val="nextTo"/>
        <c:crossAx val="21523355"/>
        <c:crossesAt val="1E-22"/>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Photon Differential Flux as a function of Energy</a:t>
            </a:r>
          </a:p>
        </c:rich>
      </c:tx>
      <c:layout>
        <c:manualLayout>
          <c:xMode val="factor"/>
          <c:yMode val="factor"/>
          <c:x val="0.00325"/>
          <c:y val="-0.00125"/>
        </c:manualLayout>
      </c:layout>
      <c:spPr>
        <a:noFill/>
        <a:ln>
          <a:noFill/>
        </a:ln>
      </c:spPr>
    </c:title>
    <c:plotArea>
      <c:layout>
        <c:manualLayout>
          <c:xMode val="edge"/>
          <c:yMode val="edge"/>
          <c:x val="0.0375"/>
          <c:y val="0.10425"/>
          <c:w val="0.9515"/>
          <c:h val="0.8405"/>
        </c:manualLayout>
      </c:layout>
      <c:scatterChart>
        <c:scatterStyle val="lineMarker"/>
        <c:varyColors val="0"/>
        <c:ser>
          <c:idx val="0"/>
          <c:order val="0"/>
          <c:tx>
            <c:v>Adjusted dN/dE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xVal>
            <c:numRef>
              <c:f>Photons!$H$30:$H$47</c:f>
              <c:numCache>
                <c:ptCount val="18"/>
                <c:pt idx="0">
                  <c:v>0.015</c:v>
                </c:pt>
                <c:pt idx="1">
                  <c:v>0.02</c:v>
                </c:pt>
                <c:pt idx="2">
                  <c:v>0.03</c:v>
                </c:pt>
                <c:pt idx="3">
                  <c:v>0.09</c:v>
                </c:pt>
                <c:pt idx="4">
                  <c:v>0.11000000000000001</c:v>
                </c:pt>
                <c:pt idx="5">
                  <c:v>0.17</c:v>
                </c:pt>
                <c:pt idx="6">
                  <c:v>0.24</c:v>
                </c:pt>
                <c:pt idx="7">
                  <c:v>0.30000000000000004</c:v>
                </c:pt>
                <c:pt idx="8">
                  <c:v>0.41</c:v>
                </c:pt>
                <c:pt idx="9">
                  <c:v>0.6000000000000001</c:v>
                </c:pt>
                <c:pt idx="10">
                  <c:v>0.8500000000000001</c:v>
                </c:pt>
                <c:pt idx="11">
                  <c:v>1.2</c:v>
                </c:pt>
                <c:pt idx="12">
                  <c:v>1.8</c:v>
                </c:pt>
                <c:pt idx="13">
                  <c:v>2.5</c:v>
                </c:pt>
                <c:pt idx="14">
                  <c:v>3.8</c:v>
                </c:pt>
                <c:pt idx="15">
                  <c:v>7</c:v>
                </c:pt>
                <c:pt idx="16">
                  <c:v>13</c:v>
                </c:pt>
                <c:pt idx="17">
                  <c:v>60</c:v>
                </c:pt>
              </c:numCache>
            </c:numRef>
          </c:xVal>
          <c:yVal>
            <c:numRef>
              <c:f>Photons!$J$30:$J$47</c:f>
              <c:numCache>
                <c:ptCount val="18"/>
                <c:pt idx="0">
                  <c:v>2081.9864427562843</c:v>
                </c:pt>
                <c:pt idx="1">
                  <c:v>1494.7594973634862</c:v>
                </c:pt>
                <c:pt idx="2">
                  <c:v>747.3797486817431</c:v>
                </c:pt>
                <c:pt idx="3">
                  <c:v>160.15280328894494</c:v>
                </c:pt>
                <c:pt idx="4">
                  <c:v>69.39954809187614</c:v>
                </c:pt>
                <c:pt idx="5">
                  <c:v>42.70741421038532</c:v>
                </c:pt>
                <c:pt idx="6">
                  <c:v>21.35370710519266</c:v>
                </c:pt>
                <c:pt idx="7">
                  <c:v>10.67685355259633</c:v>
                </c:pt>
                <c:pt idx="8">
                  <c:v>9.6091681973367</c:v>
                </c:pt>
                <c:pt idx="9">
                  <c:v>4.270741421038531</c:v>
                </c:pt>
                <c:pt idx="10">
                  <c:v>2.6692133881490827</c:v>
                </c:pt>
                <c:pt idx="11">
                  <c:v>0.9609168197336697</c:v>
                </c:pt>
                <c:pt idx="12">
                  <c:v>0.3736898743408716</c:v>
                </c:pt>
                <c:pt idx="13">
                  <c:v>0.22955235138082114</c:v>
                </c:pt>
                <c:pt idx="14">
                  <c:v>0.04270741421038532</c:v>
                </c:pt>
                <c:pt idx="15">
                  <c:v>0.007473797486817431</c:v>
                </c:pt>
                <c:pt idx="16">
                  <c:v>0.0012278381585485777</c:v>
                </c:pt>
                <c:pt idx="17">
                  <c:v>0.0003203056065778899</c:v>
                </c:pt>
              </c:numCache>
            </c:numRef>
          </c:yVal>
          <c:smooth val="0"/>
        </c:ser>
        <c:ser>
          <c:idx val="1"/>
          <c:order val="1"/>
          <c:tx>
            <c:v>Adjusted Depth</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FF"/>
              </a:solidFill>
              <a:ln>
                <a:solidFill>
                  <a:srgbClr val="FF00FF"/>
                </a:solidFill>
              </a:ln>
            </c:spPr>
          </c:marker>
          <c:xVal>
            <c:numRef>
              <c:f>Photons!$H$30:$H$47</c:f>
              <c:numCache>
                <c:ptCount val="18"/>
                <c:pt idx="0">
                  <c:v>0.015</c:v>
                </c:pt>
                <c:pt idx="1">
                  <c:v>0.02</c:v>
                </c:pt>
                <c:pt idx="2">
                  <c:v>0.03</c:v>
                </c:pt>
                <c:pt idx="3">
                  <c:v>0.09</c:v>
                </c:pt>
                <c:pt idx="4">
                  <c:v>0.11000000000000001</c:v>
                </c:pt>
                <c:pt idx="5">
                  <c:v>0.17</c:v>
                </c:pt>
                <c:pt idx="6">
                  <c:v>0.24</c:v>
                </c:pt>
                <c:pt idx="7">
                  <c:v>0.30000000000000004</c:v>
                </c:pt>
                <c:pt idx="8">
                  <c:v>0.41</c:v>
                </c:pt>
                <c:pt idx="9">
                  <c:v>0.6000000000000001</c:v>
                </c:pt>
                <c:pt idx="10">
                  <c:v>0.8500000000000001</c:v>
                </c:pt>
                <c:pt idx="11">
                  <c:v>1.2</c:v>
                </c:pt>
                <c:pt idx="12">
                  <c:v>1.8</c:v>
                </c:pt>
                <c:pt idx="13">
                  <c:v>2.5</c:v>
                </c:pt>
                <c:pt idx="14">
                  <c:v>3.8</c:v>
                </c:pt>
                <c:pt idx="15">
                  <c:v>7</c:v>
                </c:pt>
                <c:pt idx="16">
                  <c:v>13</c:v>
                </c:pt>
                <c:pt idx="17">
                  <c:v>60</c:v>
                </c:pt>
              </c:numCache>
            </c:numRef>
          </c:xVal>
          <c:yVal>
            <c:numRef>
              <c:f>Photons!$L$30:$L$47</c:f>
              <c:numCache>
                <c:ptCount val="18"/>
                <c:pt idx="0">
                  <c:v>61.1086776948124</c:v>
                </c:pt>
                <c:pt idx="1">
                  <c:v>52.166812844512975</c:v>
                </c:pt>
                <c:pt idx="2">
                  <c:v>40.95611661428683</c:v>
                </c:pt>
                <c:pt idx="3">
                  <c:v>13.730140055166187</c:v>
                </c:pt>
                <c:pt idx="4">
                  <c:v>11.434616541357974</c:v>
                </c:pt>
                <c:pt idx="5">
                  <c:v>8.07140767229013</c:v>
                </c:pt>
                <c:pt idx="6">
                  <c:v>5.8292684262449015</c:v>
                </c:pt>
                <c:pt idx="7">
                  <c:v>4.868351606511231</c:v>
                </c:pt>
                <c:pt idx="8">
                  <c:v>3.7526204102649148</c:v>
                </c:pt>
                <c:pt idx="9">
                  <c:v>2.4340289965192667</c:v>
                </c:pt>
                <c:pt idx="10">
                  <c:v>1.5665346453708149</c:v>
                </c:pt>
                <c:pt idx="11">
                  <c:v>0.9312618589913335</c:v>
                </c:pt>
                <c:pt idx="12">
                  <c:v>0.530879850768971</c:v>
                </c:pt>
                <c:pt idx="13">
                  <c:v>0.31974507176637856</c:v>
                </c:pt>
                <c:pt idx="14">
                  <c:v>0.14277622413209443</c:v>
                </c:pt>
                <c:pt idx="15">
                  <c:v>0.06248628541657001</c:v>
                </c:pt>
                <c:pt idx="16">
                  <c:v>0.03638137848047199</c:v>
                </c:pt>
              </c:numCache>
            </c:numRef>
          </c:yVal>
          <c:smooth val="0"/>
        </c:ser>
        <c:axId val="65670165"/>
        <c:axId val="54160574"/>
      </c:scatterChart>
      <c:valAx>
        <c:axId val="65670165"/>
        <c:scaling>
          <c:logBase val="10"/>
          <c:orientation val="minMax"/>
        </c:scaling>
        <c:axPos val="b"/>
        <c:title>
          <c:tx>
            <c:rich>
              <a:bodyPr vert="horz" rot="0" anchor="ctr"/>
              <a:lstStyle/>
              <a:p>
                <a:pPr algn="ctr">
                  <a:defRPr/>
                </a:pPr>
                <a:r>
                  <a:rPr lang="en-US" cap="none" sz="1000" b="1" i="0" u="none" baseline="0">
                    <a:latin typeface="Arial"/>
                    <a:ea typeface="Arial"/>
                    <a:cs typeface="Arial"/>
                  </a:rPr>
                  <a:t>E; (GeV)</a:t>
                </a:r>
              </a:p>
            </c:rich>
          </c:tx>
          <c:layout/>
          <c:overlay val="0"/>
          <c:spPr>
            <a:noFill/>
            <a:ln>
              <a:noFill/>
            </a:ln>
          </c:spPr>
        </c:title>
        <c:majorGridlines/>
        <c:minorGridlines/>
        <c:delete val="0"/>
        <c:numFmt formatCode="General" sourceLinked="1"/>
        <c:majorTickMark val="out"/>
        <c:minorTickMark val="none"/>
        <c:tickLblPos val="nextTo"/>
        <c:crossAx val="54160574"/>
        <c:crossesAt val="1E-14"/>
        <c:crossBetween val="midCat"/>
        <c:dispUnits/>
      </c:valAx>
      <c:valAx>
        <c:axId val="54160574"/>
        <c:scaling>
          <c:logBase val="10"/>
          <c:orientation val="minMax"/>
        </c:scaling>
        <c:axPos val="l"/>
        <c:title>
          <c:tx>
            <c:rich>
              <a:bodyPr vert="horz" rot="-5400000" anchor="ctr"/>
              <a:lstStyle/>
              <a:p>
                <a:pPr algn="ctr">
                  <a:defRPr/>
                </a:pPr>
                <a:r>
                  <a:rPr lang="en-US" cap="none" sz="1000" b="1" i="0" u="none" baseline="0">
                    <a:latin typeface="Arial"/>
                    <a:ea typeface="Arial"/>
                    <a:cs typeface="Arial"/>
                  </a:rPr>
                  <a:t>dN/dE; (m^2 s sr GeV)^-1</a:t>
                </a:r>
              </a:p>
            </c:rich>
          </c:tx>
          <c:layout/>
          <c:overlay val="0"/>
          <c:spPr>
            <a:noFill/>
            <a:ln>
              <a:noFill/>
            </a:ln>
          </c:spPr>
        </c:title>
        <c:majorGridlines/>
        <c:minorGridlines/>
        <c:delete val="0"/>
        <c:numFmt formatCode="General" sourceLinked="1"/>
        <c:majorTickMark val="out"/>
        <c:minorTickMark val="none"/>
        <c:tickLblPos val="nextTo"/>
        <c:crossAx val="65670165"/>
        <c:crossesAt val="1E-24"/>
        <c:crossBetween val="midCat"/>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Length in LAr (per photon) for Pair Production as a function of Energy</a:t>
            </a:r>
          </a:p>
        </c:rich>
      </c:tx>
      <c:layout/>
      <c:spPr>
        <a:noFill/>
        <a:ln>
          <a:noFill/>
        </a:ln>
      </c:spPr>
    </c:title>
    <c:plotArea>
      <c:layout/>
      <c:scatterChart>
        <c:scatterStyle val="lineMarker"/>
        <c:varyColors val="0"/>
        <c:ser>
          <c:idx val="0"/>
          <c:order val="0"/>
          <c:tx>
            <c:v>x(E)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xVal>
            <c:numRef>
              <c:f>'photon -dE'!$A$4:$A$19</c:f>
              <c:numCache>
                <c:ptCount val="16"/>
                <c:pt idx="1">
                  <c:v>15</c:v>
                </c:pt>
                <c:pt idx="2">
                  <c:v>20</c:v>
                </c:pt>
                <c:pt idx="3">
                  <c:v>30</c:v>
                </c:pt>
                <c:pt idx="4">
                  <c:v>90</c:v>
                </c:pt>
                <c:pt idx="5">
                  <c:v>110</c:v>
                </c:pt>
                <c:pt idx="6">
                  <c:v>170</c:v>
                </c:pt>
                <c:pt idx="7">
                  <c:v>240</c:v>
                </c:pt>
                <c:pt idx="8">
                  <c:v>300</c:v>
                </c:pt>
                <c:pt idx="9">
                  <c:v>410</c:v>
                </c:pt>
                <c:pt idx="10">
                  <c:v>600</c:v>
                </c:pt>
                <c:pt idx="11">
                  <c:v>850</c:v>
                </c:pt>
                <c:pt idx="12">
                  <c:v>1200</c:v>
                </c:pt>
                <c:pt idx="13">
                  <c:v>1800</c:v>
                </c:pt>
                <c:pt idx="14">
                  <c:v>2500</c:v>
                </c:pt>
                <c:pt idx="15">
                  <c:v>3800</c:v>
                </c:pt>
              </c:numCache>
            </c:numRef>
          </c:xVal>
          <c:yVal>
            <c:numRef>
              <c:f>'photon -dE'!$M$4:$M$19</c:f>
              <c:numCache>
                <c:ptCount val="16"/>
                <c:pt idx="1">
                  <c:v>0.5154582846826623</c:v>
                </c:pt>
                <c:pt idx="2">
                  <c:v>0.44120003586073886</c:v>
                </c:pt>
                <c:pt idx="3">
                  <c:v>0.36467564945451086</c:v>
                </c:pt>
                <c:pt idx="4">
                  <c:v>0.2577662390152917</c:v>
                </c:pt>
                <c:pt idx="5">
                  <c:v>0.2470963705496708</c:v>
                </c:pt>
                <c:pt idx="6">
                  <c:v>0.2276238888539866</c:v>
                </c:pt>
                <c:pt idx="7">
                  <c:v>0.21641461577749116</c:v>
                </c:pt>
                <c:pt idx="8">
                  <c:v>0.21080999947719123</c:v>
                </c:pt>
                <c:pt idx="9">
                  <c:v>0.20425787802209747</c:v>
                </c:pt>
                <c:pt idx="10">
                  <c:v>0.1980459989559015</c:v>
                </c:pt>
                <c:pt idx="11">
                  <c:v>0.19391780677409198</c:v>
                </c:pt>
                <c:pt idx="12">
                  <c:v>0.19102196752626555</c:v>
                </c:pt>
                <c:pt idx="13">
                  <c:v>0.1882608089943484</c:v>
                </c:pt>
                <c:pt idx="14">
                  <c:v>0.18659348221502886</c:v>
                </c:pt>
                <c:pt idx="15">
                  <c:v>0.18500319685524164</c:v>
                </c:pt>
              </c:numCache>
            </c:numRef>
          </c:yVal>
          <c:smooth val="0"/>
        </c:ser>
        <c:axId val="17683119"/>
        <c:axId val="24930344"/>
      </c:scatterChart>
      <c:valAx>
        <c:axId val="17683119"/>
        <c:scaling>
          <c:logBase val="10"/>
          <c:orientation val="minMax"/>
        </c:scaling>
        <c:axPos val="b"/>
        <c:title>
          <c:tx>
            <c:rich>
              <a:bodyPr vert="horz" rot="0" anchor="ctr"/>
              <a:lstStyle/>
              <a:p>
                <a:pPr algn="ctr">
                  <a:defRPr/>
                </a:pPr>
                <a:r>
                  <a:rPr lang="en-US" cap="none" sz="1000" b="1" i="0" u="none" baseline="0">
                    <a:latin typeface="Arial"/>
                    <a:ea typeface="Arial"/>
                    <a:cs typeface="Arial"/>
                  </a:rPr>
                  <a:t>E; (MeV)</a:t>
                </a:r>
              </a:p>
            </c:rich>
          </c:tx>
          <c:layout/>
          <c:overlay val="0"/>
          <c:spPr>
            <a:noFill/>
            <a:ln>
              <a:noFill/>
            </a:ln>
          </c:spPr>
        </c:title>
        <c:majorGridlines/>
        <c:minorGridlines/>
        <c:delete val="0"/>
        <c:numFmt formatCode="General" sourceLinked="1"/>
        <c:majorTickMark val="out"/>
        <c:minorTickMark val="none"/>
        <c:tickLblPos val="nextTo"/>
        <c:crossAx val="24930344"/>
        <c:crossesAt val="0.1"/>
        <c:crossBetween val="midCat"/>
        <c:dispUnits/>
      </c:valAx>
      <c:valAx>
        <c:axId val="24930344"/>
        <c:scaling>
          <c:orientation val="minMax"/>
          <c:max val="0.5"/>
          <c:min val="0.1"/>
        </c:scaling>
        <c:axPos val="l"/>
        <c:title>
          <c:tx>
            <c:rich>
              <a:bodyPr vert="horz" rot="-5400000" anchor="ctr"/>
              <a:lstStyle/>
              <a:p>
                <a:pPr algn="ctr">
                  <a:defRPr/>
                </a:pPr>
                <a:r>
                  <a:rPr lang="en-US" cap="none" sz="1000" b="1" i="0" u="none" baseline="0">
                    <a:latin typeface="Arial"/>
                    <a:ea typeface="Arial"/>
                    <a:cs typeface="Arial"/>
                  </a:rPr>
                  <a:t>x(E); (m)</a:t>
                </a:r>
              </a:p>
            </c:rich>
          </c:tx>
          <c:layout/>
          <c:overlay val="0"/>
          <c:spPr>
            <a:noFill/>
            <a:ln>
              <a:noFill/>
            </a:ln>
          </c:spPr>
        </c:title>
        <c:majorGridlines/>
        <c:minorGridlines/>
        <c:delete val="0"/>
        <c:numFmt formatCode="General" sourceLinked="1"/>
        <c:majorTickMark val="out"/>
        <c:minorTickMark val="none"/>
        <c:tickLblPos val="nextTo"/>
        <c:crossAx val="17683119"/>
        <c:crossesAt val="1E-16"/>
        <c:crossBetween val="midCat"/>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Product of Differential Flux and Length AND Total Length through an Area, both as a function of Energy</a:t>
            </a:r>
          </a:p>
        </c:rich>
      </c:tx>
      <c:layout/>
      <c:spPr>
        <a:noFill/>
        <a:ln>
          <a:noFill/>
        </a:ln>
      </c:spPr>
    </c:title>
    <c:plotArea>
      <c:layout/>
      <c:scatterChart>
        <c:scatterStyle val="lineMarker"/>
        <c:varyColors val="0"/>
        <c:ser>
          <c:idx val="1"/>
          <c:order val="0"/>
          <c:tx>
            <c:v>(dN*x(E))/dE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xVal>
            <c:numRef>
              <c:f>'photon -dE'!$A$5:$A$19</c:f>
              <c:numCache>
                <c:ptCount val="15"/>
                <c:pt idx="0">
                  <c:v>15</c:v>
                </c:pt>
                <c:pt idx="1">
                  <c:v>20</c:v>
                </c:pt>
                <c:pt idx="2">
                  <c:v>30</c:v>
                </c:pt>
                <c:pt idx="3">
                  <c:v>90</c:v>
                </c:pt>
                <c:pt idx="4">
                  <c:v>110</c:v>
                </c:pt>
                <c:pt idx="5">
                  <c:v>170</c:v>
                </c:pt>
                <c:pt idx="6">
                  <c:v>240</c:v>
                </c:pt>
                <c:pt idx="7">
                  <c:v>300</c:v>
                </c:pt>
                <c:pt idx="8">
                  <c:v>410</c:v>
                </c:pt>
                <c:pt idx="9">
                  <c:v>600</c:v>
                </c:pt>
                <c:pt idx="10">
                  <c:v>850</c:v>
                </c:pt>
                <c:pt idx="11">
                  <c:v>1200</c:v>
                </c:pt>
                <c:pt idx="12">
                  <c:v>1800</c:v>
                </c:pt>
                <c:pt idx="13">
                  <c:v>2500</c:v>
                </c:pt>
                <c:pt idx="14">
                  <c:v>3800</c:v>
                </c:pt>
              </c:numCache>
            </c:numRef>
          </c:xVal>
          <c:yVal>
            <c:numRef>
              <c:f>'photon -dE'!$O$5:$O$19</c:f>
              <c:numCache>
                <c:ptCount val="15"/>
                <c:pt idx="0">
                  <c:v>1799.1591728356377</c:v>
                </c:pt>
                <c:pt idx="1">
                  <c:v>769.9838329914035</c:v>
                </c:pt>
                <c:pt idx="2">
                  <c:v>69.42907727915154</c:v>
                </c:pt>
                <c:pt idx="3">
                  <c:v>24.537520061071852</c:v>
                </c:pt>
                <c:pt idx="4">
                  <c:v>8.624668859916126</c:v>
                </c:pt>
                <c:pt idx="5">
                  <c:v>4.40586364075081</c:v>
                </c:pt>
                <c:pt idx="6">
                  <c:v>2.334795690322694</c:v>
                </c:pt>
                <c:pt idx="7">
                  <c:v>0.8027047469066355</c:v>
                </c:pt>
                <c:pt idx="8">
                  <c:v>0.4536910728524198</c:v>
                </c:pt>
                <c:pt idx="9">
                  <c:v>0.15082060989708307</c:v>
                </c:pt>
                <c:pt idx="10">
                  <c:v>0.0615320052785767</c:v>
                </c:pt>
                <c:pt idx="11">
                  <c:v>0.02121459456657915</c:v>
                </c:pt>
                <c:pt idx="12">
                  <c:v>0.00836317788432818</c:v>
                </c:pt>
                <c:pt idx="13">
                  <c:v>0.001184158517838303</c:v>
                </c:pt>
                <c:pt idx="14">
                  <c:v>0.0001761099386614635</c:v>
                </c:pt>
              </c:numCache>
            </c:numRef>
          </c:yVal>
          <c:smooth val="0"/>
        </c:ser>
        <c:axId val="23046505"/>
        <c:axId val="6091954"/>
      </c:scatterChart>
      <c:scatterChart>
        <c:scatterStyle val="lineMarker"/>
        <c:varyColors val="0"/>
        <c:ser>
          <c:idx val="0"/>
          <c:order val="1"/>
          <c:tx>
            <c:v>N*x(E)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xVal>
            <c:numRef>
              <c:f>'photon -dE'!$A$5:$A$19</c:f>
              <c:numCache>
                <c:ptCount val="15"/>
                <c:pt idx="0">
                  <c:v>15</c:v>
                </c:pt>
                <c:pt idx="1">
                  <c:v>20</c:v>
                </c:pt>
                <c:pt idx="2">
                  <c:v>30</c:v>
                </c:pt>
                <c:pt idx="3">
                  <c:v>90</c:v>
                </c:pt>
                <c:pt idx="4">
                  <c:v>110</c:v>
                </c:pt>
                <c:pt idx="5">
                  <c:v>170</c:v>
                </c:pt>
                <c:pt idx="6">
                  <c:v>240</c:v>
                </c:pt>
                <c:pt idx="7">
                  <c:v>300</c:v>
                </c:pt>
                <c:pt idx="8">
                  <c:v>410</c:v>
                </c:pt>
                <c:pt idx="9">
                  <c:v>600</c:v>
                </c:pt>
                <c:pt idx="10">
                  <c:v>850</c:v>
                </c:pt>
                <c:pt idx="11">
                  <c:v>1200</c:v>
                </c:pt>
                <c:pt idx="12">
                  <c:v>1800</c:v>
                </c:pt>
                <c:pt idx="13">
                  <c:v>2500</c:v>
                </c:pt>
                <c:pt idx="14">
                  <c:v>3800</c:v>
                </c:pt>
              </c:numCache>
            </c:numRef>
          </c:xVal>
          <c:yVal>
            <c:numRef>
              <c:f>'photon -dE'!$P$5:$P$19</c:f>
              <c:numCache>
                <c:ptCount val="15"/>
                <c:pt idx="0">
                  <c:v>26987.387592534567</c:v>
                </c:pt>
                <c:pt idx="1">
                  <c:v>33410.24510710217</c:v>
                </c:pt>
                <c:pt idx="2">
                  <c:v>37607.30965845495</c:v>
                </c:pt>
                <c:pt idx="3">
                  <c:v>40426.307578661654</c:v>
                </c:pt>
                <c:pt idx="4">
                  <c:v>40757.92946787153</c:v>
                </c:pt>
                <c:pt idx="5">
                  <c:v>41148.845442891536</c:v>
                </c:pt>
                <c:pt idx="6">
                  <c:v>41384.768519479105</c:v>
                </c:pt>
                <c:pt idx="7">
                  <c:v>41478.89353259598</c:v>
                </c:pt>
                <c:pt idx="8">
                  <c:v>41547.99530268273</c:v>
                </c:pt>
                <c:pt idx="9">
                  <c:v>41605.42391254393</c:v>
                </c:pt>
                <c:pt idx="10">
                  <c:v>41631.967989440884</c:v>
                </c:pt>
                <c:pt idx="11">
                  <c:v>41646.44864441379</c:v>
                </c:pt>
                <c:pt idx="12">
                  <c:v>41655.32197614906</c:v>
                </c:pt>
                <c:pt idx="13">
                  <c:v>41658.66354388982</c:v>
                </c:pt>
                <c:pt idx="14">
                  <c:v>41659.547718386544</c:v>
                </c:pt>
              </c:numCache>
            </c:numRef>
          </c:yVal>
          <c:smooth val="0"/>
        </c:ser>
        <c:axId val="54827587"/>
        <c:axId val="23686236"/>
      </c:scatterChart>
      <c:valAx>
        <c:axId val="23046505"/>
        <c:scaling>
          <c:logBase val="10"/>
          <c:orientation val="minMax"/>
        </c:scaling>
        <c:axPos val="b"/>
        <c:title>
          <c:tx>
            <c:rich>
              <a:bodyPr vert="horz" rot="0" anchor="ctr"/>
              <a:lstStyle/>
              <a:p>
                <a:pPr algn="ctr">
                  <a:defRPr/>
                </a:pPr>
                <a:r>
                  <a:rPr lang="en-US" cap="none" sz="1000" b="1" i="0" u="none" baseline="0">
                    <a:latin typeface="Arial"/>
                    <a:ea typeface="Arial"/>
                    <a:cs typeface="Arial"/>
                  </a:rPr>
                  <a:t>E; (GeV)</a:t>
                </a:r>
              </a:p>
            </c:rich>
          </c:tx>
          <c:layout/>
          <c:overlay val="0"/>
          <c:spPr>
            <a:noFill/>
            <a:ln>
              <a:noFill/>
            </a:ln>
          </c:spPr>
        </c:title>
        <c:majorGridlines/>
        <c:minorGridlines/>
        <c:delete val="0"/>
        <c:numFmt formatCode="General" sourceLinked="1"/>
        <c:majorTickMark val="out"/>
        <c:minorTickMark val="none"/>
        <c:tickLblPos val="nextTo"/>
        <c:crossAx val="6091954"/>
        <c:crossesAt val="1E-25"/>
        <c:crossBetween val="midCat"/>
        <c:dispUnits/>
      </c:valAx>
      <c:valAx>
        <c:axId val="6091954"/>
        <c:scaling>
          <c:logBase val="10"/>
          <c:orientation val="minMax"/>
        </c:scaling>
        <c:axPos val="l"/>
        <c:title>
          <c:tx>
            <c:rich>
              <a:bodyPr vert="horz" rot="-5400000" anchor="ctr"/>
              <a:lstStyle/>
              <a:p>
                <a:pPr algn="ctr">
                  <a:defRPr/>
                </a:pPr>
                <a:r>
                  <a:rPr lang="en-US" cap="none" sz="1000" b="1" i="0" u="none" baseline="0">
                    <a:latin typeface="Arial"/>
                    <a:ea typeface="Arial"/>
                    <a:cs typeface="Arial"/>
                  </a:rPr>
                  <a:t>(dN*x(E))/dE; (GeV m s sr)^-1</a:t>
                </a:r>
              </a:p>
            </c:rich>
          </c:tx>
          <c:layout/>
          <c:overlay val="0"/>
          <c:spPr>
            <a:noFill/>
            <a:ln>
              <a:noFill/>
            </a:ln>
          </c:spPr>
        </c:title>
        <c:majorGridlines/>
        <c:minorGridlines/>
        <c:delete val="0"/>
        <c:numFmt formatCode="General" sourceLinked="1"/>
        <c:majorTickMark val="out"/>
        <c:minorTickMark val="none"/>
        <c:tickLblPos val="nextTo"/>
        <c:crossAx val="23046505"/>
        <c:crossesAt val="1E-30"/>
        <c:crossBetween val="midCat"/>
        <c:dispUnits/>
      </c:valAx>
      <c:valAx>
        <c:axId val="54827587"/>
        <c:scaling>
          <c:logBase val="10"/>
          <c:orientation val="minMax"/>
        </c:scaling>
        <c:axPos val="b"/>
        <c:delete val="1"/>
        <c:majorTickMark val="in"/>
        <c:minorTickMark val="none"/>
        <c:tickLblPos val="nextTo"/>
        <c:crossAx val="23686236"/>
        <c:crosses val="max"/>
        <c:crossBetween val="midCat"/>
        <c:dispUnits/>
      </c:valAx>
      <c:valAx>
        <c:axId val="23686236"/>
        <c:scaling>
          <c:orientation val="minMax"/>
        </c:scaling>
        <c:axPos val="l"/>
        <c:title>
          <c:tx>
            <c:rich>
              <a:bodyPr vert="horz" rot="-5400000" anchor="ctr"/>
              <a:lstStyle/>
              <a:p>
                <a:pPr algn="ctr">
                  <a:defRPr/>
                </a:pPr>
                <a:r>
                  <a:rPr lang="en-US" cap="none" sz="1000" b="1" i="0" u="none" baseline="0">
                    <a:latin typeface="Arial"/>
                    <a:ea typeface="Arial"/>
                    <a:cs typeface="Arial"/>
                  </a:rPr>
                  <a:t>N*x(E); (m s sr)^-1</a:t>
                </a:r>
              </a:p>
            </c:rich>
          </c:tx>
          <c:layout/>
          <c:overlay val="0"/>
          <c:spPr>
            <a:noFill/>
            <a:ln>
              <a:noFill/>
            </a:ln>
          </c:spPr>
        </c:title>
        <c:delete val="0"/>
        <c:numFmt formatCode="General" sourceLinked="1"/>
        <c:majorTickMark val="in"/>
        <c:minorTickMark val="none"/>
        <c:tickLblPos val="nextTo"/>
        <c:crossAx val="54827587"/>
        <c:crosses val="max"/>
        <c:crossBetween val="midCat"/>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Electron Differential Intensity as a function of Energy</a:t>
            </a:r>
          </a:p>
        </c:rich>
      </c:tx>
      <c:layout/>
      <c:spPr>
        <a:noFill/>
        <a:ln>
          <a:noFill/>
        </a:ln>
      </c:spPr>
    </c:title>
    <c:plotArea>
      <c:layout/>
      <c:scatterChart>
        <c:scatterStyle val="lineMarker"/>
        <c:varyColors val="0"/>
        <c:ser>
          <c:idx val="1"/>
          <c:order val="0"/>
          <c:tx>
            <c:v>Adjusted 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Electrons!$H$7:$H$18</c:f>
              <c:numCache>
                <c:ptCount val="12"/>
                <c:pt idx="0">
                  <c:v>0.11000000000000001</c:v>
                </c:pt>
                <c:pt idx="1">
                  <c:v>0.17</c:v>
                </c:pt>
                <c:pt idx="2">
                  <c:v>0.24</c:v>
                </c:pt>
                <c:pt idx="3">
                  <c:v>0.30000000000000004</c:v>
                </c:pt>
                <c:pt idx="4">
                  <c:v>0.41</c:v>
                </c:pt>
                <c:pt idx="5">
                  <c:v>0.6000000000000001</c:v>
                </c:pt>
                <c:pt idx="6">
                  <c:v>0.8500000000000001</c:v>
                </c:pt>
                <c:pt idx="7">
                  <c:v>1.2</c:v>
                </c:pt>
                <c:pt idx="8">
                  <c:v>1.8</c:v>
                </c:pt>
                <c:pt idx="9">
                  <c:v>2.5</c:v>
                </c:pt>
                <c:pt idx="10">
                  <c:v>3.8</c:v>
                </c:pt>
                <c:pt idx="11">
                  <c:v>7</c:v>
                </c:pt>
              </c:numCache>
            </c:numRef>
          </c:xVal>
          <c:yVal>
            <c:numRef>
              <c:f>Electrons!$R$7:$R$18</c:f>
              <c:numCache>
                <c:ptCount val="12"/>
                <c:pt idx="0">
                  <c:v>7.623077694238649</c:v>
                </c:pt>
                <c:pt idx="1">
                  <c:v>5.38093844819342</c:v>
                </c:pt>
                <c:pt idx="2">
                  <c:v>3.886178950829934</c:v>
                </c:pt>
                <c:pt idx="3">
                  <c:v>3.2455677376741536</c:v>
                </c:pt>
                <c:pt idx="4">
                  <c:v>2.5017469401766097</c:v>
                </c:pt>
                <c:pt idx="5">
                  <c:v>1.6226859976795112</c:v>
                </c:pt>
                <c:pt idx="6">
                  <c:v>1.04435643024721</c:v>
                </c:pt>
                <c:pt idx="7">
                  <c:v>0.6208412393275556</c:v>
                </c:pt>
                <c:pt idx="8">
                  <c:v>0.3539199005126473</c:v>
                </c:pt>
                <c:pt idx="9">
                  <c:v>0.2131633811775857</c:v>
                </c:pt>
                <c:pt idx="10">
                  <c:v>0.09518414942139627</c:v>
                </c:pt>
                <c:pt idx="11">
                  <c:v>0.04165752361104668</c:v>
                </c:pt>
              </c:numCache>
            </c:numRef>
          </c:yVal>
          <c:smooth val="0"/>
        </c:ser>
        <c:ser>
          <c:idx val="2"/>
          <c:order val="1"/>
          <c:tx>
            <c:v>Original dN/dE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xVal>
            <c:numRef>
              <c:f>Electrons!$H$7:$H$18</c:f>
              <c:numCache>
                <c:ptCount val="12"/>
                <c:pt idx="0">
                  <c:v>0.11000000000000001</c:v>
                </c:pt>
                <c:pt idx="1">
                  <c:v>0.17</c:v>
                </c:pt>
                <c:pt idx="2">
                  <c:v>0.24</c:v>
                </c:pt>
                <c:pt idx="3">
                  <c:v>0.30000000000000004</c:v>
                </c:pt>
                <c:pt idx="4">
                  <c:v>0.41</c:v>
                </c:pt>
                <c:pt idx="5">
                  <c:v>0.6000000000000001</c:v>
                </c:pt>
                <c:pt idx="6">
                  <c:v>0.8500000000000001</c:v>
                </c:pt>
                <c:pt idx="7">
                  <c:v>1.2</c:v>
                </c:pt>
                <c:pt idx="8">
                  <c:v>1.8</c:v>
                </c:pt>
                <c:pt idx="9">
                  <c:v>2.5</c:v>
                </c:pt>
                <c:pt idx="10">
                  <c:v>3.8</c:v>
                </c:pt>
                <c:pt idx="11">
                  <c:v>7</c:v>
                </c:pt>
              </c:numCache>
            </c:numRef>
          </c:xVal>
          <c:yVal>
            <c:numRef>
              <c:f>Electrons!$J$7:$J$18</c:f>
              <c:numCache>
                <c:ptCount val="12"/>
                <c:pt idx="0">
                  <c:v>130</c:v>
                </c:pt>
                <c:pt idx="1">
                  <c:v>80</c:v>
                </c:pt>
                <c:pt idx="2">
                  <c:v>40</c:v>
                </c:pt>
                <c:pt idx="3">
                  <c:v>20</c:v>
                </c:pt>
                <c:pt idx="4">
                  <c:v>18</c:v>
                </c:pt>
                <c:pt idx="5">
                  <c:v>8</c:v>
                </c:pt>
                <c:pt idx="6">
                  <c:v>5</c:v>
                </c:pt>
                <c:pt idx="7">
                  <c:v>1.8</c:v>
                </c:pt>
                <c:pt idx="8">
                  <c:v>0.7000000000000001</c:v>
                </c:pt>
                <c:pt idx="9">
                  <c:v>0.43</c:v>
                </c:pt>
                <c:pt idx="10">
                  <c:v>0.08</c:v>
                </c:pt>
                <c:pt idx="11">
                  <c:v>0.013999999999999999</c:v>
                </c:pt>
              </c:numCache>
            </c:numRef>
          </c:yVal>
          <c:smooth val="0"/>
        </c:ser>
        <c:ser>
          <c:idx val="3"/>
          <c:order val="2"/>
          <c:tx>
            <c:v>Original 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Electrons!$H$7:$H$18</c:f>
              <c:numCache>
                <c:ptCount val="12"/>
                <c:pt idx="0">
                  <c:v>0.11000000000000001</c:v>
                </c:pt>
                <c:pt idx="1">
                  <c:v>0.17</c:v>
                </c:pt>
                <c:pt idx="2">
                  <c:v>0.24</c:v>
                </c:pt>
                <c:pt idx="3">
                  <c:v>0.30000000000000004</c:v>
                </c:pt>
                <c:pt idx="4">
                  <c:v>0.41</c:v>
                </c:pt>
                <c:pt idx="5">
                  <c:v>0.6000000000000001</c:v>
                </c:pt>
                <c:pt idx="6">
                  <c:v>0.8500000000000001</c:v>
                </c:pt>
                <c:pt idx="7">
                  <c:v>1.2</c:v>
                </c:pt>
                <c:pt idx="8">
                  <c:v>1.8</c:v>
                </c:pt>
                <c:pt idx="9">
                  <c:v>2.5</c:v>
                </c:pt>
                <c:pt idx="10">
                  <c:v>3.8</c:v>
                </c:pt>
                <c:pt idx="11">
                  <c:v>7</c:v>
                </c:pt>
              </c:numCache>
            </c:numRef>
          </c:xVal>
          <c:yVal>
            <c:numRef>
              <c:f>Electrons!$K$7:$K$18</c:f>
              <c:numCache>
                <c:ptCount val="12"/>
                <c:pt idx="0">
                  <c:v>21.41945</c:v>
                </c:pt>
                <c:pt idx="1">
                  <c:v>15.11945</c:v>
                </c:pt>
                <c:pt idx="2">
                  <c:v>10.919450000000001</c:v>
                </c:pt>
                <c:pt idx="3">
                  <c:v>9.11945</c:v>
                </c:pt>
                <c:pt idx="4">
                  <c:v>7.0294500000000015</c:v>
                </c:pt>
                <c:pt idx="5">
                  <c:v>4.55945</c:v>
                </c:pt>
                <c:pt idx="6">
                  <c:v>2.9344499999999996</c:v>
                </c:pt>
                <c:pt idx="7">
                  <c:v>1.74445</c:v>
                </c:pt>
                <c:pt idx="8">
                  <c:v>0.9944499999999998</c:v>
                </c:pt>
                <c:pt idx="9">
                  <c:v>0.5989499999999999</c:v>
                </c:pt>
                <c:pt idx="10">
                  <c:v>0.26744999999999997</c:v>
                </c:pt>
                <c:pt idx="11">
                  <c:v>0.11704999999999999</c:v>
                </c:pt>
              </c:numCache>
            </c:numRef>
          </c:yVal>
          <c:smooth val="0"/>
        </c:ser>
        <c:ser>
          <c:idx val="0"/>
          <c:order val="3"/>
          <c:tx>
            <c:v>first</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Electrons!$AA$3:$AA$47</c:f>
              <c:numCache>
                <c:ptCount val="45"/>
                <c:pt idx="0">
                  <c:v>0.11</c:v>
                </c:pt>
                <c:pt idx="1">
                  <c:v>0.11518414028559895</c:v>
                </c:pt>
                <c:pt idx="2">
                  <c:v>0.12061260157575034</c:v>
                </c:pt>
                <c:pt idx="3">
                  <c:v>0.12629689836465705</c:v>
                </c:pt>
                <c:pt idx="4">
                  <c:v>0.13224908780791533</c:v>
                </c:pt>
                <c:pt idx="5">
                  <c:v>0.13848179529735827</c:v>
                </c:pt>
                <c:pt idx="6">
                  <c:v>0.14500824124120465</c:v>
                </c:pt>
                <c:pt idx="7">
                  <c:v>0.15184226910631718</c:v>
                </c:pt>
                <c:pt idx="8">
                  <c:v>0.15899837478205184</c:v>
                </c:pt>
                <c:pt idx="9">
                  <c:v>0.16649173732798267</c:v>
                </c:pt>
                <c:pt idx="10">
                  <c:v>0.1743382511707222</c:v>
                </c:pt>
                <c:pt idx="11">
                  <c:v>0.18255455981813135</c:v>
                </c:pt>
                <c:pt idx="12">
                  <c:v>0.19115809116243093</c:v>
                </c:pt>
                <c:pt idx="13">
                  <c:v>0.2001670944470978</c:v>
                </c:pt>
                <c:pt idx="14">
                  <c:v>0.20960067897595674</c:v>
                </c:pt>
                <c:pt idx="15">
                  <c:v>0.21947885464657632</c:v>
                </c:pt>
                <c:pt idx="16">
                  <c:v>0.2298225743939439</c:v>
                </c:pt>
                <c:pt idx="17">
                  <c:v>0.24065377863445028</c:v>
                </c:pt>
                <c:pt idx="18">
                  <c:v>0.2519954418044545</c:v>
                </c:pt>
                <c:pt idx="19">
                  <c:v>0.26387162109214335</c:v>
                </c:pt>
                <c:pt idx="20">
                  <c:v>0.27630750746605315</c:v>
                </c:pt>
                <c:pt idx="21">
                  <c:v>0.2893294791084913</c:v>
                </c:pt>
                <c:pt idx="22">
                  <c:v>0.3029651573671976</c:v>
                </c:pt>
                <c:pt idx="23">
                  <c:v>0.3172434653439259</c:v>
                </c:pt>
                <c:pt idx="24">
                  <c:v>0.33219468924422096</c:v>
                </c:pt>
                <c:pt idx="25">
                  <c:v>0.3478505426185208</c:v>
                </c:pt>
                <c:pt idx="26">
                  <c:v>0.3642442336308492</c:v>
                </c:pt>
                <c:pt idx="27">
                  <c:v>0.38141053549778375</c:v>
                </c:pt>
                <c:pt idx="28">
                  <c:v>0.39938586024711037</c:v>
                </c:pt>
                <c:pt idx="29">
                  <c:v>0.4182083359526162</c:v>
                </c:pt>
                <c:pt idx="30">
                  <c:v>0.4379178876088458</c:v>
                </c:pt>
                <c:pt idx="31">
                  <c:v>0.4585563218173677</c:v>
                </c:pt>
                <c:pt idx="32">
                  <c:v>0.48016741546418124</c:v>
                </c:pt>
                <c:pt idx="33">
                  <c:v>0.5027970085763611</c:v>
                </c:pt>
                <c:pt idx="34">
                  <c:v>0.5264931015549007</c:v>
                </c:pt>
                <c:pt idx="35">
                  <c:v>0.551305956989998</c:v>
                </c:pt>
                <c:pt idx="36">
                  <c:v>0.5772882062747482</c:v>
                </c:pt>
                <c:pt idx="37">
                  <c:v>0.6044949612433852</c:v>
                </c:pt>
                <c:pt idx="38">
                  <c:v>0.6329839310708707</c:v>
                </c:pt>
                <c:pt idx="39">
                  <c:v>0.6628155446817915</c:v>
                </c:pt>
                <c:pt idx="40">
                  <c:v>0.6940530789282104</c:v>
                </c:pt>
                <c:pt idx="41">
                  <c:v>0.7267627928083534</c:v>
                </c:pt>
                <c:pt idx="42">
                  <c:v>0.7610140680108278</c:v>
                </c:pt>
                <c:pt idx="43">
                  <c:v>0.7968795560824866</c:v>
                </c:pt>
                <c:pt idx="44">
                  <c:v>0.8344353325320997</c:v>
                </c:pt>
              </c:numCache>
            </c:numRef>
          </c:xVal>
          <c:yVal>
            <c:numRef>
              <c:f>Electrons!$AB$3:$AB$47</c:f>
              <c:numCache>
                <c:ptCount val="45"/>
                <c:pt idx="0">
                  <c:v>220.81636996226248</c:v>
                </c:pt>
                <c:pt idx="1">
                  <c:v>200.05296604986142</c:v>
                </c:pt>
                <c:pt idx="2">
                  <c:v>181.24194882918619</c:v>
                </c:pt>
                <c:pt idx="3">
                  <c:v>164.19973502024524</c:v>
                </c:pt>
                <c:pt idx="4">
                  <c:v>148.76000371265593</c:v>
                </c:pt>
                <c:pt idx="5">
                  <c:v>134.77207318185327</c:v>
                </c:pt>
                <c:pt idx="6">
                  <c:v>122.09943033356852</c:v>
                </c:pt>
                <c:pt idx="7">
                  <c:v>110.6183984249141</c:v>
                </c:pt>
                <c:pt idx="8">
                  <c:v>100.21693005990153</c:v>
                </c:pt>
                <c:pt idx="9">
                  <c:v>90.79351367981076</c:v>
                </c:pt>
                <c:pt idx="10">
                  <c:v>82.25618287647319</c:v>
                </c:pt>
                <c:pt idx="11">
                  <c:v>74.52161886000819</c:v>
                </c:pt>
                <c:pt idx="12">
                  <c:v>67.51433732168393</c:v>
                </c:pt>
                <c:pt idx="13">
                  <c:v>61.165951756212515</c:v>
                </c:pt>
                <c:pt idx="14">
                  <c:v>55.41450605398621</c:v>
                </c:pt>
                <c:pt idx="15">
                  <c:v>50.203869849787445</c:v>
                </c:pt>
                <c:pt idx="16">
                  <c:v>45.48319072697197</c:v>
                </c:pt>
                <c:pt idx="17">
                  <c:v>41.20639793099274</c:v>
                </c:pt>
                <c:pt idx="18">
                  <c:v>37.331752748832805</c:v>
                </c:pt>
                <c:pt idx="19">
                  <c:v>33.82144116634293</c:v>
                </c:pt>
                <c:pt idx="20">
                  <c:v>30.64120482808457</c:v>
                </c:pt>
                <c:pt idx="21">
                  <c:v>27.760006698086958</c:v>
                </c:pt>
                <c:pt idx="22">
                  <c:v>25.149728158584452</c:v>
                </c:pt>
                <c:pt idx="23">
                  <c:v>22.784894590615668</c:v>
                </c:pt>
                <c:pt idx="24">
                  <c:v>20.642426758329105</c:v>
                </c:pt>
                <c:pt idx="25">
                  <c:v>18.701415570668562</c:v>
                </c:pt>
                <c:pt idx="26">
                  <c:v>16.94291802225847</c:v>
                </c:pt>
                <c:pt idx="27">
                  <c:v>15.349772322005478</c:v>
                </c:pt>
                <c:pt idx="28">
                  <c:v>13.90643040519169</c:v>
                </c:pt>
                <c:pt idx="29">
                  <c:v>12.59880619448649</c:v>
                </c:pt>
                <c:pt idx="30">
                  <c:v>11.41413812900344</c:v>
                </c:pt>
                <c:pt idx="31">
                  <c:v>10.340864619775212</c:v>
                </c:pt>
                <c:pt idx="32">
                  <c:v>9.368511216173188</c:v>
                </c:pt>
                <c:pt idx="33">
                  <c:v>8.487588382089346</c:v>
                </c:pt>
                <c:pt idx="34">
                  <c:v>7.689498884242598</c:v>
                </c:pt>
                <c:pt idx="35">
                  <c:v>6.966453888779751</c:v>
                </c:pt>
                <c:pt idx="36">
                  <c:v>6.311396947328485</c:v>
                </c:pt>
                <c:pt idx="37">
                  <c:v>5.717935130655784</c:v>
                </c:pt>
                <c:pt idx="38">
                  <c:v>5.180276637841127</c:v>
                </c:pt>
                <c:pt idx="39">
                  <c:v>4.693174272070635</c:v>
                </c:pt>
                <c:pt idx="40">
                  <c:v>4.251874231412667</c:v>
                </c:pt>
                <c:pt idx="41">
                  <c:v>3.8520697148062273</c:v>
                </c:pt>
                <c:pt idx="42">
                  <c:v>3.4898588904868255</c:v>
                </c:pt>
                <c:pt idx="43">
                  <c:v>3.161706816648979</c:v>
                </c:pt>
                <c:pt idx="44">
                  <c:v>2.8644109427158377</c:v>
                </c:pt>
              </c:numCache>
            </c:numRef>
          </c:yVal>
          <c:smooth val="0"/>
        </c:ser>
        <c:ser>
          <c:idx val="4"/>
          <c:order val="4"/>
          <c:tx>
            <c:v>second</c:v>
          </c:tx>
          <c:spPr>
            <a:ln w="254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xVal>
            <c:numRef>
              <c:f>Electrons!$AD$3:$AD$55</c:f>
              <c:numCache>
                <c:ptCount val="53"/>
                <c:pt idx="0">
                  <c:v>0.9</c:v>
                </c:pt>
                <c:pt idx="1">
                  <c:v>0.9424156932458096</c:v>
                </c:pt>
                <c:pt idx="2">
                  <c:v>0.9868303765288665</c:v>
                </c:pt>
                <c:pt idx="3">
                  <c:v>1.0333382593471945</c:v>
                </c:pt>
                <c:pt idx="4">
                  <c:v>1.0820379911556717</c:v>
                </c:pt>
                <c:pt idx="5">
                  <c:v>1.1330328706147506</c:v>
                </c:pt>
                <c:pt idx="6">
                  <c:v>1.1864310647007665</c:v>
                </c:pt>
                <c:pt idx="7">
                  <c:v>1.2423458381425965</c:v>
                </c:pt>
                <c:pt idx="8">
                  <c:v>1.3008957936713348</c:v>
                </c:pt>
                <c:pt idx="9">
                  <c:v>1.3622051235925874</c:v>
                </c:pt>
                <c:pt idx="10">
                  <c:v>1.4264038732150022</c:v>
                </c:pt>
                <c:pt idx="11">
                  <c:v>1.4936282166938046</c:v>
                </c:pt>
                <c:pt idx="12">
                  <c:v>1.564020745874438</c:v>
                </c:pt>
                <c:pt idx="13">
                  <c:v>1.6377307727489852</c:v>
                </c:pt>
                <c:pt idx="14">
                  <c:v>1.7149146461669227</c:v>
                </c:pt>
                <c:pt idx="15">
                  <c:v>1.7957360834719918</c:v>
                </c:pt>
                <c:pt idx="16">
                  <c:v>1.880366517768636</c:v>
                </c:pt>
                <c:pt idx="17">
                  <c:v>1.968985461554598</c:v>
                </c:pt>
                <c:pt idx="18">
                  <c:v>2.061780887490997</c:v>
                </c:pt>
                <c:pt idx="19">
                  <c:v>2.158949627117543</c:v>
                </c:pt>
                <c:pt idx="20">
                  <c:v>2.260697788358624</c:v>
                </c:pt>
                <c:pt idx="21">
                  <c:v>2.3672411927058463</c:v>
                </c:pt>
                <c:pt idx="22">
                  <c:v>2.478805833004353</c:v>
                </c:pt>
                <c:pt idx="23">
                  <c:v>2.595628352813949</c:v>
                </c:pt>
                <c:pt idx="24">
                  <c:v>2.717956548361819</c:v>
                </c:pt>
                <c:pt idx="25">
                  <c:v>2.846049894151547</c:v>
                </c:pt>
                <c:pt idx="26">
                  <c:v>2.9801800933433262</c:v>
                </c:pt>
                <c:pt idx="27">
                  <c:v>3.1206316540727923</c:v>
                </c:pt>
                <c:pt idx="28">
                  <c:v>3.2677024929309204</c:v>
                </c:pt>
                <c:pt idx="29">
                  <c:v>3.4217045668850607</c:v>
                </c:pt>
                <c:pt idx="30">
                  <c:v>3.5829645349814863</c:v>
                </c:pt>
                <c:pt idx="31">
                  <c:v>3.7518244512330305</c:v>
                </c:pt>
                <c:pt idx="32">
                  <c:v>3.928642490161507</c:v>
                </c:pt>
                <c:pt idx="33">
                  <c:v>4.113793706533889</c:v>
                </c:pt>
                <c:pt idx="34">
                  <c:v>4.30767083090376</c:v>
                </c:pt>
                <c:pt idx="35">
                  <c:v>4.510685102645468</c:v>
                </c:pt>
                <c:pt idx="36">
                  <c:v>4.723267142247972</c:v>
                </c:pt>
                <c:pt idx="37">
                  <c:v>4.945867864718642</c:v>
                </c:pt>
                <c:pt idx="38">
                  <c:v>5.178959436034435</c:v>
                </c:pt>
                <c:pt idx="39">
                  <c:v>5.423036274669244</c:v>
                </c:pt>
                <c:pt idx="40">
                  <c:v>5.678616100321766</c:v>
                </c:pt>
                <c:pt idx="41">
                  <c:v>5.946241032068394</c:v>
                </c:pt>
                <c:pt idx="42">
                  <c:v>6.226478738270461</c:v>
                </c:pt>
                <c:pt idx="43">
                  <c:v>6.519923640674946</c:v>
                </c:pt>
                <c:pt idx="44">
                  <c:v>6.827198175262693</c:v>
                </c:pt>
                <c:pt idx="45">
                  <c:v>7.1489541125185765</c:v>
                </c:pt>
                <c:pt idx="46">
                  <c:v>7.485873939924086</c:v>
                </c:pt>
                <c:pt idx="47">
                  <c:v>7.838672309604777</c:v>
                </c:pt>
                <c:pt idx="48">
                  <c:v>8.208097554203244</c:v>
                </c:pt>
                <c:pt idx="49">
                  <c:v>8.594933274192984</c:v>
                </c:pt>
                <c:pt idx="50">
                  <c:v>9.000000000000066</c:v>
                </c:pt>
                <c:pt idx="51">
                  <c:v>9.424156932458168</c:v>
                </c:pt>
                <c:pt idx="52">
                  <c:v>9.868303765288742</c:v>
                </c:pt>
              </c:numCache>
            </c:numRef>
          </c:xVal>
          <c:yVal>
            <c:numRef>
              <c:f>Electrons!$AE$3:$AE$55</c:f>
              <c:numCache>
                <c:ptCount val="53"/>
                <c:pt idx="0">
                  <c:v>4.648588726703035</c:v>
                </c:pt>
                <c:pt idx="1">
                  <c:v>4.093665179090859</c:v>
                </c:pt>
                <c:pt idx="2">
                  <c:v>3.604985423261247</c:v>
                </c:pt>
                <c:pt idx="3">
                  <c:v>3.1746416312465175</c:v>
                </c:pt>
                <c:pt idx="4">
                  <c:v>2.7956699690969</c:v>
                </c:pt>
                <c:pt idx="5">
                  <c:v>2.461937907946295</c:v>
                </c:pt>
                <c:pt idx="6">
                  <c:v>2.1680449872775713</c:v>
                </c:pt>
                <c:pt idx="7">
                  <c:v>1.909235424536118</c:v>
                </c:pt>
                <c:pt idx="8">
                  <c:v>1.681321156938209</c:v>
                </c:pt>
                <c:pt idx="9">
                  <c:v>1.480614070134838</c:v>
                </c:pt>
                <c:pt idx="10">
                  <c:v>1.3038663170535587</c:v>
                </c:pt>
                <c:pt idx="11">
                  <c:v>1.1482177611563478</c:v>
                </c:pt>
                <c:pt idx="12">
                  <c:v>1.0111496936389837</c:v>
                </c:pt>
                <c:pt idx="13">
                  <c:v>0.8904440756225085</c:v>
                </c:pt>
                <c:pt idx="14">
                  <c:v>0.7841476457929023</c:v>
                </c:pt>
                <c:pt idx="15">
                  <c:v>0.6905403126779008</c:v>
                </c:pt>
                <c:pt idx="16">
                  <c:v>0.6081073200839914</c:v>
                </c:pt>
                <c:pt idx="17">
                  <c:v>0.5355147352740038</c:v>
                </c:pt>
                <c:pt idx="18">
                  <c:v>0.47158786323436636</c:v>
                </c:pt>
                <c:pt idx="19">
                  <c:v>0.4152922377311686</c:v>
                </c:pt>
                <c:pt idx="20">
                  <c:v>0.3657168815518259</c:v>
                </c:pt>
                <c:pt idx="21">
                  <c:v>0.32205956504915956</c:v>
                </c:pt>
                <c:pt idx="22">
                  <c:v>0.283613824441285</c:v>
                </c:pt>
                <c:pt idx="23">
                  <c:v>0.24975752979711716</c:v>
                </c:pt>
                <c:pt idx="24">
                  <c:v>0.2199428177143452</c:v>
                </c:pt>
                <c:pt idx="25">
                  <c:v>0.1936872257802258</c:v>
                </c:pt>
                <c:pt idx="26">
                  <c:v>0.1705658853528152</c:v>
                </c:pt>
                <c:pt idx="27">
                  <c:v>0.15020464632603503</c:v>
                </c:pt>
                <c:pt idx="28">
                  <c:v>0.1322740226233457</c:v>
                </c:pt>
                <c:pt idx="29">
                  <c:v>0.11648386044585833</c:v>
                </c:pt>
                <c:pt idx="30">
                  <c:v>0.10257864299634166</c:v>
                </c:pt>
                <c:pt idx="31">
                  <c:v>0.09033335570005181</c:v>
                </c:pt>
                <c:pt idx="32">
                  <c:v>0.0795498450132851</c:v>
                </c:pt>
                <c:pt idx="33">
                  <c:v>0.07005361189780368</c:v>
                </c:pt>
                <c:pt idx="34">
                  <c:v>0.061690988073057014</c:v>
                </c:pt>
                <c:pt idx="35">
                  <c:v>0.0543266493522424</c:v>
                </c:pt>
                <c:pt idx="36">
                  <c:v>0.04784142582294756</c:v>
                </c:pt>
                <c:pt idx="37">
                  <c:v>0.04213037343666258</c:v>
                </c:pt>
                <c:pt idx="38">
                  <c:v>0.03710107580157578</c:v>
                </c:pt>
                <c:pt idx="39">
                  <c:v>0.03267214869822227</c:v>
                </c:pt>
                <c:pt idx="40">
                  <c:v>0.028771923118019356</c:v>
                </c:pt>
                <c:pt idx="41">
                  <c:v>0.025337285513586653</c:v>
                </c:pt>
                <c:pt idx="42">
                  <c:v>0.02231265649375203</c:v>
                </c:pt>
                <c:pt idx="43">
                  <c:v>0.01964909143646065</c:v>
                </c:pt>
                <c:pt idx="44">
                  <c:v>0.017303488465683293</c:v>
                </c:pt>
                <c:pt idx="45">
                  <c:v>0.015237890975785838</c:v>
                </c:pt>
                <c:pt idx="46">
                  <c:v>0.013418873416792633</c:v>
                </c:pt>
                <c:pt idx="47">
                  <c:v>0.011817000401305068</c:v>
                </c:pt>
                <c:pt idx="48">
                  <c:v>0.01040635038033029</c:v>
                </c:pt>
                <c:pt idx="49">
                  <c:v>0.009164096180130508</c:v>
                </c:pt>
                <c:pt idx="50">
                  <c:v>0.008070135612329537</c:v>
                </c:pt>
                <c:pt idx="51">
                  <c:v>0.007106766179800389</c:v>
                </c:pt>
                <c:pt idx="52">
                  <c:v>0.006258398614416282</c:v>
                </c:pt>
              </c:numCache>
            </c:numRef>
          </c:yVal>
          <c:smooth val="0"/>
        </c:ser>
        <c:axId val="11849533"/>
        <c:axId val="39536934"/>
      </c:scatterChart>
      <c:valAx>
        <c:axId val="11849533"/>
        <c:scaling>
          <c:logBase val="10"/>
          <c:orientation val="minMax"/>
        </c:scaling>
        <c:axPos val="b"/>
        <c:title>
          <c:tx>
            <c:rich>
              <a:bodyPr vert="horz" rot="0" anchor="ctr"/>
              <a:lstStyle/>
              <a:p>
                <a:pPr algn="ctr">
                  <a:defRPr/>
                </a:pPr>
                <a:r>
                  <a:rPr lang="en-US" cap="none" sz="1000" b="1" i="0" u="none" baseline="0">
                    <a:latin typeface="Arial"/>
                    <a:ea typeface="Arial"/>
                    <a:cs typeface="Arial"/>
                  </a:rPr>
                  <a:t>E; (GeV)</a:t>
                </a:r>
              </a:p>
            </c:rich>
          </c:tx>
          <c:layout/>
          <c:overlay val="0"/>
          <c:spPr>
            <a:noFill/>
            <a:ln>
              <a:noFill/>
            </a:ln>
          </c:spPr>
        </c:title>
        <c:majorGridlines/>
        <c:minorGridlines/>
        <c:delete val="0"/>
        <c:numFmt formatCode="General" sourceLinked="0"/>
        <c:majorTickMark val="out"/>
        <c:minorTickMark val="none"/>
        <c:tickLblPos val="nextTo"/>
        <c:crossAx val="39536934"/>
        <c:crossesAt val="1E-28"/>
        <c:crossBetween val="midCat"/>
        <c:dispUnits/>
      </c:valAx>
      <c:valAx>
        <c:axId val="39536934"/>
        <c:scaling>
          <c:logBase val="10"/>
          <c:orientation val="minMax"/>
        </c:scaling>
        <c:axPos val="l"/>
        <c:title>
          <c:tx>
            <c:rich>
              <a:bodyPr vert="horz" rot="-5400000" anchor="ctr"/>
              <a:lstStyle/>
              <a:p>
                <a:pPr algn="ctr">
                  <a:defRPr/>
                </a:pPr>
                <a:r>
                  <a:rPr lang="en-US" cap="none" sz="1000" b="1" i="0" u="none" baseline="0">
                    <a:latin typeface="Arial"/>
                    <a:ea typeface="Arial"/>
                    <a:cs typeface="Arial"/>
                  </a:rPr>
                  <a:t>dN/dE; (m^2 s sr GeV)^-1</a:t>
                </a:r>
              </a:p>
            </c:rich>
          </c:tx>
          <c:layout/>
          <c:overlay val="0"/>
          <c:spPr>
            <a:noFill/>
            <a:ln>
              <a:noFill/>
            </a:ln>
          </c:spPr>
        </c:title>
        <c:majorGridlines/>
        <c:minorGridlines/>
        <c:delete val="0"/>
        <c:numFmt formatCode="General" sourceLinked="0"/>
        <c:majorTickMark val="out"/>
        <c:minorTickMark val="none"/>
        <c:tickLblPos val="nextTo"/>
        <c:crossAx val="11849533"/>
        <c:crossesAt val="1E-24"/>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Total distance traveled by an incident Electron as a function of Energy</a:t>
            </a:r>
          </a:p>
        </c:rich>
      </c:tx>
      <c:layout/>
      <c:spPr>
        <a:noFill/>
        <a:ln>
          <a:noFill/>
        </a:ln>
      </c:spPr>
    </c:title>
    <c:plotArea>
      <c:layout/>
      <c:scatterChart>
        <c:scatterStyle val="lineMarker"/>
        <c:varyColors val="0"/>
        <c:ser>
          <c:idx val="0"/>
          <c:order val="0"/>
          <c:tx>
            <c:v>x(E)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xVal>
            <c:numRef>
              <c:f>'e -dE'!$A$29:$A$44</c:f>
              <c:numCache>
                <c:ptCount val="16"/>
                <c:pt idx="0">
                  <c:v>0.015</c:v>
                </c:pt>
                <c:pt idx="1">
                  <c:v>0.02</c:v>
                </c:pt>
                <c:pt idx="2">
                  <c:v>0.03</c:v>
                </c:pt>
                <c:pt idx="3">
                  <c:v>0.09</c:v>
                </c:pt>
                <c:pt idx="4">
                  <c:v>0.11</c:v>
                </c:pt>
                <c:pt idx="5">
                  <c:v>0.17</c:v>
                </c:pt>
                <c:pt idx="6">
                  <c:v>0.24</c:v>
                </c:pt>
                <c:pt idx="7">
                  <c:v>0.3</c:v>
                </c:pt>
                <c:pt idx="8">
                  <c:v>0.41</c:v>
                </c:pt>
                <c:pt idx="9">
                  <c:v>0.6</c:v>
                </c:pt>
                <c:pt idx="10">
                  <c:v>0.85</c:v>
                </c:pt>
                <c:pt idx="11">
                  <c:v>1.2</c:v>
                </c:pt>
                <c:pt idx="12">
                  <c:v>1.8</c:v>
                </c:pt>
                <c:pt idx="13">
                  <c:v>2.5</c:v>
                </c:pt>
                <c:pt idx="14">
                  <c:v>3.8</c:v>
                </c:pt>
                <c:pt idx="15">
                  <c:v>7</c:v>
                </c:pt>
              </c:numCache>
            </c:numRef>
          </c:xVal>
          <c:yVal>
            <c:numRef>
              <c:f>'e -dE'!$I$29:$I$44</c:f>
              <c:numCache>
                <c:ptCount val="16"/>
                <c:pt idx="0">
                  <c:v>0.08151</c:v>
                </c:pt>
                <c:pt idx="1">
                  <c:v>0.0960429215936874</c:v>
                </c:pt>
                <c:pt idx="2">
                  <c:v>0.12111314933322608</c:v>
                </c:pt>
                <c:pt idx="3">
                  <c:v>0.22387514555493412</c:v>
                </c:pt>
                <c:pt idx="4">
                  <c:v>0.24531887071098543</c:v>
                </c:pt>
                <c:pt idx="5">
                  <c:v>0.2960122842385851</c:v>
                </c:pt>
                <c:pt idx="6">
                  <c:v>0.33861642411639997</c:v>
                </c:pt>
                <c:pt idx="7">
                  <c:v>0.36694255931514874</c:v>
                </c:pt>
                <c:pt idx="8">
                  <c:v>0.40788932200749567</c:v>
                </c:pt>
                <c:pt idx="9">
                  <c:v>0.4594353307984028</c:v>
                </c:pt>
                <c:pt idx="10">
                  <c:v>0.5073210785560195</c:v>
                </c:pt>
                <c:pt idx="11">
                  <c:v>0.5553058518595</c:v>
                </c:pt>
                <c:pt idx="12">
                  <c:v>0.6126530277817591</c:v>
                </c:pt>
                <c:pt idx="13">
                  <c:v>0.6589748723448534</c:v>
                </c:pt>
                <c:pt idx="14">
                  <c:v>0.7188980056798555</c:v>
                </c:pt>
                <c:pt idx="15">
                  <c:v>0.8094793533873464</c:v>
                </c:pt>
              </c:numCache>
            </c:numRef>
          </c:yVal>
          <c:smooth val="0"/>
        </c:ser>
        <c:axId val="20288087"/>
        <c:axId val="48375056"/>
      </c:scatterChart>
      <c:valAx>
        <c:axId val="20288087"/>
        <c:scaling>
          <c:logBase val="10"/>
          <c:orientation val="minMax"/>
        </c:scaling>
        <c:axPos val="b"/>
        <c:title>
          <c:tx>
            <c:rich>
              <a:bodyPr vert="horz" rot="0" anchor="ctr"/>
              <a:lstStyle/>
              <a:p>
                <a:pPr algn="ctr">
                  <a:defRPr/>
                </a:pPr>
                <a:r>
                  <a:rPr lang="en-US" cap="none" sz="1000" b="1" i="0" u="none" baseline="0">
                    <a:latin typeface="Arial"/>
                    <a:ea typeface="Arial"/>
                    <a:cs typeface="Arial"/>
                  </a:rPr>
                  <a:t>E; (GeV)</a:t>
                </a:r>
              </a:p>
            </c:rich>
          </c:tx>
          <c:layout/>
          <c:overlay val="0"/>
          <c:spPr>
            <a:noFill/>
            <a:ln>
              <a:noFill/>
            </a:ln>
          </c:spPr>
        </c:title>
        <c:majorGridlines/>
        <c:minorGridlines/>
        <c:delete val="0"/>
        <c:numFmt formatCode="General" sourceLinked="1"/>
        <c:majorTickMark val="out"/>
        <c:minorTickMark val="none"/>
        <c:tickLblPos val="nextTo"/>
        <c:crossAx val="48375056"/>
        <c:crosses val="autoZero"/>
        <c:crossBetween val="midCat"/>
        <c:dispUnits/>
      </c:valAx>
      <c:valAx>
        <c:axId val="48375056"/>
        <c:scaling>
          <c:orientation val="minMax"/>
        </c:scaling>
        <c:axPos val="l"/>
        <c:title>
          <c:tx>
            <c:rich>
              <a:bodyPr vert="horz" rot="-5400000" anchor="ctr"/>
              <a:lstStyle/>
              <a:p>
                <a:pPr algn="ctr">
                  <a:defRPr/>
                </a:pPr>
                <a:r>
                  <a:rPr lang="en-US" cap="none" sz="1000" b="1" i="0" u="none" baseline="0">
                    <a:latin typeface="Arial"/>
                    <a:ea typeface="Arial"/>
                    <a:cs typeface="Arial"/>
                  </a:rPr>
                  <a:t>x (m)</a:t>
                </a:r>
              </a:p>
            </c:rich>
          </c:tx>
          <c:layout/>
          <c:overlay val="0"/>
          <c:spPr>
            <a:noFill/>
            <a:ln>
              <a:noFill/>
            </a:ln>
          </c:spPr>
        </c:title>
        <c:majorGridlines/>
        <c:minorGridlines/>
        <c:delete val="0"/>
        <c:numFmt formatCode="General" sourceLinked="1"/>
        <c:majorTickMark val="out"/>
        <c:minorTickMark val="none"/>
        <c:tickLblPos val="nextTo"/>
        <c:crossAx val="20288087"/>
        <c:crossesAt val="0.001"/>
        <c:crossBetween val="midCat"/>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Product of Differential Flux and Length AND Total Length through an Area, both as a function of Energy</a:t>
            </a:r>
          </a:p>
        </c:rich>
      </c:tx>
      <c:layout/>
      <c:spPr>
        <a:noFill/>
        <a:ln>
          <a:noFill/>
        </a:ln>
      </c:spPr>
    </c:title>
    <c:plotArea>
      <c:layout/>
      <c:scatterChart>
        <c:scatterStyle val="lineMarker"/>
        <c:varyColors val="0"/>
        <c:ser>
          <c:idx val="0"/>
          <c:order val="0"/>
          <c:tx>
            <c:strRef>
              <c:f>'e -dE'!$K$27</c:f>
              <c:strCache>
                <c:ptCount val="1"/>
                <c:pt idx="0">
                  <c:v>(dN*x(E))/dE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xVal>
            <c:numRef>
              <c:f>'e -dE'!$A$28:$A$44</c:f>
              <c:numCache>
                <c:ptCount val="17"/>
                <c:pt idx="1">
                  <c:v>0.015</c:v>
                </c:pt>
                <c:pt idx="2">
                  <c:v>0.02</c:v>
                </c:pt>
                <c:pt idx="3">
                  <c:v>0.03</c:v>
                </c:pt>
                <c:pt idx="4">
                  <c:v>0.09</c:v>
                </c:pt>
                <c:pt idx="5">
                  <c:v>0.11</c:v>
                </c:pt>
                <c:pt idx="6">
                  <c:v>0.17</c:v>
                </c:pt>
                <c:pt idx="7">
                  <c:v>0.24</c:v>
                </c:pt>
                <c:pt idx="8">
                  <c:v>0.3</c:v>
                </c:pt>
                <c:pt idx="9">
                  <c:v>0.41</c:v>
                </c:pt>
                <c:pt idx="10">
                  <c:v>0.6</c:v>
                </c:pt>
                <c:pt idx="11">
                  <c:v>0.85</c:v>
                </c:pt>
                <c:pt idx="12">
                  <c:v>1.2</c:v>
                </c:pt>
                <c:pt idx="13">
                  <c:v>1.8</c:v>
                </c:pt>
                <c:pt idx="14">
                  <c:v>2.5</c:v>
                </c:pt>
                <c:pt idx="15">
                  <c:v>3.8</c:v>
                </c:pt>
                <c:pt idx="16">
                  <c:v>7</c:v>
                </c:pt>
              </c:numCache>
            </c:numRef>
          </c:xVal>
          <c:yVal>
            <c:numRef>
              <c:f>'e -dE'!$K$28:$K$44</c:f>
              <c:numCache>
                <c:ptCount val="17"/>
                <c:pt idx="1">
                  <c:v>113.1351432993765</c:v>
                </c:pt>
                <c:pt idx="2">
                  <c:v>95.70737947113392</c:v>
                </c:pt>
                <c:pt idx="3">
                  <c:v>60.34501007381395</c:v>
                </c:pt>
                <c:pt idx="4">
                  <c:v>23.902821431562188</c:v>
                </c:pt>
                <c:pt idx="5">
                  <c:v>11.350012510501188</c:v>
                </c:pt>
                <c:pt idx="6">
                  <c:v>8.42794615622638</c:v>
                </c:pt>
                <c:pt idx="7">
                  <c:v>4.820477294392868</c:v>
                </c:pt>
                <c:pt idx="8">
                  <c:v>2.611861312015157</c:v>
                </c:pt>
                <c:pt idx="9">
                  <c:v>2.612984734045104</c:v>
                </c:pt>
                <c:pt idx="10">
                  <c:v>1.308086331686186</c:v>
                </c:pt>
                <c:pt idx="11">
                  <c:v>0.9027654766479732</c:v>
                </c:pt>
                <c:pt idx="12">
                  <c:v>0.35573515543221806</c:v>
                </c:pt>
                <c:pt idx="13">
                  <c:v>0.15262815531088006</c:v>
                </c:pt>
                <c:pt idx="14">
                  <c:v>0.10084615429842503</c:v>
                </c:pt>
                <c:pt idx="15">
                  <c:v>0.02046818326905968</c:v>
                </c:pt>
                <c:pt idx="16">
                  <c:v>0.0040332565046513</c:v>
                </c:pt>
              </c:numCache>
            </c:numRef>
          </c:yVal>
          <c:smooth val="0"/>
        </c:ser>
        <c:axId val="32722321"/>
        <c:axId val="26065434"/>
      </c:scatterChart>
      <c:scatterChart>
        <c:scatterStyle val="lineMarker"/>
        <c:varyColors val="0"/>
        <c:ser>
          <c:idx val="1"/>
          <c:order val="1"/>
          <c:tx>
            <c:v>N*x(E)</c:v>
          </c:tx>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xVal>
            <c:numRef>
              <c:f>'e -dE'!$A$29:$A$44</c:f>
              <c:numCache>
                <c:ptCount val="16"/>
                <c:pt idx="0">
                  <c:v>0.015</c:v>
                </c:pt>
                <c:pt idx="1">
                  <c:v>0.02</c:v>
                </c:pt>
                <c:pt idx="2">
                  <c:v>0.03</c:v>
                </c:pt>
                <c:pt idx="3">
                  <c:v>0.09</c:v>
                </c:pt>
                <c:pt idx="4">
                  <c:v>0.11</c:v>
                </c:pt>
                <c:pt idx="5">
                  <c:v>0.17</c:v>
                </c:pt>
                <c:pt idx="6">
                  <c:v>0.24</c:v>
                </c:pt>
                <c:pt idx="7">
                  <c:v>0.3</c:v>
                </c:pt>
                <c:pt idx="8">
                  <c:v>0.41</c:v>
                </c:pt>
                <c:pt idx="9">
                  <c:v>0.6</c:v>
                </c:pt>
                <c:pt idx="10">
                  <c:v>0.85</c:v>
                </c:pt>
                <c:pt idx="11">
                  <c:v>1.2</c:v>
                </c:pt>
                <c:pt idx="12">
                  <c:v>1.8</c:v>
                </c:pt>
                <c:pt idx="13">
                  <c:v>2.5</c:v>
                </c:pt>
                <c:pt idx="14">
                  <c:v>3.8</c:v>
                </c:pt>
                <c:pt idx="15">
                  <c:v>7</c:v>
                </c:pt>
              </c:numCache>
            </c:numRef>
          </c:xVal>
          <c:yVal>
            <c:numRef>
              <c:f>'e -dE'!$L$29:$L$44</c:f>
              <c:numCache>
                <c:ptCount val="16"/>
                <c:pt idx="0">
                  <c:v>1.6970271494906473</c:v>
                </c:pt>
                <c:pt idx="1">
                  <c:v>2.219133456416923</c:v>
                </c:pt>
                <c:pt idx="2">
                  <c:v>2.999395404141662</c:v>
                </c:pt>
                <c:pt idx="3">
                  <c:v>5.526830349302946</c:v>
                </c:pt>
                <c:pt idx="4">
                  <c:v>5.87935868872358</c:v>
                </c:pt>
                <c:pt idx="5">
                  <c:v>6.472697448725407</c:v>
                </c:pt>
                <c:pt idx="6">
                  <c:v>6.93639226949708</c:v>
                </c:pt>
                <c:pt idx="7">
                  <c:v>7.159362427689321</c:v>
                </c:pt>
                <c:pt idx="8">
                  <c:v>7.446728960222635</c:v>
                </c:pt>
                <c:pt idx="9">
                  <c:v>7.819230711467108</c:v>
                </c:pt>
                <c:pt idx="10">
                  <c:v>8.095587187508878</c:v>
                </c:pt>
                <c:pt idx="11">
                  <c:v>8.315824798122911</c:v>
                </c:pt>
                <c:pt idx="12">
                  <c:v>8.46833379134584</c:v>
                </c:pt>
                <c:pt idx="13">
                  <c:v>8.557049799709096</c:v>
                </c:pt>
                <c:pt idx="14">
                  <c:v>8.63590411912796</c:v>
                </c:pt>
                <c:pt idx="15">
                  <c:v>8.675106422765898</c:v>
                </c:pt>
              </c:numCache>
            </c:numRef>
          </c:yVal>
          <c:smooth val="0"/>
        </c:ser>
        <c:axId val="33262315"/>
        <c:axId val="30925380"/>
      </c:scatterChart>
      <c:valAx>
        <c:axId val="32722321"/>
        <c:scaling>
          <c:logBase val="10"/>
          <c:orientation val="minMax"/>
          <c:min val="0.01"/>
        </c:scaling>
        <c:axPos val="b"/>
        <c:title>
          <c:tx>
            <c:rich>
              <a:bodyPr vert="horz" rot="0" anchor="ctr"/>
              <a:lstStyle/>
              <a:p>
                <a:pPr algn="ctr">
                  <a:defRPr/>
                </a:pPr>
                <a:r>
                  <a:rPr lang="en-US" cap="none" sz="1000" b="1" i="0" u="none" baseline="0">
                    <a:latin typeface="Arial"/>
                    <a:ea typeface="Arial"/>
                    <a:cs typeface="Arial"/>
                  </a:rPr>
                  <a:t>E; (GeV)</a:t>
                </a:r>
              </a:p>
            </c:rich>
          </c:tx>
          <c:layout/>
          <c:overlay val="0"/>
          <c:spPr>
            <a:noFill/>
            <a:ln>
              <a:noFill/>
            </a:ln>
          </c:spPr>
        </c:title>
        <c:majorGridlines/>
        <c:minorGridlines/>
        <c:delete val="0"/>
        <c:numFmt formatCode="General" sourceLinked="1"/>
        <c:majorTickMark val="out"/>
        <c:minorTickMark val="none"/>
        <c:tickLblPos val="nextTo"/>
        <c:crossAx val="26065434"/>
        <c:crossesAt val="1E-24"/>
        <c:crossBetween val="midCat"/>
        <c:dispUnits/>
      </c:valAx>
      <c:valAx>
        <c:axId val="26065434"/>
        <c:scaling>
          <c:logBase val="10"/>
          <c:orientation val="minMax"/>
        </c:scaling>
        <c:axPos val="l"/>
        <c:title>
          <c:tx>
            <c:rich>
              <a:bodyPr vert="horz" rot="-5400000" anchor="ctr"/>
              <a:lstStyle/>
              <a:p>
                <a:pPr algn="ctr">
                  <a:defRPr/>
                </a:pPr>
                <a:r>
                  <a:rPr lang="en-US" cap="none" sz="1000" b="1" i="0" u="none" baseline="0">
                    <a:latin typeface="Arial"/>
                    <a:ea typeface="Arial"/>
                    <a:cs typeface="Arial"/>
                  </a:rPr>
                  <a:t>(dN*x(E))/dE; (m s sr GeV)^-1</a:t>
                </a:r>
              </a:p>
            </c:rich>
          </c:tx>
          <c:layout/>
          <c:overlay val="0"/>
          <c:spPr>
            <a:noFill/>
            <a:ln>
              <a:noFill/>
            </a:ln>
          </c:spPr>
        </c:title>
        <c:majorGridlines/>
        <c:minorGridlines/>
        <c:delete val="0"/>
        <c:numFmt formatCode="General" sourceLinked="1"/>
        <c:majorTickMark val="out"/>
        <c:minorTickMark val="none"/>
        <c:tickLblPos val="nextTo"/>
        <c:crossAx val="32722321"/>
        <c:crossesAt val="0.01"/>
        <c:crossBetween val="midCat"/>
        <c:dispUnits/>
      </c:valAx>
      <c:valAx>
        <c:axId val="33262315"/>
        <c:scaling>
          <c:logBase val="10"/>
          <c:orientation val="minMax"/>
        </c:scaling>
        <c:axPos val="b"/>
        <c:delete val="1"/>
        <c:majorTickMark val="in"/>
        <c:minorTickMark val="none"/>
        <c:tickLblPos val="nextTo"/>
        <c:crossAx val="30925380"/>
        <c:crosses val="max"/>
        <c:crossBetween val="midCat"/>
        <c:dispUnits/>
      </c:valAx>
      <c:valAx>
        <c:axId val="30925380"/>
        <c:scaling>
          <c:orientation val="minMax"/>
        </c:scaling>
        <c:axPos val="l"/>
        <c:title>
          <c:tx>
            <c:rich>
              <a:bodyPr vert="horz" rot="-5400000" anchor="ctr"/>
              <a:lstStyle/>
              <a:p>
                <a:pPr algn="ctr">
                  <a:defRPr/>
                </a:pPr>
                <a:r>
                  <a:rPr lang="en-US" cap="none" sz="1000" b="1" i="0" u="none" baseline="0">
                    <a:latin typeface="Arial"/>
                    <a:ea typeface="Arial"/>
                    <a:cs typeface="Arial"/>
                  </a:rPr>
                  <a:t>N*x(E) from 0 to E; (m s sr)^-1</a:t>
                </a:r>
              </a:p>
            </c:rich>
          </c:tx>
          <c:layout/>
          <c:overlay val="0"/>
          <c:spPr>
            <a:noFill/>
            <a:ln>
              <a:noFill/>
            </a:ln>
          </c:spPr>
        </c:title>
        <c:delete val="0"/>
        <c:numFmt formatCode="General" sourceLinked="1"/>
        <c:majorTickMark val="in"/>
        <c:minorTickMark val="none"/>
        <c:tickLblPos val="nextTo"/>
        <c:crossAx val="33262315"/>
        <c:crosses val="max"/>
        <c:crossBetween val="midCat"/>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tx>
            <c:v>moved electrons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'Sum Length'!$B$10:$B$90</c:f>
              <c:numCache/>
            </c:numRef>
          </c:xVal>
          <c:yVal>
            <c:numRef>
              <c:f>'Sum Length'!$D$10:$D$90</c:f>
              <c:numCache/>
            </c:numRef>
          </c:yVal>
          <c:smooth val="0"/>
        </c:ser>
        <c:ser>
          <c:idx val="1"/>
          <c:order val="1"/>
          <c:tx>
            <c:v>photons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xVal>
            <c:numRef>
              <c:f>'Sum Length'!$F$10:$F$79</c:f>
              <c:numCache/>
            </c:numRef>
          </c:xVal>
          <c:yVal>
            <c:numRef>
              <c:f>'Sum Length'!$J$10:$J$79</c:f>
              <c:numCache/>
            </c:numRef>
          </c:yVal>
          <c:smooth val="0"/>
        </c:ser>
        <c:axId val="9892965"/>
        <c:axId val="21927822"/>
      </c:scatterChart>
      <c:valAx>
        <c:axId val="9892965"/>
        <c:scaling>
          <c:logBase val="10"/>
          <c:orientation val="minMax"/>
        </c:scaling>
        <c:axPos val="b"/>
        <c:title>
          <c:tx>
            <c:rich>
              <a:bodyPr vert="horz" rot="0" anchor="ctr"/>
              <a:lstStyle/>
              <a:p>
                <a:pPr algn="ctr">
                  <a:defRPr/>
                </a:pPr>
                <a:r>
                  <a:rPr lang="en-US" cap="none" sz="1625" b="1" i="0" u="none" baseline="0">
                    <a:latin typeface="Arial"/>
                    <a:ea typeface="Arial"/>
                    <a:cs typeface="Arial"/>
                  </a:rPr>
                  <a:t>MeV</a:t>
                </a:r>
              </a:p>
            </c:rich>
          </c:tx>
          <c:layout/>
          <c:overlay val="0"/>
          <c:spPr>
            <a:noFill/>
            <a:ln>
              <a:noFill/>
            </a:ln>
          </c:spPr>
        </c:title>
        <c:majorGridlines/>
        <c:minorGridlines/>
        <c:delete val="0"/>
        <c:numFmt formatCode="General" sourceLinked="1"/>
        <c:majorTickMark val="out"/>
        <c:minorTickMark val="none"/>
        <c:tickLblPos val="nextTo"/>
        <c:crossAx val="21927822"/>
        <c:crossesAt val="1E-35"/>
        <c:crossBetween val="midCat"/>
        <c:dispUnits/>
      </c:valAx>
      <c:valAx>
        <c:axId val="21927822"/>
        <c:scaling>
          <c:logBase val="10"/>
          <c:orientation val="minMax"/>
        </c:scaling>
        <c:axPos val="l"/>
        <c:title>
          <c:tx>
            <c:rich>
              <a:bodyPr vert="horz" rot="-5400000" anchor="ctr"/>
              <a:lstStyle/>
              <a:p>
                <a:pPr algn="ctr">
                  <a:defRPr/>
                </a:pPr>
                <a:r>
                  <a:rPr lang="en-US" cap="none" sz="1625" b="1" i="0" u="none" baseline="0">
                    <a:latin typeface="Arial"/>
                    <a:ea typeface="Arial"/>
                    <a:cs typeface="Arial"/>
                  </a:rPr>
                  <a:t>Length (cm)</a:t>
                </a:r>
              </a:p>
            </c:rich>
          </c:tx>
          <c:layout/>
          <c:overlay val="0"/>
          <c:spPr>
            <a:noFill/>
            <a:ln>
              <a:noFill/>
            </a:ln>
          </c:spPr>
        </c:title>
        <c:majorGridlines/>
        <c:minorGridlines/>
        <c:delete val="0"/>
        <c:numFmt formatCode="General" sourceLinked="1"/>
        <c:majorTickMark val="out"/>
        <c:minorTickMark val="none"/>
        <c:tickLblPos val="nextTo"/>
        <c:crossAx val="9892965"/>
        <c:crossesAt val="1E-35"/>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625"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3.xml" /></Relationships>
</file>

<file path=xl/chartsheets/sheet1.xml><?xml version="1.0" encoding="utf-8"?>
<chartsheet xmlns="http://schemas.openxmlformats.org/spreadsheetml/2006/main" xmlns:r="http://schemas.openxmlformats.org/officeDocument/2006/relationships">
  <sheetViews>
    <sheetView workbookViewId="0" zoomScale="136"/>
  </sheetViews>
  <pageMargins left="0.75" right="0.75" top="1" bottom="1" header="0.5" footer="0.5"/>
  <pageSetup horizontalDpi="600" verticalDpi="600" orientation="landscape"/>
  <drawing r:id="rId1"/>
</chartsheet>
</file>

<file path=xl/chartsheets/sheet2.xml><?xml version="1.0" encoding="utf-8"?>
<chartsheet xmlns="http://schemas.openxmlformats.org/spreadsheetml/2006/main" xmlns:r="http://schemas.openxmlformats.org/officeDocument/2006/relationships">
  <sheetViews>
    <sheetView workbookViewId="0" zoomScale="136"/>
  </sheetViews>
  <pageMargins left="0.75" right="0.75" top="1" bottom="1" header="0.5" footer="0.5"/>
  <pageSetup horizontalDpi="600" verticalDpi="600" orientation="landscape"/>
  <drawing r:id="rId1"/>
</chartsheet>
</file>

<file path=xl/chartsheets/sheet3.xml><?xml version="1.0" encoding="utf-8"?>
<chartsheet xmlns="http://schemas.openxmlformats.org/spreadsheetml/2006/main" xmlns:r="http://schemas.openxmlformats.org/officeDocument/2006/relationships">
  <sheetViews>
    <sheetView workbookViewId="0" zoomScale="136"/>
  </sheetViews>
  <pageMargins left="0.75" right="0.75" top="1" bottom="1" header="0.5" footer="0.5"/>
  <pageSetup horizontalDpi="600" verticalDpi="600" orientation="landscape"/>
  <drawing r:id="rId1"/>
</chartsheet>
</file>

<file path=xl/chartsheets/sheet4.xml><?xml version="1.0" encoding="utf-8"?>
<chartsheet xmlns="http://schemas.openxmlformats.org/spreadsheetml/2006/main" xmlns:r="http://schemas.openxmlformats.org/officeDocument/2006/relationships">
  <sheetViews>
    <sheetView workbookViewId="0" zoomScale="136"/>
  </sheetViews>
  <pageMargins left="0.75" right="0.75" top="1" bottom="1" header="0.5" footer="0.5"/>
  <pageSetup horizontalDpi="600" verticalDpi="600" orientation="landscape"/>
  <drawing r:id="rId1"/>
</chartsheet>
</file>

<file path=xl/chartsheets/sheet5.xml><?xml version="1.0" encoding="utf-8"?>
<chartsheet xmlns="http://schemas.openxmlformats.org/spreadsheetml/2006/main" xmlns:r="http://schemas.openxmlformats.org/officeDocument/2006/relationships">
  <sheetViews>
    <sheetView workbookViewId="0" zoomScale="136"/>
  </sheetViews>
  <pageMargins left="0.75" right="0.75" top="1" bottom="1" header="0.5" footer="0.5"/>
  <pageSetup horizontalDpi="600" verticalDpi="600" orientation="landscape"/>
  <drawing r:id="rId1"/>
</chartsheet>
</file>

<file path=xl/chartsheets/sheet6.xml><?xml version="1.0" encoding="utf-8"?>
<chartsheet xmlns="http://schemas.openxmlformats.org/spreadsheetml/2006/main" xmlns:r="http://schemas.openxmlformats.org/officeDocument/2006/relationships">
  <sheetViews>
    <sheetView workbookViewId="0" zoomScale="136"/>
  </sheetViews>
  <pageMargins left="0.75" right="0.75" top="1" bottom="1" header="0.5" footer="0.5"/>
  <pageSetup horizontalDpi="600" verticalDpi="600" orientation="landscape"/>
  <drawing r:id="rId1"/>
</chartsheet>
</file>

<file path=xl/chartsheets/sheet7.xml><?xml version="1.0" encoding="utf-8"?>
<chartsheet xmlns="http://schemas.openxmlformats.org/spreadsheetml/2006/main" xmlns:r="http://schemas.openxmlformats.org/officeDocument/2006/relationships">
  <sheetViews>
    <sheetView workbookViewId="0" zoomScale="136"/>
  </sheetViews>
  <pageMargins left="0.75" right="0.75" top="1" bottom="1" header="0.5" footer="0.5"/>
  <pageSetup horizontalDpi="600" verticalDpi="600" orientation="landscape"/>
  <drawing r:id="rId1"/>
</chartsheet>
</file>

<file path=xl/drawings/_rels/drawing11.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0.08775</cdr:x>
      <cdr:y>0.06625</cdr:y>
    </cdr:from>
    <cdr:to>
      <cdr:x>0.69425</cdr:x>
      <cdr:y>0.094</cdr:y>
    </cdr:to>
    <cdr:sp>
      <cdr:nvSpPr>
        <cdr:cNvPr id="1" name="TextBox 1"/>
        <cdr:cNvSpPr txBox="1">
          <a:spLocks noChangeArrowheads="1"/>
        </cdr:cNvSpPr>
      </cdr:nvSpPr>
      <cdr:spPr>
        <a:xfrm>
          <a:off x="752475" y="390525"/>
          <a:ext cx="5267325" cy="1619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Electrons are from 'Electrons!H3:H19&amp;R3:R19'; Photons from 'Photons!H30:H36&amp;L30:L46'</a:t>
          </a: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0.0505</cdr:x>
      <cdr:y>0.0505</cdr:y>
    </cdr:from>
    <cdr:to>
      <cdr:x>0.32325</cdr:x>
      <cdr:y>0.112</cdr:y>
    </cdr:to>
    <cdr:sp>
      <cdr:nvSpPr>
        <cdr:cNvPr id="1" name="TextBox 1"/>
        <cdr:cNvSpPr txBox="1">
          <a:spLocks noChangeArrowheads="1"/>
        </cdr:cNvSpPr>
      </cdr:nvSpPr>
      <cdr:spPr>
        <a:xfrm>
          <a:off x="438150" y="295275"/>
          <a:ext cx="2362200" cy="36195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Data from 'e -dE'</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15025"/>
    <xdr:graphicFrame>
      <xdr:nvGraphicFramePr>
        <xdr:cNvPr id="1" name="Shape 1025"/>
        <xdr:cNvGraphicFramePr/>
      </xdr:nvGraphicFramePr>
      <xdr:xfrm>
        <a:off x="0" y="0"/>
        <a:ext cx="8677275" cy="5915025"/>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cdr:x>
      <cdr:y>0.08075</cdr:y>
    </cdr:from>
    <cdr:to>
      <cdr:x>0.36575</cdr:x>
      <cdr:y>0.1395</cdr:y>
    </cdr:to>
    <cdr:sp>
      <cdr:nvSpPr>
        <cdr:cNvPr id="1" name="TextBox 1"/>
        <cdr:cNvSpPr txBox="1">
          <a:spLocks noChangeArrowheads="1"/>
        </cdr:cNvSpPr>
      </cdr:nvSpPr>
      <cdr:spPr>
        <a:xfrm>
          <a:off x="581025" y="476250"/>
          <a:ext cx="2590800" cy="34290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Data from 'e -dE'</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15025"/>
    <xdr:graphicFrame>
      <xdr:nvGraphicFramePr>
        <xdr:cNvPr id="1" name="Shape 1025"/>
        <xdr:cNvGraphicFramePr/>
      </xdr:nvGraphicFramePr>
      <xdr:xfrm>
        <a:off x="0" y="0"/>
        <a:ext cx="8677275" cy="5915025"/>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409575</xdr:colOff>
      <xdr:row>15</xdr:row>
      <xdr:rowOff>123825</xdr:rowOff>
    </xdr:from>
    <xdr:to>
      <xdr:col>20</xdr:col>
      <xdr:colOff>352425</xdr:colOff>
      <xdr:row>41</xdr:row>
      <xdr:rowOff>66675</xdr:rowOff>
    </xdr:to>
    <xdr:graphicFrame>
      <xdr:nvGraphicFramePr>
        <xdr:cNvPr id="1" name="Chart 1"/>
        <xdr:cNvGraphicFramePr/>
      </xdr:nvGraphicFramePr>
      <xdr:xfrm>
        <a:off x="5391150" y="2552700"/>
        <a:ext cx="7258050" cy="41529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15025"/>
    <xdr:graphicFrame>
      <xdr:nvGraphicFramePr>
        <xdr:cNvPr id="1" name="Shape 1025"/>
        <xdr:cNvGraphicFramePr/>
      </xdr:nvGraphicFramePr>
      <xdr:xfrm>
        <a:off x="0" y="0"/>
        <a:ext cx="8677275" cy="591502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cdr:x>
      <cdr:y>0.04925</cdr:y>
    </cdr:from>
    <cdr:to>
      <cdr:x>0.39675</cdr:x>
      <cdr:y>0.1275</cdr:y>
    </cdr:to>
    <cdr:sp>
      <cdr:nvSpPr>
        <cdr:cNvPr id="1" name="TextBox 1"/>
        <cdr:cNvSpPr txBox="1">
          <a:spLocks noChangeArrowheads="1"/>
        </cdr:cNvSpPr>
      </cdr:nvSpPr>
      <cdr:spPr>
        <a:xfrm>
          <a:off x="342900" y="285750"/>
          <a:ext cx="3095625" cy="4667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These are values from the 1.5*e- depth-corrected values in 'Photons'</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15025"/>
    <xdr:graphicFrame>
      <xdr:nvGraphicFramePr>
        <xdr:cNvPr id="1" name="Shape 1025"/>
        <xdr:cNvGraphicFramePr/>
      </xdr:nvGraphicFramePr>
      <xdr:xfrm>
        <a:off x="0" y="0"/>
        <a:ext cx="8677275" cy="59150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0.045</cdr:x>
      <cdr:y>0.06625</cdr:y>
    </cdr:from>
    <cdr:to>
      <cdr:x>0.34775</cdr:x>
      <cdr:y>0.11075</cdr:y>
    </cdr:to>
    <cdr:sp>
      <cdr:nvSpPr>
        <cdr:cNvPr id="1" name="TextBox 1"/>
        <cdr:cNvSpPr txBox="1">
          <a:spLocks noChangeArrowheads="1"/>
        </cdr:cNvSpPr>
      </cdr:nvSpPr>
      <cdr:spPr>
        <a:xfrm>
          <a:off x="381000" y="390525"/>
          <a:ext cx="2628900" cy="26670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Data from 'photon -dE'</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15025"/>
    <xdr:graphicFrame>
      <xdr:nvGraphicFramePr>
        <xdr:cNvPr id="1" name="Shape 1025"/>
        <xdr:cNvGraphicFramePr/>
      </xdr:nvGraphicFramePr>
      <xdr:xfrm>
        <a:off x="0" y="0"/>
        <a:ext cx="8677275" cy="591502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15025"/>
    <xdr:graphicFrame>
      <xdr:nvGraphicFramePr>
        <xdr:cNvPr id="1" name="Shape 1025"/>
        <xdr:cNvGraphicFramePr/>
      </xdr:nvGraphicFramePr>
      <xdr:xfrm>
        <a:off x="0" y="0"/>
        <a:ext cx="8677275" cy="591502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0.071</cdr:x>
      <cdr:y>0.059</cdr:y>
    </cdr:from>
    <cdr:to>
      <cdr:x>0.3355</cdr:x>
      <cdr:y>0.11775</cdr:y>
    </cdr:to>
    <cdr:sp>
      <cdr:nvSpPr>
        <cdr:cNvPr id="1" name="TextBox 1"/>
        <cdr:cNvSpPr txBox="1">
          <a:spLocks noChangeArrowheads="1"/>
        </cdr:cNvSpPr>
      </cdr:nvSpPr>
      <cdr:spPr>
        <a:xfrm>
          <a:off x="609600" y="342900"/>
          <a:ext cx="2295525" cy="34290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Data from 'Electrons'</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15025"/>
    <xdr:graphicFrame>
      <xdr:nvGraphicFramePr>
        <xdr:cNvPr id="1" name="Shape 1025"/>
        <xdr:cNvGraphicFramePr/>
      </xdr:nvGraphicFramePr>
      <xdr:xfrm>
        <a:off x="0" y="0"/>
        <a:ext cx="8677275" cy="591502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5"/>
  <sheetViews>
    <sheetView workbookViewId="0" topLeftCell="A1">
      <selection activeCell="A2" sqref="A2"/>
    </sheetView>
  </sheetViews>
  <sheetFormatPr defaultColWidth="9.140625" defaultRowHeight="12.75"/>
  <cols>
    <col min="1" max="1" width="37.7109375" style="16" customWidth="1"/>
    <col min="2" max="2" width="35.8515625" style="16" customWidth="1"/>
    <col min="3" max="16384" width="9.140625" style="16" customWidth="1"/>
  </cols>
  <sheetData>
    <row r="1" ht="25.5">
      <c r="A1" s="16" t="s">
        <v>54</v>
      </c>
    </row>
    <row r="2" ht="25.5">
      <c r="A2" s="16" t="s">
        <v>9</v>
      </c>
    </row>
    <row r="4" spans="1:2" ht="25.5">
      <c r="A4" s="13" t="s">
        <v>5</v>
      </c>
      <c r="B4" s="13" t="s">
        <v>6</v>
      </c>
    </row>
    <row r="5" spans="1:2" ht="25.5">
      <c r="A5" s="13" t="s">
        <v>7</v>
      </c>
      <c r="B5" s="13" t="s">
        <v>8</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E62"/>
  <sheetViews>
    <sheetView workbookViewId="0" topLeftCell="A3">
      <selection activeCell="O43" sqref="O43"/>
    </sheetView>
  </sheetViews>
  <sheetFormatPr defaultColWidth="9.140625" defaultRowHeight="12.75"/>
  <cols>
    <col min="1" max="1" width="9.140625" style="1" customWidth="1"/>
    <col min="2" max="2" width="2.28125" style="1" bestFit="1" customWidth="1"/>
    <col min="3" max="3" width="6.00390625" style="1" customWidth="1"/>
    <col min="4" max="4" width="7.57421875" style="1" customWidth="1"/>
    <col min="5" max="5" width="2.28125" style="1" bestFit="1" customWidth="1"/>
    <col min="6" max="6" width="8.140625" style="1" customWidth="1"/>
    <col min="7" max="8" width="9.140625" style="1" customWidth="1"/>
    <col min="9" max="9" width="20.7109375" style="1" customWidth="1"/>
    <col min="10" max="10" width="18.00390625" style="1" bestFit="1" customWidth="1"/>
    <col min="11" max="12" width="16.8515625" style="1" customWidth="1"/>
    <col min="13" max="13" width="15.57421875" style="1" bestFit="1" customWidth="1"/>
    <col min="14" max="14" width="17.421875" style="1" bestFit="1" customWidth="1"/>
    <col min="15" max="15" width="18.421875" style="1" bestFit="1" customWidth="1"/>
    <col min="16" max="16384" width="9.140625" style="1" customWidth="1"/>
  </cols>
  <sheetData>
    <row r="1" spans="1:4" ht="25.5">
      <c r="A1" s="51" t="s">
        <v>4</v>
      </c>
      <c r="B1" s="51"/>
      <c r="C1" s="51"/>
      <c r="D1" s="51"/>
    </row>
    <row r="2" spans="1:31" s="2" customFormat="1" ht="38.25" customHeight="1">
      <c r="A2" s="50" t="s">
        <v>0</v>
      </c>
      <c r="B2" s="50"/>
      <c r="C2" s="50"/>
      <c r="D2" s="50" t="s">
        <v>3</v>
      </c>
      <c r="E2" s="50"/>
      <c r="F2" s="50"/>
      <c r="H2" s="3" t="s">
        <v>0</v>
      </c>
      <c r="I2" s="3" t="s">
        <v>62</v>
      </c>
      <c r="J2" s="3" t="s">
        <v>95</v>
      </c>
      <c r="K2" s="3" t="s">
        <v>94</v>
      </c>
      <c r="L2" s="3" t="s">
        <v>75</v>
      </c>
      <c r="M2" s="3" t="s">
        <v>74</v>
      </c>
      <c r="N2" s="3" t="s">
        <v>77</v>
      </c>
      <c r="O2" s="3" t="s">
        <v>73</v>
      </c>
      <c r="P2" s="3" t="s">
        <v>51</v>
      </c>
      <c r="Q2" s="3" t="s">
        <v>53</v>
      </c>
      <c r="S2" s="2" t="s">
        <v>57</v>
      </c>
      <c r="T2" s="2" t="s">
        <v>58</v>
      </c>
      <c r="U2" s="2" t="s">
        <v>56</v>
      </c>
      <c r="V2" s="2" t="s">
        <v>59</v>
      </c>
      <c r="X2" s="2" t="s">
        <v>96</v>
      </c>
      <c r="AA2" s="2" t="s">
        <v>1</v>
      </c>
      <c r="AB2" s="2" t="s">
        <v>97</v>
      </c>
      <c r="AD2" s="2" t="s">
        <v>1</v>
      </c>
      <c r="AE2" s="2" t="s">
        <v>97</v>
      </c>
    </row>
    <row r="3" spans="1:31" ht="12.75">
      <c r="A3" s="6">
        <v>1.6</v>
      </c>
      <c r="B3" s="7" t="s">
        <v>1</v>
      </c>
      <c r="C3" s="10">
        <v>-2</v>
      </c>
      <c r="D3" s="11">
        <v>1.1</v>
      </c>
      <c r="E3" s="8" t="s">
        <v>1</v>
      </c>
      <c r="F3" s="9">
        <v>0</v>
      </c>
      <c r="H3" s="4">
        <f>A3*10^C3</f>
        <v>0.016</v>
      </c>
      <c r="I3" s="4">
        <f>D3*10^F3</f>
        <v>1.1</v>
      </c>
      <c r="J3" s="4">
        <f>I3*10^4</f>
        <v>11000</v>
      </c>
      <c r="K3" s="4">
        <f>0.5*(J4+J3)*(H4-H3)+K4</f>
        <v>364.83985000000007</v>
      </c>
      <c r="L3" s="4">
        <f aca="true" t="shared" si="0" ref="L3:M17">$I3*K$22</f>
        <v>0</v>
      </c>
      <c r="M3" s="4">
        <f t="shared" si="0"/>
        <v>0.27024557073621563</v>
      </c>
      <c r="N3" s="4">
        <f aca="true" t="shared" si="1" ref="N3:N17">I3*M$22</f>
        <v>0.07879512301134443</v>
      </c>
      <c r="O3" s="4">
        <f>SUM(L3:N3)</f>
        <v>0.3490406937475601</v>
      </c>
      <c r="P3" s="4">
        <f>O3*100^2</f>
        <v>3490.406937475601</v>
      </c>
      <c r="Q3" s="4">
        <f>0.5*(P3+3000)*(H3-0.01)</f>
        <v>19.471220812426804</v>
      </c>
      <c r="S3" s="1">
        <f aca="true" t="shared" si="2" ref="S3:S17">LOG10(H3)</f>
        <v>-1.7958800173440752</v>
      </c>
      <c r="T3" s="1">
        <f aca="true" t="shared" si="3" ref="T3:T17">LOG10(P3)</f>
        <v>3.5428760631762133</v>
      </c>
      <c r="AA3" s="1">
        <v>0.09</v>
      </c>
      <c r="AB3" s="1">
        <f>$Y$11*AA3^$V$11</f>
        <v>507.65532974354477</v>
      </c>
      <c r="AD3" s="1">
        <v>0.9</v>
      </c>
      <c r="AE3" s="1">
        <f>$Y$17*AD3^$V$17</f>
        <v>6.098349902891617</v>
      </c>
    </row>
    <row r="4" spans="1:31" ht="12.75">
      <c r="A4" s="6">
        <v>3.4</v>
      </c>
      <c r="B4" s="7" t="s">
        <v>1</v>
      </c>
      <c r="C4" s="10">
        <v>-2</v>
      </c>
      <c r="D4" s="6">
        <v>5.5</v>
      </c>
      <c r="E4" s="7" t="s">
        <v>1</v>
      </c>
      <c r="F4" s="10">
        <v>-1</v>
      </c>
      <c r="H4" s="4">
        <f aca="true" t="shared" si="4" ref="H4:H17">A4*10^C4</f>
        <v>0.034</v>
      </c>
      <c r="I4" s="4">
        <f aca="true" t="shared" si="5" ref="I4:I17">D4*10^F4</f>
        <v>0.55</v>
      </c>
      <c r="J4" s="4">
        <f aca="true" t="shared" si="6" ref="J4:J17">I4*10^4</f>
        <v>5500</v>
      </c>
      <c r="K4" s="4">
        <f aca="true" t="shared" si="7" ref="K4:K16">0.5*(J5+J4)*(H5-H4)+K5</f>
        <v>216.33985000000004</v>
      </c>
      <c r="L4" s="4">
        <f t="shared" si="0"/>
        <v>0</v>
      </c>
      <c r="M4" s="4">
        <f t="shared" si="0"/>
        <v>0.13512278536810782</v>
      </c>
      <c r="N4" s="4">
        <f t="shared" si="1"/>
        <v>0.03939756150567222</v>
      </c>
      <c r="O4" s="4">
        <f aca="true" t="shared" si="8" ref="O4:O17">SUM(L4:N4)</f>
        <v>0.17452034687378004</v>
      </c>
      <c r="P4" s="4">
        <f aca="true" t="shared" si="9" ref="P4:P17">O4*100^2</f>
        <v>1745.2034687378004</v>
      </c>
      <c r="Q4" s="4">
        <f aca="true" t="shared" si="10" ref="Q4:Q17">Q3+0.5*(P4+P3)*(H4-H3)</f>
        <v>66.59171446834742</v>
      </c>
      <c r="S4" s="1">
        <f t="shared" si="2"/>
        <v>-1.4685210829577449</v>
      </c>
      <c r="T4" s="1">
        <f t="shared" si="3"/>
        <v>3.241846067512232</v>
      </c>
      <c r="AA4" s="1">
        <f>10^(LOG(AA3)+0.02)</f>
        <v>0.09424156932458091</v>
      </c>
      <c r="AB4" s="1">
        <f aca="true" t="shared" si="11" ref="AB4:AB50">$Y$11*AA4^$V$11</f>
        <v>462.7808151359158</v>
      </c>
      <c r="AD4" s="1">
        <f>10^(LOG(AD3)+0.02)</f>
        <v>0.9424156932458096</v>
      </c>
      <c r="AE4" s="1">
        <f aca="true" t="shared" si="12" ref="AE4:AE62">$Y$17*AD4^$V$17</f>
        <v>5.372253458627915</v>
      </c>
    </row>
    <row r="5" spans="1:31" ht="12.75">
      <c r="A5" s="6">
        <v>8.9</v>
      </c>
      <c r="B5" s="7" t="s">
        <v>1</v>
      </c>
      <c r="C5" s="10">
        <v>-2</v>
      </c>
      <c r="D5" s="6">
        <v>6</v>
      </c>
      <c r="E5" s="7" t="s">
        <v>1</v>
      </c>
      <c r="F5" s="10">
        <v>-2</v>
      </c>
      <c r="H5" s="4">
        <f t="shared" si="4"/>
        <v>0.08900000000000001</v>
      </c>
      <c r="I5" s="4">
        <f t="shared" si="5"/>
        <v>0.06</v>
      </c>
      <c r="J5" s="4">
        <f t="shared" si="6"/>
        <v>600</v>
      </c>
      <c r="K5" s="4">
        <f t="shared" si="7"/>
        <v>48.589850000000006</v>
      </c>
      <c r="L5" s="4">
        <f t="shared" si="0"/>
        <v>0</v>
      </c>
      <c r="M5" s="4">
        <f t="shared" si="0"/>
        <v>0.014740667494702668</v>
      </c>
      <c r="N5" s="4">
        <f t="shared" si="1"/>
        <v>0.004297915800618787</v>
      </c>
      <c r="O5" s="4">
        <f t="shared" si="8"/>
        <v>0.019038583295321456</v>
      </c>
      <c r="P5" s="4">
        <f t="shared" si="9"/>
        <v>190.38583295321456</v>
      </c>
      <c r="Q5" s="4">
        <f t="shared" si="10"/>
        <v>119.82042026485033</v>
      </c>
      <c r="S5" s="1">
        <f t="shared" si="2"/>
        <v>-1.0506099933550872</v>
      </c>
      <c r="T5" s="1">
        <f t="shared" si="3"/>
        <v>2.279634628401632</v>
      </c>
      <c r="U5" s="1">
        <f aca="true" t="shared" si="13" ref="U5:U17">(T5-T4)/(S5-S4)</f>
        <v>-2.3024309788607273</v>
      </c>
      <c r="X5" s="1">
        <f aca="true" t="shared" si="14" ref="X5:X10">J5/(H5^$V$11)</f>
        <v>4.642599082086969</v>
      </c>
      <c r="AA5" s="1">
        <f aca="true" t="shared" si="15" ref="AA5:AA50">10^(LOG(AA4)+0.02)</f>
        <v>0.09868303765288663</v>
      </c>
      <c r="AB5" s="1">
        <f t="shared" si="11"/>
        <v>421.87301168699196</v>
      </c>
      <c r="AD5" s="1">
        <f aca="true" t="shared" si="16" ref="AD5:AD62">10^(LOG(AD4)+0.02)</f>
        <v>0.9868303765288665</v>
      </c>
      <c r="AE5" s="1">
        <f t="shared" si="12"/>
        <v>4.732609260425465</v>
      </c>
    </row>
    <row r="6" spans="1:31" ht="12.75">
      <c r="A6" s="6">
        <v>1.2</v>
      </c>
      <c r="B6" s="7" t="s">
        <v>1</v>
      </c>
      <c r="C6" s="10">
        <v>-1</v>
      </c>
      <c r="D6" s="6">
        <v>3</v>
      </c>
      <c r="E6" s="7" t="s">
        <v>1</v>
      </c>
      <c r="F6" s="10">
        <v>-2</v>
      </c>
      <c r="H6" s="4">
        <f t="shared" si="4"/>
        <v>0.12</v>
      </c>
      <c r="I6" s="4">
        <f t="shared" si="5"/>
        <v>0.03</v>
      </c>
      <c r="J6" s="4">
        <f t="shared" si="6"/>
        <v>300</v>
      </c>
      <c r="K6" s="4">
        <f t="shared" si="7"/>
        <v>34.63985000000001</v>
      </c>
      <c r="L6" s="4">
        <f t="shared" si="0"/>
        <v>0</v>
      </c>
      <c r="M6" s="4">
        <f t="shared" si="0"/>
        <v>0.007370333747351334</v>
      </c>
      <c r="N6" s="4">
        <f t="shared" si="1"/>
        <v>0.0021489579003093934</v>
      </c>
      <c r="O6" s="4">
        <f t="shared" si="8"/>
        <v>0.009519291647660728</v>
      </c>
      <c r="P6" s="4">
        <f t="shared" si="9"/>
        <v>95.19291647660728</v>
      </c>
      <c r="Q6" s="4">
        <f t="shared" si="10"/>
        <v>124.24689088101256</v>
      </c>
      <c r="S6" s="1">
        <f t="shared" si="2"/>
        <v>-0.9208187539523752</v>
      </c>
      <c r="T6" s="1">
        <f t="shared" si="3"/>
        <v>1.9786046327376505</v>
      </c>
      <c r="U6" s="1">
        <f t="shared" si="13"/>
        <v>-2.319339864919198</v>
      </c>
      <c r="X6" s="1">
        <f t="shared" si="14"/>
        <v>4.232237836493096</v>
      </c>
      <c r="AA6" s="1">
        <f t="shared" si="15"/>
        <v>0.1033338259347194</v>
      </c>
      <c r="AB6" s="1">
        <f t="shared" si="11"/>
        <v>384.5812794499322</v>
      </c>
      <c r="AD6" s="1">
        <f t="shared" si="16"/>
        <v>1.0333382593471945</v>
      </c>
      <c r="AE6" s="1">
        <f t="shared" si="12"/>
        <v>4.169123922456417</v>
      </c>
    </row>
    <row r="7" spans="1:31" ht="12.75">
      <c r="A7" s="6">
        <v>1.8</v>
      </c>
      <c r="B7" s="7" t="s">
        <v>1</v>
      </c>
      <c r="C7" s="10">
        <v>-1</v>
      </c>
      <c r="D7" s="6">
        <v>1.1</v>
      </c>
      <c r="E7" s="7" t="s">
        <v>1</v>
      </c>
      <c r="F7" s="10">
        <v>-2</v>
      </c>
      <c r="H7" s="4">
        <f t="shared" si="4"/>
        <v>0.18000000000000002</v>
      </c>
      <c r="I7" s="4">
        <f t="shared" si="5"/>
        <v>0.011000000000000001</v>
      </c>
      <c r="J7" s="4">
        <f t="shared" si="6"/>
        <v>110.00000000000001</v>
      </c>
      <c r="K7" s="4">
        <f t="shared" si="7"/>
        <v>22.339850000000002</v>
      </c>
      <c r="L7" s="4">
        <f t="shared" si="0"/>
        <v>0</v>
      </c>
      <c r="M7" s="4">
        <f t="shared" si="0"/>
        <v>0.002702455707362156</v>
      </c>
      <c r="N7" s="4">
        <f t="shared" si="1"/>
        <v>0.0007879512301134444</v>
      </c>
      <c r="O7" s="4">
        <f t="shared" si="8"/>
        <v>0.0034904069374756003</v>
      </c>
      <c r="P7" s="4">
        <f t="shared" si="9"/>
        <v>34.904069374756006</v>
      </c>
      <c r="Q7" s="4">
        <f t="shared" si="10"/>
        <v>128.14980045655346</v>
      </c>
      <c r="S7" s="1">
        <f t="shared" si="2"/>
        <v>-0.7447274948966939</v>
      </c>
      <c r="T7" s="1">
        <f t="shared" si="3"/>
        <v>1.542876063176213</v>
      </c>
      <c r="U7" s="1">
        <f t="shared" si="13"/>
        <v>-2.474447464900327</v>
      </c>
      <c r="X7" s="1">
        <f t="shared" si="14"/>
        <v>3.505327558375221</v>
      </c>
      <c r="AA7" s="1">
        <f t="shared" si="15"/>
        <v>0.1082037991155671</v>
      </c>
      <c r="AB7" s="1">
        <f t="shared" si="11"/>
        <v>350.58597351821845</v>
      </c>
      <c r="AD7" s="1">
        <f t="shared" si="16"/>
        <v>1.0820379911556717</v>
      </c>
      <c r="AE7" s="1">
        <f t="shared" si="12"/>
        <v>3.672729634822158</v>
      </c>
    </row>
    <row r="8" spans="1:31" ht="12.75">
      <c r="A8" s="6">
        <v>2.5</v>
      </c>
      <c r="B8" s="7" t="s">
        <v>1</v>
      </c>
      <c r="C8" s="10">
        <v>-1</v>
      </c>
      <c r="D8" s="6">
        <v>6.1</v>
      </c>
      <c r="E8" s="7" t="s">
        <v>1</v>
      </c>
      <c r="F8" s="10">
        <v>-3</v>
      </c>
      <c r="H8" s="4">
        <f t="shared" si="4"/>
        <v>0.25</v>
      </c>
      <c r="I8" s="4">
        <f t="shared" si="5"/>
        <v>0.0060999999999999995</v>
      </c>
      <c r="J8" s="4">
        <f t="shared" si="6"/>
        <v>60.99999999999999</v>
      </c>
      <c r="K8" s="4">
        <f t="shared" si="7"/>
        <v>16.354850000000003</v>
      </c>
      <c r="L8" s="4">
        <f t="shared" si="0"/>
        <v>0</v>
      </c>
      <c r="M8" s="4">
        <f t="shared" si="0"/>
        <v>0.0014986345286281046</v>
      </c>
      <c r="N8" s="4">
        <f t="shared" si="1"/>
        <v>0.00043695477306291</v>
      </c>
      <c r="O8" s="4">
        <f t="shared" si="8"/>
        <v>0.0019355893016910145</v>
      </c>
      <c r="P8" s="4">
        <f t="shared" si="9"/>
        <v>19.355893016910144</v>
      </c>
      <c r="Q8" s="4">
        <f t="shared" si="10"/>
        <v>130.04889914026177</v>
      </c>
      <c r="S8" s="1">
        <f t="shared" si="2"/>
        <v>-0.6020599913279624</v>
      </c>
      <c r="T8" s="1">
        <f t="shared" si="3"/>
        <v>1.286813213028755</v>
      </c>
      <c r="U8" s="1">
        <f t="shared" si="13"/>
        <v>-1.7948225331082295</v>
      </c>
      <c r="X8" s="1">
        <f t="shared" si="14"/>
        <v>3.761679668467539</v>
      </c>
      <c r="AA8" s="1">
        <f t="shared" si="15"/>
        <v>0.11330328706147497</v>
      </c>
      <c r="AB8" s="1">
        <f t="shared" si="11"/>
        <v>319.5957041994251</v>
      </c>
      <c r="AD8" s="1">
        <f t="shared" si="16"/>
        <v>1.1330328706147506</v>
      </c>
      <c r="AE8" s="1">
        <f t="shared" si="12"/>
        <v>3.235438241076152</v>
      </c>
    </row>
    <row r="9" spans="1:31" ht="12.75">
      <c r="A9" s="6">
        <v>3.3</v>
      </c>
      <c r="B9" s="7" t="s">
        <v>1</v>
      </c>
      <c r="C9" s="10">
        <v>-1</v>
      </c>
      <c r="D9" s="6">
        <v>3.4</v>
      </c>
      <c r="E9" s="7" t="s">
        <v>1</v>
      </c>
      <c r="F9" s="10">
        <v>-3</v>
      </c>
      <c r="H9" s="4">
        <f t="shared" si="4"/>
        <v>0.33</v>
      </c>
      <c r="I9" s="4">
        <f t="shared" si="5"/>
        <v>0.0034</v>
      </c>
      <c r="J9" s="4">
        <f t="shared" si="6"/>
        <v>34</v>
      </c>
      <c r="K9" s="4">
        <f t="shared" si="7"/>
        <v>12.554850000000002</v>
      </c>
      <c r="L9" s="4">
        <f t="shared" si="0"/>
        <v>0</v>
      </c>
      <c r="M9" s="4">
        <f t="shared" si="0"/>
        <v>0.0008353044913664845</v>
      </c>
      <c r="N9" s="4">
        <f t="shared" si="1"/>
        <v>0.0002435485620350646</v>
      </c>
      <c r="O9" s="4">
        <f t="shared" si="8"/>
        <v>0.001078853053401549</v>
      </c>
      <c r="P9" s="4">
        <f t="shared" si="9"/>
        <v>10.788530534015491</v>
      </c>
      <c r="Q9" s="4">
        <f t="shared" si="10"/>
        <v>131.2546760822988</v>
      </c>
      <c r="S9" s="1">
        <f t="shared" si="2"/>
        <v>-0.4814860601221125</v>
      </c>
      <c r="T9" s="1">
        <f t="shared" si="3"/>
        <v>1.032962295060243</v>
      </c>
      <c r="U9" s="1">
        <f t="shared" si="13"/>
        <v>-2.105354909056792</v>
      </c>
      <c r="X9" s="1">
        <f t="shared" si="14"/>
        <v>3.6630760080786304</v>
      </c>
      <c r="AA9" s="1">
        <f t="shared" si="15"/>
        <v>0.11864310647007653</v>
      </c>
      <c r="AB9" s="1">
        <f t="shared" si="11"/>
        <v>291.34483937766146</v>
      </c>
      <c r="AD9" s="1">
        <f t="shared" si="16"/>
        <v>1.1864310647007665</v>
      </c>
      <c r="AE9" s="1">
        <f t="shared" si="12"/>
        <v>2.8502126899207036</v>
      </c>
    </row>
    <row r="10" spans="1:31" ht="12.75">
      <c r="A10" s="6">
        <v>6</v>
      </c>
      <c r="B10" s="7" t="s">
        <v>1</v>
      </c>
      <c r="C10" s="10">
        <v>-1</v>
      </c>
      <c r="D10" s="6">
        <v>1.2</v>
      </c>
      <c r="E10" s="7" t="s">
        <v>1</v>
      </c>
      <c r="F10" s="10">
        <v>-3</v>
      </c>
      <c r="H10" s="4">
        <f t="shared" si="4"/>
        <v>0.6000000000000001</v>
      </c>
      <c r="I10" s="4">
        <f t="shared" si="5"/>
        <v>0.0012</v>
      </c>
      <c r="J10" s="4">
        <f t="shared" si="6"/>
        <v>11.999999999999998</v>
      </c>
      <c r="K10" s="4">
        <f t="shared" si="7"/>
        <v>6.344849999999999</v>
      </c>
      <c r="L10" s="4">
        <f t="shared" si="0"/>
        <v>0</v>
      </c>
      <c r="M10" s="4">
        <f t="shared" si="0"/>
        <v>0.00029481334989405334</v>
      </c>
      <c r="N10" s="4">
        <f t="shared" si="1"/>
        <v>8.595831601237574E-05</v>
      </c>
      <c r="O10" s="4">
        <f t="shared" si="8"/>
        <v>0.0003807716659064291</v>
      </c>
      <c r="P10" s="4">
        <f t="shared" si="9"/>
        <v>3.807716659064291</v>
      </c>
      <c r="Q10" s="4">
        <f t="shared" si="10"/>
        <v>133.22516945336457</v>
      </c>
      <c r="S10" s="1">
        <f t="shared" si="2"/>
        <v>-0.2218487496163563</v>
      </c>
      <c r="T10" s="1">
        <f t="shared" si="3"/>
        <v>0.5806646240656128</v>
      </c>
      <c r="U10" s="1">
        <f t="shared" si="13"/>
        <v>-1.7420364974262927</v>
      </c>
      <c r="X10" s="1">
        <f t="shared" si="14"/>
        <v>4.298690854050932</v>
      </c>
      <c r="AA10" s="1">
        <f t="shared" si="15"/>
        <v>0.12423458381425949</v>
      </c>
      <c r="AB10" s="1">
        <f t="shared" si="11"/>
        <v>265.5912276562697</v>
      </c>
      <c r="AD10" s="1">
        <f t="shared" si="16"/>
        <v>1.2423458381425965</v>
      </c>
      <c r="AE10" s="1">
        <f t="shared" si="12"/>
        <v>2.510853792431826</v>
      </c>
    </row>
    <row r="11" spans="1:31" ht="12.75">
      <c r="A11" s="6">
        <v>9</v>
      </c>
      <c r="B11" s="7" t="s">
        <v>1</v>
      </c>
      <c r="C11" s="10">
        <v>-1</v>
      </c>
      <c r="D11" s="6">
        <v>7</v>
      </c>
      <c r="E11" s="7" t="s">
        <v>1</v>
      </c>
      <c r="F11" s="10">
        <v>-4</v>
      </c>
      <c r="H11" s="4">
        <f t="shared" si="4"/>
        <v>0.9</v>
      </c>
      <c r="I11" s="4">
        <f t="shared" si="5"/>
        <v>0.0007</v>
      </c>
      <c r="J11" s="4">
        <f t="shared" si="6"/>
        <v>7</v>
      </c>
      <c r="K11" s="4">
        <f t="shared" si="7"/>
        <v>3.4948499999999996</v>
      </c>
      <c r="L11" s="4">
        <f t="shared" si="0"/>
        <v>0</v>
      </c>
      <c r="M11" s="4">
        <f t="shared" si="0"/>
        <v>0.00017197445410486447</v>
      </c>
      <c r="N11" s="4">
        <f t="shared" si="1"/>
        <v>5.014235100721918E-05</v>
      </c>
      <c r="O11" s="4">
        <f t="shared" si="8"/>
        <v>0.00022211680511208365</v>
      </c>
      <c r="P11" s="4">
        <f t="shared" si="9"/>
        <v>2.2211680511208365</v>
      </c>
      <c r="Q11" s="4">
        <f t="shared" si="10"/>
        <v>134.12950215989235</v>
      </c>
      <c r="S11" s="1">
        <f t="shared" si="2"/>
        <v>-0.045757490560675115</v>
      </c>
      <c r="T11" s="1">
        <f t="shared" si="3"/>
        <v>0.3465814180322449</v>
      </c>
      <c r="U11" s="1">
        <f t="shared" si="13"/>
        <v>-1.3293289359658067</v>
      </c>
      <c r="V11" s="1">
        <f>AVERAGE(U5:U11)</f>
        <v>-2.0096801691767676</v>
      </c>
      <c r="W11" s="32" t="s">
        <v>61</v>
      </c>
      <c r="Y11" s="1">
        <f>AVERAGE(X5:X10)</f>
        <v>4.017268501258731</v>
      </c>
      <c r="AA11" s="1">
        <f t="shared" si="15"/>
        <v>0.1300895793671333</v>
      </c>
      <c r="AB11" s="1">
        <f t="shared" si="11"/>
        <v>242.1141227647674</v>
      </c>
      <c r="AD11" s="1">
        <f t="shared" si="16"/>
        <v>1.3008957936713348</v>
      </c>
      <c r="AE11" s="1">
        <f t="shared" si="12"/>
        <v>2.211900462468533</v>
      </c>
    </row>
    <row r="12" spans="1:31" ht="12.75">
      <c r="A12" s="6">
        <v>1.2</v>
      </c>
      <c r="B12" s="7" t="s">
        <v>1</v>
      </c>
      <c r="C12" s="10">
        <v>0</v>
      </c>
      <c r="D12" s="6">
        <v>2.4</v>
      </c>
      <c r="E12" s="7" t="s">
        <v>1</v>
      </c>
      <c r="F12" s="10">
        <v>-4</v>
      </c>
      <c r="H12" s="4">
        <f t="shared" si="4"/>
        <v>1.2</v>
      </c>
      <c r="I12" s="4">
        <f t="shared" si="5"/>
        <v>0.00024</v>
      </c>
      <c r="J12" s="4">
        <f t="shared" si="6"/>
        <v>2.4</v>
      </c>
      <c r="K12" s="4">
        <f t="shared" si="7"/>
        <v>2.08485</v>
      </c>
      <c r="L12" s="4">
        <f t="shared" si="0"/>
        <v>0</v>
      </c>
      <c r="M12" s="4">
        <f t="shared" si="0"/>
        <v>5.896266997881068E-05</v>
      </c>
      <c r="N12" s="4">
        <f t="shared" si="1"/>
        <v>1.719166320247515E-05</v>
      </c>
      <c r="O12" s="4">
        <f t="shared" si="8"/>
        <v>7.615433318128583E-05</v>
      </c>
      <c r="P12" s="4">
        <f t="shared" si="9"/>
        <v>0.7615433318128583</v>
      </c>
      <c r="Q12" s="4">
        <f t="shared" si="10"/>
        <v>134.5769088673324</v>
      </c>
      <c r="S12" s="1">
        <f t="shared" si="2"/>
        <v>0.07918124604762482</v>
      </c>
      <c r="T12" s="1">
        <f t="shared" si="3"/>
        <v>-0.11830538027040591</v>
      </c>
      <c r="U12" s="1">
        <f t="shared" si="13"/>
        <v>-3.7209180348936504</v>
      </c>
      <c r="X12" s="1">
        <f>J12/(H12^$V$17)</f>
        <v>3.9644300740144276</v>
      </c>
      <c r="AA12" s="1">
        <f t="shared" si="15"/>
        <v>0.13622051235925856</v>
      </c>
      <c r="AB12" s="1">
        <f t="shared" si="11"/>
        <v>220.71229143915193</v>
      </c>
      <c r="AD12" s="1">
        <f t="shared" si="16"/>
        <v>1.3622051235925874</v>
      </c>
      <c r="AE12" s="1">
        <f t="shared" si="12"/>
        <v>1.9485418348991135</v>
      </c>
    </row>
    <row r="13" spans="1:31" ht="12.75">
      <c r="A13" s="6">
        <v>1.8</v>
      </c>
      <c r="B13" s="7" t="s">
        <v>1</v>
      </c>
      <c r="C13" s="10">
        <v>0</v>
      </c>
      <c r="D13" s="6">
        <v>1</v>
      </c>
      <c r="E13" s="7" t="s">
        <v>1</v>
      </c>
      <c r="F13" s="10">
        <v>-4</v>
      </c>
      <c r="H13" s="4">
        <f t="shared" si="4"/>
        <v>1.8</v>
      </c>
      <c r="I13" s="4">
        <f t="shared" si="5"/>
        <v>0.0001</v>
      </c>
      <c r="J13" s="4">
        <f t="shared" si="6"/>
        <v>1</v>
      </c>
      <c r="K13" s="4">
        <f t="shared" si="7"/>
        <v>1.0648499999999999</v>
      </c>
      <c r="L13" s="4">
        <f t="shared" si="0"/>
        <v>0</v>
      </c>
      <c r="M13" s="4">
        <f t="shared" si="0"/>
        <v>2.4567779157837784E-05</v>
      </c>
      <c r="N13" s="4">
        <f t="shared" si="1"/>
        <v>7.163193001031313E-06</v>
      </c>
      <c r="O13" s="4">
        <f t="shared" si="8"/>
        <v>3.1730972158869095E-05</v>
      </c>
      <c r="P13" s="4">
        <f t="shared" si="9"/>
        <v>0.317309721588691</v>
      </c>
      <c r="Q13" s="4">
        <f t="shared" si="10"/>
        <v>134.90056478335288</v>
      </c>
      <c r="S13" s="1">
        <f t="shared" si="2"/>
        <v>0.25527250510330607</v>
      </c>
      <c r="T13" s="1">
        <f t="shared" si="3"/>
        <v>-0.4985166219820119</v>
      </c>
      <c r="U13" s="1">
        <f t="shared" si="13"/>
        <v>-2.1591715781382463</v>
      </c>
      <c r="X13" s="1">
        <f>J13/(H13^$V$17)</f>
        <v>5.043269462403133</v>
      </c>
      <c r="AA13" s="1">
        <f t="shared" si="15"/>
        <v>0.1426403873215</v>
      </c>
      <c r="AB13" s="1">
        <f t="shared" si="11"/>
        <v>201.2022885573285</v>
      </c>
      <c r="AD13" s="1">
        <f t="shared" si="16"/>
        <v>1.4264038732150022</v>
      </c>
      <c r="AE13" s="1">
        <f t="shared" si="12"/>
        <v>1.7165398474191143</v>
      </c>
    </row>
    <row r="14" spans="1:31" ht="12.75">
      <c r="A14" s="6">
        <v>2.3</v>
      </c>
      <c r="B14" s="7" t="s">
        <v>1</v>
      </c>
      <c r="C14" s="10">
        <v>0</v>
      </c>
      <c r="D14" s="6">
        <v>3.5</v>
      </c>
      <c r="E14" s="7" t="s">
        <v>1</v>
      </c>
      <c r="F14" s="10">
        <v>-5</v>
      </c>
      <c r="H14" s="4">
        <f t="shared" si="4"/>
        <v>2.3</v>
      </c>
      <c r="I14" s="4">
        <f t="shared" si="5"/>
        <v>3.5000000000000004E-05</v>
      </c>
      <c r="J14" s="4">
        <f t="shared" si="6"/>
        <v>0.35000000000000003</v>
      </c>
      <c r="K14" s="4">
        <f t="shared" si="7"/>
        <v>0.7273499999999999</v>
      </c>
      <c r="L14" s="4">
        <f t="shared" si="0"/>
        <v>0</v>
      </c>
      <c r="M14" s="4">
        <f t="shared" si="0"/>
        <v>8.598722705243225E-06</v>
      </c>
      <c r="N14" s="4">
        <f t="shared" si="1"/>
        <v>2.5071175503609597E-06</v>
      </c>
      <c r="O14" s="4">
        <f t="shared" si="8"/>
        <v>1.1105840255604185E-05</v>
      </c>
      <c r="P14" s="4">
        <f t="shared" si="9"/>
        <v>0.11105840255604185</v>
      </c>
      <c r="Q14" s="4">
        <f t="shared" si="10"/>
        <v>135.00765681438907</v>
      </c>
      <c r="S14" s="1">
        <f t="shared" si="2"/>
        <v>0.36172783601759284</v>
      </c>
      <c r="T14" s="1">
        <f t="shared" si="3"/>
        <v>-0.9544485776317362</v>
      </c>
      <c r="U14" s="1">
        <f t="shared" si="13"/>
        <v>-4.28284757309919</v>
      </c>
      <c r="X14" s="1">
        <f>J14/(H14^$V$17)</f>
        <v>3.4660085302446584</v>
      </c>
      <c r="AA14" s="1">
        <f t="shared" si="15"/>
        <v>0.14936282166938022</v>
      </c>
      <c r="AB14" s="1">
        <f t="shared" si="11"/>
        <v>183.41688474503027</v>
      </c>
      <c r="AD14" s="1">
        <f t="shared" si="16"/>
        <v>1.4936282166938046</v>
      </c>
      <c r="AE14" s="1">
        <f t="shared" si="12"/>
        <v>1.51216104011962</v>
      </c>
    </row>
    <row r="15" spans="1:31" ht="12.75">
      <c r="A15" s="6">
        <v>3.9</v>
      </c>
      <c r="B15" s="7" t="s">
        <v>1</v>
      </c>
      <c r="C15" s="10">
        <v>0</v>
      </c>
      <c r="D15" s="6">
        <v>1.4</v>
      </c>
      <c r="E15" s="7" t="s">
        <v>1</v>
      </c>
      <c r="F15" s="10">
        <v>-5</v>
      </c>
      <c r="H15" s="4">
        <f t="shared" si="4"/>
        <v>3.9</v>
      </c>
      <c r="I15" s="4">
        <f t="shared" si="5"/>
        <v>1.4E-05</v>
      </c>
      <c r="J15" s="4">
        <f t="shared" si="6"/>
        <v>0.13999999999999999</v>
      </c>
      <c r="K15" s="4">
        <f t="shared" si="7"/>
        <v>0.3353499999999999</v>
      </c>
      <c r="L15" s="4">
        <f t="shared" si="0"/>
        <v>0</v>
      </c>
      <c r="M15" s="4">
        <f t="shared" si="0"/>
        <v>3.4394890820972896E-06</v>
      </c>
      <c r="N15" s="4">
        <f t="shared" si="1"/>
        <v>1.0028470201443836E-06</v>
      </c>
      <c r="O15" s="4">
        <f t="shared" si="8"/>
        <v>4.4423361022416734E-06</v>
      </c>
      <c r="P15" s="4">
        <f t="shared" si="9"/>
        <v>0.04442336102241674</v>
      </c>
      <c r="Q15" s="4">
        <f t="shared" si="10"/>
        <v>135.13204222525184</v>
      </c>
      <c r="S15" s="1">
        <f t="shared" si="2"/>
        <v>0.5910646070264992</v>
      </c>
      <c r="T15" s="1">
        <f t="shared" si="3"/>
        <v>-1.352388586303774</v>
      </c>
      <c r="U15" s="1">
        <f t="shared" si="13"/>
        <v>-1.7351775161105045</v>
      </c>
      <c r="X15" s="1">
        <f>J15/(H15^$V$17)</f>
        <v>5.932067770770902</v>
      </c>
      <c r="AA15" s="1">
        <f t="shared" si="15"/>
        <v>0.15640207458744354</v>
      </c>
      <c r="AB15" s="1">
        <f t="shared" si="11"/>
        <v>167.20363297451362</v>
      </c>
      <c r="AD15" s="1">
        <f t="shared" si="16"/>
        <v>1.564020745874438</v>
      </c>
      <c r="AE15" s="1">
        <f t="shared" si="12"/>
        <v>1.3321164752998262</v>
      </c>
    </row>
    <row r="16" spans="1:31" ht="12.75">
      <c r="A16" s="6">
        <v>7.1</v>
      </c>
      <c r="B16" s="7" t="s">
        <v>1</v>
      </c>
      <c r="C16" s="10">
        <v>0</v>
      </c>
      <c r="D16" s="6">
        <v>2</v>
      </c>
      <c r="E16" s="7" t="s">
        <v>1</v>
      </c>
      <c r="F16" s="10">
        <v>-6</v>
      </c>
      <c r="H16" s="4">
        <f t="shared" si="4"/>
        <v>7.1</v>
      </c>
      <c r="I16" s="4">
        <f t="shared" si="5"/>
        <v>2E-06</v>
      </c>
      <c r="J16" s="4">
        <f t="shared" si="6"/>
        <v>0.02</v>
      </c>
      <c r="K16" s="4">
        <f t="shared" si="7"/>
        <v>0.07935</v>
      </c>
      <c r="L16" s="4">
        <f t="shared" si="0"/>
        <v>0</v>
      </c>
      <c r="M16" s="4">
        <f t="shared" si="0"/>
        <v>4.913555831567556E-07</v>
      </c>
      <c r="N16" s="4">
        <f t="shared" si="1"/>
        <v>1.4326386002062623E-07</v>
      </c>
      <c r="O16" s="4">
        <f t="shared" si="8"/>
        <v>6.346194431773819E-07</v>
      </c>
      <c r="P16" s="4">
        <f t="shared" si="9"/>
        <v>0.006346194431773818</v>
      </c>
      <c r="Q16" s="4">
        <f t="shared" si="10"/>
        <v>135.21327351397855</v>
      </c>
      <c r="S16" s="1">
        <f t="shared" si="2"/>
        <v>0.8512583487190752</v>
      </c>
      <c r="T16" s="1">
        <f t="shared" si="3"/>
        <v>-2.197486626318031</v>
      </c>
      <c r="U16" s="1">
        <f t="shared" si="13"/>
        <v>-3.247956828311254</v>
      </c>
      <c r="X16" s="1">
        <f>J16/(H16^$V$17)</f>
        <v>4.409276960385561</v>
      </c>
      <c r="AA16" s="1">
        <f t="shared" si="15"/>
        <v>0.16377307727489823</v>
      </c>
      <c r="AB16" s="1">
        <f t="shared" si="11"/>
        <v>152.42356186966782</v>
      </c>
      <c r="AD16" s="1">
        <f t="shared" si="16"/>
        <v>1.6377307727489852</v>
      </c>
      <c r="AE16" s="1">
        <f t="shared" si="12"/>
        <v>1.1735088106917875</v>
      </c>
    </row>
    <row r="17" spans="1:31" ht="12.75">
      <c r="A17" s="6">
        <v>1.4</v>
      </c>
      <c r="B17" s="7" t="s">
        <v>1</v>
      </c>
      <c r="C17" s="10">
        <v>1</v>
      </c>
      <c r="D17" s="6">
        <v>3</v>
      </c>
      <c r="E17" s="7" t="s">
        <v>1</v>
      </c>
      <c r="F17" s="10">
        <v>-7</v>
      </c>
      <c r="H17" s="4">
        <f t="shared" si="4"/>
        <v>14</v>
      </c>
      <c r="I17" s="4">
        <f t="shared" si="5"/>
        <v>3E-07</v>
      </c>
      <c r="J17" s="4">
        <f t="shared" si="6"/>
        <v>0.003</v>
      </c>
      <c r="K17" s="4"/>
      <c r="L17" s="4">
        <f t="shared" si="0"/>
        <v>0</v>
      </c>
      <c r="M17" s="4">
        <f t="shared" si="0"/>
        <v>7.370333747351335E-08</v>
      </c>
      <c r="N17" s="4">
        <f t="shared" si="1"/>
        <v>2.1489579003093934E-08</v>
      </c>
      <c r="O17" s="4">
        <f t="shared" si="8"/>
        <v>9.519291647660728E-08</v>
      </c>
      <c r="P17" s="4">
        <f t="shared" si="9"/>
        <v>0.0009519291647660728</v>
      </c>
      <c r="Q17" s="4">
        <f t="shared" si="10"/>
        <v>135.23845204038662</v>
      </c>
      <c r="S17" s="1">
        <f t="shared" si="2"/>
        <v>1.146128035678238</v>
      </c>
      <c r="T17" s="1">
        <f t="shared" si="3"/>
        <v>-3.0213953672623495</v>
      </c>
      <c r="U17" s="1">
        <f t="shared" si="13"/>
        <v>-2.7941452695285833</v>
      </c>
      <c r="V17" s="1">
        <f>AVERAGE(U11:U17)</f>
        <v>-2.752792248006748</v>
      </c>
      <c r="W17" s="32" t="s">
        <v>60</v>
      </c>
      <c r="Y17" s="1">
        <f>AVERAGE(X12:X16)</f>
        <v>4.563010559563737</v>
      </c>
      <c r="AA17" s="1">
        <f t="shared" si="15"/>
        <v>0.17149146461669193</v>
      </c>
      <c r="AB17" s="1">
        <f t="shared" si="11"/>
        <v>138.949984517249</v>
      </c>
      <c r="AD17" s="1">
        <f t="shared" si="16"/>
        <v>1.7149146461669227</v>
      </c>
      <c r="AE17" s="1">
        <f t="shared" si="12"/>
        <v>1.0337856743805356</v>
      </c>
    </row>
    <row r="18" spans="27:31" ht="12.75">
      <c r="AA18" s="1">
        <f t="shared" si="15"/>
        <v>0.17957360834719882</v>
      </c>
      <c r="AB18" s="1">
        <f t="shared" si="11"/>
        <v>126.66741257399944</v>
      </c>
      <c r="AD18" s="1">
        <f t="shared" si="16"/>
        <v>1.7957360834719918</v>
      </c>
      <c r="AE18" s="1">
        <f t="shared" si="12"/>
        <v>0.9106985911119061</v>
      </c>
    </row>
    <row r="19" spans="9:31" ht="12.75" customHeight="1">
      <c r="I19" s="46" t="s">
        <v>63</v>
      </c>
      <c r="J19" s="42" t="s">
        <v>67</v>
      </c>
      <c r="K19" s="42" t="s">
        <v>68</v>
      </c>
      <c r="L19" s="42" t="s">
        <v>71</v>
      </c>
      <c r="M19" s="43" t="s">
        <v>70</v>
      </c>
      <c r="N19" s="48" t="s">
        <v>88</v>
      </c>
      <c r="O19" s="48" t="s">
        <v>87</v>
      </c>
      <c r="AA19" s="1">
        <f t="shared" si="15"/>
        <v>0.18803665177686316</v>
      </c>
      <c r="AB19" s="1">
        <f t="shared" si="11"/>
        <v>115.47056636195624</v>
      </c>
      <c r="AD19" s="1">
        <f t="shared" si="16"/>
        <v>1.880366517768636</v>
      </c>
      <c r="AE19" s="1">
        <f t="shared" si="12"/>
        <v>0.8022667990153629</v>
      </c>
    </row>
    <row r="20" spans="9:31" ht="12.75">
      <c r="I20" s="47"/>
      <c r="J20" s="42" t="s">
        <v>64</v>
      </c>
      <c r="K20" s="42" t="s">
        <v>65</v>
      </c>
      <c r="L20" s="42" t="s">
        <v>69</v>
      </c>
      <c r="M20" s="43" t="s">
        <v>69</v>
      </c>
      <c r="N20" s="49"/>
      <c r="O20" s="49"/>
      <c r="AA20" s="1">
        <f t="shared" si="15"/>
        <v>0.1968985461554593</v>
      </c>
      <c r="AB20" s="1">
        <f t="shared" si="11"/>
        <v>105.2634724670127</v>
      </c>
      <c r="AD20" s="1">
        <f t="shared" si="16"/>
        <v>1.968985461554598</v>
      </c>
      <c r="AE20" s="1">
        <f t="shared" si="12"/>
        <v>0.7067453744674426</v>
      </c>
    </row>
    <row r="21" spans="7:31" ht="12.75">
      <c r="G21" s="44" t="s">
        <v>85</v>
      </c>
      <c r="H21" s="45"/>
      <c r="I21" s="4" t="s">
        <v>72</v>
      </c>
      <c r="J21" s="4">
        <v>36.66</v>
      </c>
      <c r="K21" s="4">
        <f>J21*(9/7)</f>
        <v>47.13428571428571</v>
      </c>
      <c r="L21" s="4">
        <v>120</v>
      </c>
      <c r="M21" s="4">
        <f>269+180*1.1</f>
        <v>467</v>
      </c>
      <c r="N21" s="1" t="s">
        <v>72</v>
      </c>
      <c r="O21" s="4" t="s">
        <v>72</v>
      </c>
      <c r="AA21" s="1">
        <f t="shared" si="15"/>
        <v>0.20617808874909913</v>
      </c>
      <c r="AB21" s="1">
        <f t="shared" si="11"/>
        <v>95.95864110582703</v>
      </c>
      <c r="AD21" s="1">
        <f t="shared" si="16"/>
        <v>2.061780887490997</v>
      </c>
      <c r="AE21" s="1">
        <f t="shared" si="12"/>
        <v>0.6225971521495818</v>
      </c>
    </row>
    <row r="22" spans="7:31" ht="12.75">
      <c r="G22" s="44" t="s">
        <v>86</v>
      </c>
      <c r="H22" s="45"/>
      <c r="I22" s="4" t="s">
        <v>72</v>
      </c>
      <c r="J22" s="4">
        <f>IF(J24="YES",J23,0)</f>
        <v>0</v>
      </c>
      <c r="K22" s="4">
        <f>IF(K24="YES",K23,0)</f>
        <v>0</v>
      </c>
      <c r="L22" s="4">
        <f>IF(L24="YES",L23,0)</f>
        <v>0.24567779157837782</v>
      </c>
      <c r="M22" s="4">
        <f>IF(M24="YES",M23,0)</f>
        <v>0.07163193001031312</v>
      </c>
      <c r="N22" s="4" t="s">
        <v>72</v>
      </c>
      <c r="O22" s="4" t="s">
        <v>72</v>
      </c>
      <c r="AA22" s="1">
        <f t="shared" si="15"/>
        <v>0.2158949627117537</v>
      </c>
      <c r="AB22" s="1">
        <f t="shared" si="11"/>
        <v>87.47631620990393</v>
      </c>
      <c r="AD22" s="1">
        <f t="shared" si="16"/>
        <v>2.158949627117543</v>
      </c>
      <c r="AE22" s="1">
        <f t="shared" si="12"/>
        <v>0.5484679884277416</v>
      </c>
    </row>
    <row r="23" spans="7:31" ht="12.75">
      <c r="G23" s="44" t="s">
        <v>81</v>
      </c>
      <c r="H23" s="45"/>
      <c r="I23" s="4">
        <v>760</v>
      </c>
      <c r="J23" s="4">
        <f>EXP(-(760-$O$23)*(COS(ACOS(($I$23-$O$23)^-1*(760-$O$23))+RADIANS($N$23))^-1-1)*J$21^-1)*J$25</f>
        <v>0.014264286378651774</v>
      </c>
      <c r="K23" s="4">
        <f>EXP(-(760-$O$23)*(COS(ACOS(($I$23-$O$23)^-1*(760-$O$23))+RADIANS($N$23))^-1-1)*K$21^-1)*K$25</f>
        <v>0.03667893398523723</v>
      </c>
      <c r="L23" s="4">
        <f>EXP(-(760-$O$23)*(COS(ACOS(($I$23-$O$23)^-1*(760-$O$23))+RADIANS($N$23))^-1-1)*L$21^-1)*L$25</f>
        <v>0.24567779157837782</v>
      </c>
      <c r="M23" s="4">
        <f>EXP(-(760-$O$23)*(COS(ACOS(($I$23-$O$23)^-1*(760-$O$23))+RADIANS($N$23))^-1-1)*M$21^-1)*M$25</f>
        <v>0.07163193001031312</v>
      </c>
      <c r="N23" s="4">
        <v>36</v>
      </c>
      <c r="O23" s="4">
        <v>100</v>
      </c>
      <c r="AA23" s="1">
        <f t="shared" si="15"/>
        <v>0.22606977883586177</v>
      </c>
      <c r="AB23" s="1">
        <f t="shared" si="11"/>
        <v>79.74379179896943</v>
      </c>
      <c r="AD23" s="1">
        <f t="shared" si="16"/>
        <v>2.260697788358624</v>
      </c>
      <c r="AE23" s="1">
        <f t="shared" si="12"/>
        <v>0.483164969983192</v>
      </c>
    </row>
    <row r="24" spans="7:31" ht="12.75">
      <c r="G24" s="44" t="s">
        <v>80</v>
      </c>
      <c r="H24" s="45"/>
      <c r="I24" s="4" t="s">
        <v>72</v>
      </c>
      <c r="J24" s="4" t="s">
        <v>82</v>
      </c>
      <c r="K24" s="4" t="s">
        <v>82</v>
      </c>
      <c r="L24" s="4" t="s">
        <v>83</v>
      </c>
      <c r="M24" s="4" t="s">
        <v>83</v>
      </c>
      <c r="N24" s="4" t="s">
        <v>72</v>
      </c>
      <c r="O24" s="4" t="s">
        <v>72</v>
      </c>
      <c r="AA24" s="1">
        <f t="shared" si="15"/>
        <v>0.2367241192705839</v>
      </c>
      <c r="AB24" s="1">
        <f t="shared" si="11"/>
        <v>72.69478878395454</v>
      </c>
      <c r="AD24" s="1">
        <f t="shared" si="16"/>
        <v>2.3672411927058463</v>
      </c>
      <c r="AE24" s="1">
        <f t="shared" si="12"/>
        <v>0.42563721701984913</v>
      </c>
    </row>
    <row r="25" spans="7:31" ht="12.75">
      <c r="G25" s="44" t="s">
        <v>84</v>
      </c>
      <c r="H25" s="45"/>
      <c r="I25" s="4" t="s">
        <v>72</v>
      </c>
      <c r="J25" s="4">
        <v>1</v>
      </c>
      <c r="K25" s="4">
        <v>1</v>
      </c>
      <c r="L25" s="4">
        <v>0.9</v>
      </c>
      <c r="M25" s="4">
        <v>0.1</v>
      </c>
      <c r="N25" s="4" t="s">
        <v>72</v>
      </c>
      <c r="O25" s="4" t="s">
        <v>72</v>
      </c>
      <c r="AA25" s="1">
        <f t="shared" si="15"/>
        <v>0.24788058330043447</v>
      </c>
      <c r="AB25" s="1">
        <f t="shared" si="11"/>
        <v>66.26888685787395</v>
      </c>
      <c r="AD25" s="1">
        <f t="shared" si="16"/>
        <v>2.478805833004353</v>
      </c>
      <c r="AE25" s="1">
        <f t="shared" si="12"/>
        <v>0.3749589721264445</v>
      </c>
    </row>
    <row r="26" spans="8:31" ht="12.75">
      <c r="H26" s="21"/>
      <c r="AA26" s="1">
        <f t="shared" si="15"/>
        <v>0.25956283528139396</v>
      </c>
      <c r="AB26" s="1">
        <f t="shared" si="11"/>
        <v>60.41100660507077</v>
      </c>
      <c r="AD26" s="1">
        <f t="shared" si="16"/>
        <v>2.595628352813949</v>
      </c>
      <c r="AE26" s="1">
        <f t="shared" si="12"/>
        <v>0.3303147026533712</v>
      </c>
    </row>
    <row r="27" spans="8:31" ht="12.75">
      <c r="H27" s="21"/>
      <c r="AA27" s="1">
        <f t="shared" si="15"/>
        <v>0.27179565483618084</v>
      </c>
      <c r="AB27" s="1">
        <f t="shared" si="11"/>
        <v>55.07093738974243</v>
      </c>
      <c r="AD27" s="1">
        <f t="shared" si="16"/>
        <v>2.717956548361819</v>
      </c>
      <c r="AE27" s="1">
        <f t="shared" si="12"/>
        <v>0.29098597686626726</v>
      </c>
    </row>
    <row r="28" spans="8:31" ht="12.75">
      <c r="H28" s="21" t="s">
        <v>101</v>
      </c>
      <c r="O28" s="33"/>
      <c r="AA28" s="1">
        <f t="shared" si="15"/>
        <v>0.28460498941515344</v>
      </c>
      <c r="AB28" s="1">
        <f t="shared" si="11"/>
        <v>50.20290697706011</v>
      </c>
      <c r="AD28" s="1">
        <f t="shared" si="16"/>
        <v>2.846049894151547</v>
      </c>
      <c r="AE28" s="1">
        <f t="shared" si="12"/>
        <v>0.2563399026826568</v>
      </c>
    </row>
    <row r="29" spans="8:31" ht="25.5">
      <c r="H29" s="3" t="s">
        <v>0</v>
      </c>
      <c r="I29" s="4" t="s">
        <v>90</v>
      </c>
      <c r="J29" s="4" t="s">
        <v>91</v>
      </c>
      <c r="K29" s="4" t="s">
        <v>92</v>
      </c>
      <c r="L29" s="4" t="s">
        <v>93</v>
      </c>
      <c r="N29" s="2" t="s">
        <v>57</v>
      </c>
      <c r="O29" s="2" t="s">
        <v>58</v>
      </c>
      <c r="P29" s="2" t="s">
        <v>56</v>
      </c>
      <c r="Q29" s="2" t="s">
        <v>59</v>
      </c>
      <c r="R29" s="2" t="s">
        <v>96</v>
      </c>
      <c r="S29" s="2"/>
      <c r="T29" s="2"/>
      <c r="AA29" s="1">
        <f t="shared" si="15"/>
        <v>0.29801800933433126</v>
      </c>
      <c r="AB29" s="1">
        <f t="shared" si="11"/>
        <v>45.7651891979015</v>
      </c>
      <c r="AD29" s="1">
        <f t="shared" si="16"/>
        <v>2.9801800933433262</v>
      </c>
      <c r="AE29" s="1">
        <f t="shared" si="12"/>
        <v>0.225818942943609</v>
      </c>
    </row>
    <row r="30" spans="8:31" ht="12.75">
      <c r="H30" s="4">
        <f>Electrons!H3</f>
        <v>0.015</v>
      </c>
      <c r="I30" s="4">
        <f>Electrons!Q3</f>
        <v>1387.990961837523</v>
      </c>
      <c r="J30" s="4">
        <f>I30*1.5</f>
        <v>2081.9864427562843</v>
      </c>
      <c r="K30" s="4">
        <f>Electrons!R3</f>
        <v>40.73911846320827</v>
      </c>
      <c r="L30" s="4">
        <f aca="true" t="shared" si="17" ref="L30:L45">0.5*(J31+J30)*(H31-H30)+L31</f>
        <v>61.1086776948124</v>
      </c>
      <c r="N30" s="1">
        <f>LOG10(H30)</f>
        <v>-1.8239087409443189</v>
      </c>
      <c r="O30" s="1">
        <f>LOG10(J30)</f>
        <v>3.318477897194063</v>
      </c>
      <c r="AA30" s="1">
        <f t="shared" si="15"/>
        <v>0.3120631654072777</v>
      </c>
      <c r="AB30" s="1">
        <f t="shared" si="11"/>
        <v>41.71974629430857</v>
      </c>
      <c r="AD30" s="1">
        <f t="shared" si="16"/>
        <v>3.1206316540727923</v>
      </c>
      <c r="AE30" s="1">
        <f t="shared" si="12"/>
        <v>0.19893194332408956</v>
      </c>
    </row>
    <row r="31" spans="8:31" ht="12.75">
      <c r="H31" s="4">
        <f>Electrons!H4</f>
        <v>0.02</v>
      </c>
      <c r="I31" s="4">
        <f>Electrons!Q4</f>
        <v>996.5063315756574</v>
      </c>
      <c r="J31" s="4">
        <f aca="true" t="shared" si="18" ref="J31:J47">I31*1.5</f>
        <v>1494.7594973634862</v>
      </c>
      <c r="K31" s="4">
        <f>Electrons!R4</f>
        <v>34.77787522967532</v>
      </c>
      <c r="L31" s="4">
        <f t="shared" si="17"/>
        <v>52.166812844512975</v>
      </c>
      <c r="N31" s="1">
        <f aca="true" t="shared" si="19" ref="N31:N47">LOG10(H31)</f>
        <v>-1.6989700043360187</v>
      </c>
      <c r="O31" s="1">
        <f aca="true" t="shared" si="20" ref="O31:O47">LOG10(J31)</f>
        <v>3.1745713215097835</v>
      </c>
      <c r="AA31" s="1">
        <f t="shared" si="15"/>
        <v>0.3267702492930904</v>
      </c>
      <c r="AB31" s="1">
        <f t="shared" si="11"/>
        <v>38.03190288004496</v>
      </c>
      <c r="AD31" s="1">
        <f t="shared" si="16"/>
        <v>3.2677024929309204</v>
      </c>
      <c r="AE31" s="1">
        <f t="shared" si="12"/>
        <v>0.17524622849988766</v>
      </c>
    </row>
    <row r="32" spans="8:31" ht="12.75">
      <c r="H32" s="4">
        <f>Electrons!H5</f>
        <v>0.03</v>
      </c>
      <c r="I32" s="4">
        <f>Electrons!Q5</f>
        <v>498.2531657878287</v>
      </c>
      <c r="J32" s="4">
        <f t="shared" si="18"/>
        <v>747.3797486817431</v>
      </c>
      <c r="K32" s="4">
        <f>Electrons!R5</f>
        <v>27.304077742857885</v>
      </c>
      <c r="L32" s="4">
        <f t="shared" si="17"/>
        <v>40.95611661428683</v>
      </c>
      <c r="N32" s="1">
        <f t="shared" si="19"/>
        <v>-1.5228787452803376</v>
      </c>
      <c r="O32" s="1">
        <f t="shared" si="20"/>
        <v>2.8735413258458022</v>
      </c>
      <c r="P32" s="1">
        <f aca="true" t="shared" si="21" ref="P32:P47">(O32-O31)/(N32-N31)</f>
        <v>-1.7095112913514563</v>
      </c>
      <c r="AA32" s="1">
        <f t="shared" si="15"/>
        <v>0.34217045668850427</v>
      </c>
      <c r="AB32" s="1">
        <f t="shared" si="11"/>
        <v>34.67004872161685</v>
      </c>
      <c r="AD32" s="1">
        <f t="shared" si="16"/>
        <v>3.4217045668850607</v>
      </c>
      <c r="AE32" s="1">
        <f t="shared" si="12"/>
        <v>0.15438063937977864</v>
      </c>
    </row>
    <row r="33" spans="8:31" ht="12.75">
      <c r="H33" s="4">
        <f>Electrons!H6</f>
        <v>0.09</v>
      </c>
      <c r="I33" s="4">
        <f>Electrons!Q6</f>
        <v>106.7685355259633</v>
      </c>
      <c r="J33" s="4">
        <f t="shared" si="18"/>
        <v>160.15280328894494</v>
      </c>
      <c r="K33" s="4">
        <f>Electrons!R6</f>
        <v>9.153426703444124</v>
      </c>
      <c r="L33" s="4">
        <f t="shared" si="17"/>
        <v>13.730140055166187</v>
      </c>
      <c r="N33" s="1">
        <f t="shared" si="19"/>
        <v>-1.0457574905606752</v>
      </c>
      <c r="O33" s="1">
        <f t="shared" si="20"/>
        <v>2.2045345448872267</v>
      </c>
      <c r="P33" s="1">
        <f t="shared" si="21"/>
        <v>-1.4021735027328799</v>
      </c>
      <c r="AA33" s="1">
        <f t="shared" si="15"/>
        <v>0.35829645349814665</v>
      </c>
      <c r="AB33" s="1">
        <f t="shared" si="11"/>
        <v>31.605367792153594</v>
      </c>
      <c r="AD33" s="1">
        <f t="shared" si="16"/>
        <v>3.5829645349814863</v>
      </c>
      <c r="AE33" s="1">
        <f t="shared" si="12"/>
        <v>0.13599939935554473</v>
      </c>
    </row>
    <row r="34" spans="8:31" ht="12.75">
      <c r="H34" s="4">
        <f>Electrons!H7</f>
        <v>0.11000000000000001</v>
      </c>
      <c r="I34" s="4">
        <f>Electrons!Q7</f>
        <v>46.2663653945841</v>
      </c>
      <c r="J34" s="4">
        <f t="shared" si="18"/>
        <v>69.39954809187614</v>
      </c>
      <c r="K34" s="4">
        <f>Electrons!R7</f>
        <v>7.623077694238649</v>
      </c>
      <c r="L34" s="4">
        <f t="shared" si="17"/>
        <v>11.434616541357974</v>
      </c>
      <c r="N34" s="1">
        <f t="shared" si="19"/>
        <v>-0.9586073148417749</v>
      </c>
      <c r="O34" s="1">
        <f t="shared" si="20"/>
        <v>1.8413566424744008</v>
      </c>
      <c r="P34" s="1">
        <f t="shared" si="21"/>
        <v>-4.167265291400474</v>
      </c>
      <c r="AA34" s="1">
        <f t="shared" si="15"/>
        <v>0.37518244512330096</v>
      </c>
      <c r="AB34" s="1">
        <f t="shared" si="11"/>
        <v>28.811591275742384</v>
      </c>
      <c r="AD34" s="1">
        <f t="shared" si="16"/>
        <v>3.7518244512330305</v>
      </c>
      <c r="AE34" s="1">
        <f t="shared" si="12"/>
        <v>0.11980671086332864</v>
      </c>
    </row>
    <row r="35" spans="8:31" ht="12.75">
      <c r="H35" s="4">
        <f>Electrons!H8</f>
        <v>0.17</v>
      </c>
      <c r="I35" s="4">
        <f>Electrons!Q8</f>
        <v>28.471609473590217</v>
      </c>
      <c r="J35" s="4">
        <f t="shared" si="18"/>
        <v>42.70741421038532</v>
      </c>
      <c r="K35" s="4">
        <f>Electrons!R8</f>
        <v>5.38093844819342</v>
      </c>
      <c r="L35" s="4">
        <f t="shared" si="17"/>
        <v>8.07140767229013</v>
      </c>
      <c r="N35" s="1">
        <f t="shared" si="19"/>
        <v>-0.769551078621726</v>
      </c>
      <c r="O35" s="1">
        <f t="shared" si="20"/>
        <v>1.6305032771595076</v>
      </c>
      <c r="P35" s="1">
        <f t="shared" si="21"/>
        <v>-1.1152944199601749</v>
      </c>
      <c r="AA35" s="1">
        <f t="shared" si="15"/>
        <v>0.3928642490161484</v>
      </c>
      <c r="AB35" s="1">
        <f t="shared" si="11"/>
        <v>26.26477240510135</v>
      </c>
      <c r="AD35" s="1">
        <f t="shared" si="16"/>
        <v>3.928642490161507</v>
      </c>
      <c r="AE35" s="1">
        <f t="shared" si="12"/>
        <v>0.10554199530223154</v>
      </c>
    </row>
    <row r="36" spans="8:31" ht="12.75">
      <c r="H36" s="4">
        <f>Electrons!H9</f>
        <v>0.24</v>
      </c>
      <c r="I36" s="4">
        <f>Electrons!Q9</f>
        <v>14.235804736795108</v>
      </c>
      <c r="J36" s="4">
        <f t="shared" si="18"/>
        <v>21.35370710519266</v>
      </c>
      <c r="K36" s="4">
        <f>Electrons!R9</f>
        <v>3.886178950829934</v>
      </c>
      <c r="L36" s="4">
        <f t="shared" si="17"/>
        <v>5.8292684262449015</v>
      </c>
      <c r="N36" s="1">
        <f>LOG10(H36)</f>
        <v>-0.619788758288394</v>
      </c>
      <c r="O36" s="1">
        <f>LOG10(J36)</f>
        <v>1.3294732814955266</v>
      </c>
      <c r="P36" s="1">
        <f t="shared" si="21"/>
        <v>-2.010051627097967</v>
      </c>
      <c r="AA36" s="1">
        <f t="shared" si="15"/>
        <v>0.41137937065338653</v>
      </c>
      <c r="AB36" s="1">
        <f t="shared" si="11"/>
        <v>23.943081202619155</v>
      </c>
      <c r="AD36" s="1">
        <f t="shared" si="16"/>
        <v>4.113793706533889</v>
      </c>
      <c r="AE36" s="1">
        <f t="shared" si="12"/>
        <v>0.09297569970920405</v>
      </c>
    </row>
    <row r="37" spans="8:31" ht="12.75">
      <c r="H37" s="4">
        <f>Electrons!H10</f>
        <v>0.30000000000000004</v>
      </c>
      <c r="I37" s="4">
        <f>Electrons!Q10</f>
        <v>7.117902368397554</v>
      </c>
      <c r="J37" s="4">
        <f t="shared" si="18"/>
        <v>10.67685355259633</v>
      </c>
      <c r="K37" s="4">
        <f>Electrons!R10</f>
        <v>3.2455677376741536</v>
      </c>
      <c r="L37" s="4">
        <f t="shared" si="17"/>
        <v>4.868351606511231</v>
      </c>
      <c r="N37" s="1">
        <f t="shared" si="19"/>
        <v>-0.5228787452803375</v>
      </c>
      <c r="O37" s="1">
        <f t="shared" si="20"/>
        <v>1.0284432858315453</v>
      </c>
      <c r="P37" s="1">
        <f t="shared" si="21"/>
        <v>-3.106283719505389</v>
      </c>
      <c r="AA37" s="1">
        <f t="shared" si="15"/>
        <v>0.4307670830903735</v>
      </c>
      <c r="AB37" s="1">
        <f t="shared" si="11"/>
        <v>21.826617365390515</v>
      </c>
      <c r="AD37" s="1">
        <f t="shared" si="16"/>
        <v>4.30767083090376</v>
      </c>
      <c r="AE37" s="1">
        <f t="shared" si="12"/>
        <v>0.08190560270972358</v>
      </c>
    </row>
    <row r="38" spans="8:31" ht="12.75">
      <c r="H38" s="4">
        <f>Electrons!H11</f>
        <v>0.41</v>
      </c>
      <c r="I38" s="4">
        <f>Electrons!Q11</f>
        <v>6.4061121315578</v>
      </c>
      <c r="J38" s="4">
        <f t="shared" si="18"/>
        <v>9.6091681973367</v>
      </c>
      <c r="K38" s="4">
        <f>Electrons!R11</f>
        <v>2.5017469401766097</v>
      </c>
      <c r="L38" s="4">
        <f t="shared" si="17"/>
        <v>3.7526204102649148</v>
      </c>
      <c r="N38" s="1">
        <f t="shared" si="19"/>
        <v>-0.38721614328026455</v>
      </c>
      <c r="O38" s="1">
        <f t="shared" si="20"/>
        <v>0.9826857952708703</v>
      </c>
      <c r="P38" s="1">
        <f t="shared" si="21"/>
        <v>-0.3372889056090079</v>
      </c>
      <c r="R38" s="32"/>
      <c r="AA38" s="1">
        <f t="shared" si="15"/>
        <v>0.451068510264544</v>
      </c>
      <c r="AB38" s="1">
        <f t="shared" si="11"/>
        <v>19.897239690397598</v>
      </c>
      <c r="AD38" s="1">
        <f t="shared" si="16"/>
        <v>4.510685102645468</v>
      </c>
      <c r="AE38" s="1">
        <f t="shared" si="12"/>
        <v>0.07215356029828256</v>
      </c>
    </row>
    <row r="39" spans="8:31" ht="12.75">
      <c r="H39" s="4">
        <f>Electrons!H12</f>
        <v>0.6000000000000001</v>
      </c>
      <c r="I39" s="4">
        <f>Electrons!Q12</f>
        <v>2.847160947359021</v>
      </c>
      <c r="J39" s="4">
        <f t="shared" si="18"/>
        <v>4.270741421038531</v>
      </c>
      <c r="K39" s="4">
        <f>Electrons!R12</f>
        <v>1.6226859976795112</v>
      </c>
      <c r="L39" s="4">
        <f t="shared" si="17"/>
        <v>2.4340289965192667</v>
      </c>
      <c r="N39" s="1">
        <f t="shared" si="19"/>
        <v>-0.2218487496163563</v>
      </c>
      <c r="O39" s="1">
        <f t="shared" si="20"/>
        <v>0.6305032771595076</v>
      </c>
      <c r="P39" s="1">
        <f t="shared" si="21"/>
        <v>-2.1296974591444338</v>
      </c>
      <c r="Q39" s="1">
        <f>AVERAGE(P33:P38)</f>
        <v>-2.0230595777176483</v>
      </c>
      <c r="R39" s="32"/>
      <c r="AA39" s="1">
        <f t="shared" si="15"/>
        <v>0.47232671422479416</v>
      </c>
      <c r="AB39" s="1">
        <f t="shared" si="11"/>
        <v>18.13841057776066</v>
      </c>
      <c r="AD39" s="1">
        <f t="shared" si="16"/>
        <v>4.723267142247972</v>
      </c>
      <c r="AE39" s="1">
        <f t="shared" si="12"/>
        <v>0.0635626390806089</v>
      </c>
    </row>
    <row r="40" spans="8:31" ht="12.75">
      <c r="H40" s="4">
        <f>Electrons!H13</f>
        <v>0.8500000000000001</v>
      </c>
      <c r="I40" s="4">
        <f>Electrons!Q13</f>
        <v>1.7794755920993885</v>
      </c>
      <c r="J40" s="4">
        <f t="shared" si="18"/>
        <v>2.6692133881490827</v>
      </c>
      <c r="K40" s="4">
        <f>Electrons!R13</f>
        <v>1.04435643024721</v>
      </c>
      <c r="L40" s="4">
        <f t="shared" si="17"/>
        <v>1.5665346453708149</v>
      </c>
      <c r="N40" s="1">
        <f t="shared" si="19"/>
        <v>-0.07058107428570722</v>
      </c>
      <c r="O40" s="1">
        <f t="shared" si="20"/>
        <v>0.4263832945035829</v>
      </c>
      <c r="P40" s="1">
        <f t="shared" si="21"/>
        <v>-1.349395911649651</v>
      </c>
      <c r="AA40" s="1">
        <f t="shared" si="15"/>
        <v>0.4945867864718608</v>
      </c>
      <c r="AB40" s="1">
        <f t="shared" si="11"/>
        <v>16.53505427922226</v>
      </c>
      <c r="AD40" s="1">
        <f t="shared" si="16"/>
        <v>4.945867864718642</v>
      </c>
      <c r="AE40" s="1">
        <f t="shared" si="12"/>
        <v>0.05599459084471425</v>
      </c>
    </row>
    <row r="41" spans="8:31" ht="12.75">
      <c r="H41" s="4">
        <f>Electrons!H14</f>
        <v>1.2</v>
      </c>
      <c r="I41" s="4">
        <f>Electrons!Q14</f>
        <v>0.6406112131557798</v>
      </c>
      <c r="J41" s="4">
        <f t="shared" si="18"/>
        <v>0.9609168197336697</v>
      </c>
      <c r="K41" s="4">
        <f>Electrons!R14</f>
        <v>0.6208412393275556</v>
      </c>
      <c r="L41" s="4">
        <f t="shared" si="17"/>
        <v>0.9312618589913335</v>
      </c>
      <c r="N41" s="1">
        <f t="shared" si="19"/>
        <v>0.07918124604762482</v>
      </c>
      <c r="O41" s="1">
        <f t="shared" si="20"/>
        <v>-0.01731420472912984</v>
      </c>
      <c r="P41" s="1">
        <f t="shared" si="21"/>
        <v>-2.962677783338007</v>
      </c>
      <c r="AA41" s="1">
        <f t="shared" si="15"/>
        <v>0.5178959436034398</v>
      </c>
      <c r="AB41" s="1">
        <f t="shared" si="11"/>
        <v>15.07342767684669</v>
      </c>
      <c r="AD41" s="1">
        <f t="shared" si="16"/>
        <v>5.178959436034435</v>
      </c>
      <c r="AE41" s="1">
        <f t="shared" si="12"/>
        <v>0.04932762782065594</v>
      </c>
    </row>
    <row r="42" spans="8:31" ht="12.75">
      <c r="H42" s="4">
        <f>Electrons!H15</f>
        <v>1.8</v>
      </c>
      <c r="I42" s="4">
        <f>Electrons!Q15</f>
        <v>0.2491265828939144</v>
      </c>
      <c r="J42" s="4">
        <f t="shared" si="18"/>
        <v>0.3736898743408716</v>
      </c>
      <c r="K42" s="4">
        <f>Electrons!R15</f>
        <v>0.3539199005126473</v>
      </c>
      <c r="L42" s="4">
        <f t="shared" si="17"/>
        <v>0.530879850768971</v>
      </c>
      <c r="N42" s="1">
        <f t="shared" si="19"/>
        <v>0.25527250510330607</v>
      </c>
      <c r="O42" s="1">
        <f t="shared" si="20"/>
        <v>-0.42748866981817907</v>
      </c>
      <c r="P42" s="1">
        <f t="shared" si="21"/>
        <v>-2.329328935965807</v>
      </c>
      <c r="AA42" s="1">
        <f t="shared" si="15"/>
        <v>0.5423036274669205</v>
      </c>
      <c r="AB42" s="1">
        <f t="shared" si="11"/>
        <v>13.741002484318106</v>
      </c>
      <c r="AD42" s="1">
        <f t="shared" si="16"/>
        <v>5.423036274669244</v>
      </c>
      <c r="AE42" s="1">
        <f t="shared" si="12"/>
        <v>0.0434544628276865</v>
      </c>
    </row>
    <row r="43" spans="8:31" ht="12.75">
      <c r="H43" s="4">
        <f>Electrons!H16</f>
        <v>2.5</v>
      </c>
      <c r="I43" s="4">
        <f>Electrons!Q16</f>
        <v>0.15303490092054742</v>
      </c>
      <c r="J43" s="4">
        <f t="shared" si="18"/>
        <v>0.22955235138082114</v>
      </c>
      <c r="K43" s="4">
        <f>Electrons!R16</f>
        <v>0.2131633811775857</v>
      </c>
      <c r="L43" s="4">
        <f t="shared" si="17"/>
        <v>0.31974507176637856</v>
      </c>
      <c r="N43" s="1">
        <f t="shared" si="19"/>
        <v>0.3979400086720376</v>
      </c>
      <c r="O43" s="1">
        <f t="shared" si="20"/>
        <v>-0.6391182542528493</v>
      </c>
      <c r="P43" s="1">
        <f t="shared" si="21"/>
        <v>-1.4833762359395004</v>
      </c>
      <c r="AA43" s="1">
        <f t="shared" si="15"/>
        <v>0.5678616100321724</v>
      </c>
      <c r="AB43" s="1">
        <f t="shared" si="11"/>
        <v>12.526357861129553</v>
      </c>
      <c r="AD43" s="1">
        <f t="shared" si="16"/>
        <v>5.678616100321766</v>
      </c>
      <c r="AE43" s="1">
        <f t="shared" si="12"/>
        <v>0.038280582770130016</v>
      </c>
    </row>
    <row r="44" spans="8:31" ht="12.75">
      <c r="H44" s="4">
        <f>Electrons!H17</f>
        <v>3.8</v>
      </c>
      <c r="I44" s="4">
        <f>Electrons!Q17</f>
        <v>0.02847160947359021</v>
      </c>
      <c r="J44" s="4">
        <f t="shared" si="18"/>
        <v>0.04270741421038532</v>
      </c>
      <c r="K44" s="4">
        <f>Electrons!R17</f>
        <v>0.09518414942139627</v>
      </c>
      <c r="L44" s="4">
        <f t="shared" si="17"/>
        <v>0.14277622413209443</v>
      </c>
      <c r="N44" s="1">
        <f t="shared" si="19"/>
        <v>0.5797835966168101</v>
      </c>
      <c r="O44" s="1">
        <f t="shared" si="20"/>
        <v>-1.3694967228404924</v>
      </c>
      <c r="P44" s="1">
        <f t="shared" si="21"/>
        <v>-4.016520333999709</v>
      </c>
      <c r="AA44" s="1">
        <f t="shared" si="15"/>
        <v>0.5946241032068348</v>
      </c>
      <c r="AB44" s="1">
        <f t="shared" si="11"/>
        <v>11.419082519208846</v>
      </c>
      <c r="AD44" s="1">
        <f t="shared" si="16"/>
        <v>5.946241032068394</v>
      </c>
      <c r="AE44" s="1">
        <f t="shared" si="12"/>
        <v>0.03372272769845657</v>
      </c>
    </row>
    <row r="45" spans="8:31" ht="12.75">
      <c r="H45" s="4">
        <f>Electrons!H18</f>
        <v>7</v>
      </c>
      <c r="I45" s="4">
        <f>Electrons!Q18</f>
        <v>0.0049825316578782875</v>
      </c>
      <c r="J45" s="4">
        <f t="shared" si="18"/>
        <v>0.007473797486817431</v>
      </c>
      <c r="K45" s="4">
        <f>Electrons!R18</f>
        <v>0.04165752361104668</v>
      </c>
      <c r="L45" s="4">
        <f t="shared" si="17"/>
        <v>0.06248628541657001</v>
      </c>
      <c r="N45" s="1">
        <f t="shared" si="19"/>
        <v>0.8450980400142568</v>
      </c>
      <c r="O45" s="1">
        <f t="shared" si="20"/>
        <v>-2.1264586741541978</v>
      </c>
      <c r="P45" s="1">
        <f t="shared" si="21"/>
        <v>-2.85307479540328</v>
      </c>
      <c r="AA45" s="1">
        <f t="shared" si="15"/>
        <v>0.6226478738270411</v>
      </c>
      <c r="AB45" s="1">
        <f t="shared" si="11"/>
        <v>10.409685482891252</v>
      </c>
      <c r="AD45" s="1">
        <f t="shared" si="16"/>
        <v>6.226478738270461</v>
      </c>
      <c r="AE45" s="1">
        <f t="shared" si="12"/>
        <v>0.029707550960055215</v>
      </c>
    </row>
    <row r="46" spans="8:31" ht="12.75">
      <c r="H46" s="4">
        <f>Electrons!H19</f>
        <v>13</v>
      </c>
      <c r="I46" s="4">
        <f>Electrons!Q19</f>
        <v>0.0008185587723657185</v>
      </c>
      <c r="J46" s="4">
        <f t="shared" si="18"/>
        <v>0.0012278381585485777</v>
      </c>
      <c r="K46" s="4">
        <f>Electrons!R19</f>
        <v>0.02425425232031466</v>
      </c>
      <c r="L46" s="4">
        <f>0.5*(J47+J46)*(H47-H46)+L47</f>
        <v>0.03638137848047199</v>
      </c>
      <c r="N46" s="1">
        <f t="shared" si="19"/>
        <v>1.1139433523068367</v>
      </c>
      <c r="O46" s="1">
        <f t="shared" si="20"/>
        <v>-2.9108588738148433</v>
      </c>
      <c r="P46" s="1">
        <f t="shared" si="21"/>
        <v>-2.917663666781721</v>
      </c>
      <c r="Q46" s="1">
        <f>AVERAGE(P40:P46)</f>
        <v>-2.5588625232968107</v>
      </c>
      <c r="R46" s="32"/>
      <c r="AA46" s="1">
        <f t="shared" si="15"/>
        <v>0.6519923640674892</v>
      </c>
      <c r="AB46" s="1">
        <f t="shared" si="11"/>
        <v>9.489514737320995</v>
      </c>
      <c r="AD46" s="1">
        <f t="shared" si="16"/>
        <v>6.519923640674946</v>
      </c>
      <c r="AE46" s="1">
        <f t="shared" si="12"/>
        <v>0.026170438878367203</v>
      </c>
    </row>
    <row r="47" spans="8:31" ht="12.75">
      <c r="H47" s="4">
        <f>Electrons!H20</f>
        <v>60</v>
      </c>
      <c r="I47" s="4">
        <f>Electrons!Q20</f>
        <v>0.0002135370710519266</v>
      </c>
      <c r="J47" s="4">
        <f t="shared" si="18"/>
        <v>0.0003203056065778899</v>
      </c>
      <c r="K47" s="4">
        <f>Electrons!R20</f>
        <v>0</v>
      </c>
      <c r="L47" s="4"/>
      <c r="N47" s="1">
        <f t="shared" si="19"/>
        <v>1.7781512503836436</v>
      </c>
      <c r="O47" s="1">
        <f t="shared" si="20"/>
        <v>-3.494435459448792</v>
      </c>
      <c r="P47" s="1">
        <f t="shared" si="21"/>
        <v>-0.87860530915648</v>
      </c>
      <c r="AA47" s="1">
        <f t="shared" si="15"/>
        <v>0.6827198175262633</v>
      </c>
      <c r="AB47" s="1">
        <f t="shared" si="11"/>
        <v>8.650683067978827</v>
      </c>
      <c r="AD47" s="1">
        <f t="shared" si="16"/>
        <v>6.827198175262693</v>
      </c>
      <c r="AE47" s="1">
        <f t="shared" si="12"/>
        <v>0.023054470966228733</v>
      </c>
    </row>
    <row r="48" spans="27:31" ht="12.75">
      <c r="AA48" s="1">
        <f t="shared" si="15"/>
        <v>0.7148954112518511</v>
      </c>
      <c r="AB48" s="1">
        <f t="shared" si="11"/>
        <v>7.886000455671584</v>
      </c>
      <c r="AD48" s="1">
        <f t="shared" si="16"/>
        <v>7.1489541125185765</v>
      </c>
      <c r="AE48" s="1">
        <f t="shared" si="12"/>
        <v>0.02030950394080074</v>
      </c>
    </row>
    <row r="49" spans="27:31" ht="12.75">
      <c r="AA49" s="1">
        <f t="shared" si="15"/>
        <v>0.7485873939924015</v>
      </c>
      <c r="AB49" s="1">
        <f t="shared" si="11"/>
        <v>7.1889124475094714</v>
      </c>
      <c r="AD49" s="1">
        <f t="shared" si="16"/>
        <v>7.485873939924086</v>
      </c>
      <c r="AE49" s="1">
        <f t="shared" si="12"/>
        <v>0.017891364799722143</v>
      </c>
    </row>
    <row r="50" spans="27:31" ht="12.75">
      <c r="AA50" s="1">
        <f t="shared" si="15"/>
        <v>0.78386723096047</v>
      </c>
      <c r="AB50" s="1">
        <f t="shared" si="11"/>
        <v>6.553443975619889</v>
      </c>
      <c r="AD50" s="1">
        <f t="shared" si="16"/>
        <v>7.838672309604777</v>
      </c>
      <c r="AE50" s="1">
        <f t="shared" si="12"/>
        <v>0.0157611399731763</v>
      </c>
    </row>
    <row r="51" spans="30:31" ht="12.75">
      <c r="AD51" s="1">
        <f t="shared" si="16"/>
        <v>8.208097554203244</v>
      </c>
      <c r="AE51" s="1">
        <f t="shared" si="12"/>
        <v>0.013884549112648694</v>
      </c>
    </row>
    <row r="52" spans="30:31" ht="12.75">
      <c r="AD52" s="1">
        <f t="shared" si="16"/>
        <v>8.594933274192984</v>
      </c>
      <c r="AE52" s="1">
        <f t="shared" si="12"/>
        <v>0.012231393439157625</v>
      </c>
    </row>
    <row r="53" spans="30:31" ht="12.75">
      <c r="AD53" s="1">
        <f t="shared" si="16"/>
        <v>9.000000000000066</v>
      </c>
      <c r="AE53" s="1">
        <f t="shared" si="12"/>
        <v>0.01077506977357858</v>
      </c>
    </row>
    <row r="54" spans="30:31" ht="12.75">
      <c r="AD54" s="1">
        <f t="shared" si="16"/>
        <v>9.424156932458168</v>
      </c>
      <c r="AE54" s="1">
        <f t="shared" si="12"/>
        <v>0.009492142428662042</v>
      </c>
    </row>
    <row r="55" spans="30:31" ht="12.75">
      <c r="AD55" s="1">
        <f t="shared" si="16"/>
        <v>9.868303765288742</v>
      </c>
      <c r="AE55" s="1">
        <f t="shared" si="12"/>
        <v>0.0083619660734765</v>
      </c>
    </row>
    <row r="56" spans="30:31" ht="12.75">
      <c r="AD56" s="1">
        <f t="shared" si="16"/>
        <v>10.333382593472024</v>
      </c>
      <c r="AE56" s="1">
        <f t="shared" si="12"/>
        <v>0.007366353501274625</v>
      </c>
    </row>
    <row r="57" spans="30:31" ht="12.75">
      <c r="AD57" s="1">
        <f t="shared" si="16"/>
        <v>10.8203799115568</v>
      </c>
      <c r="AE57" s="1">
        <f t="shared" si="12"/>
        <v>0.006489282954383107</v>
      </c>
    </row>
    <row r="58" spans="30:31" ht="12.75">
      <c r="AD58" s="1">
        <f t="shared" si="16"/>
        <v>11.330328706147592</v>
      </c>
      <c r="AE58" s="1">
        <f t="shared" si="12"/>
        <v>0.005716640296282361</v>
      </c>
    </row>
    <row r="59" spans="30:31" ht="12.75">
      <c r="AD59" s="1">
        <f t="shared" si="16"/>
        <v>11.864310647007757</v>
      </c>
      <c r="AE59" s="1">
        <f t="shared" si="12"/>
        <v>0.005035991881815842</v>
      </c>
    </row>
    <row r="60" spans="30:31" ht="12.75">
      <c r="AD60" s="1">
        <f t="shared" si="16"/>
        <v>12.423458381426059</v>
      </c>
      <c r="AE60" s="1">
        <f t="shared" si="12"/>
        <v>0.004436384470474374</v>
      </c>
    </row>
    <row r="61" spans="30:31" ht="12.75">
      <c r="AD61" s="1">
        <f t="shared" si="16"/>
        <v>13.008957936713452</v>
      </c>
      <c r="AE61" s="1">
        <f t="shared" si="12"/>
        <v>0.003908168962887516</v>
      </c>
    </row>
    <row r="62" spans="30:31" ht="12.75">
      <c r="AD62" s="1">
        <f t="shared" si="16"/>
        <v>13.622051235925992</v>
      </c>
      <c r="AE62" s="1">
        <f t="shared" si="12"/>
        <v>0.0034428451240259756</v>
      </c>
    </row>
  </sheetData>
  <mergeCells count="11">
    <mergeCell ref="A2:C2"/>
    <mergeCell ref="D2:F2"/>
    <mergeCell ref="A1:D1"/>
    <mergeCell ref="G22:H22"/>
    <mergeCell ref="G25:H25"/>
    <mergeCell ref="I19:I20"/>
    <mergeCell ref="O19:O20"/>
    <mergeCell ref="N19:N20"/>
    <mergeCell ref="G24:H24"/>
    <mergeCell ref="G23:H23"/>
    <mergeCell ref="G21:H21"/>
  </mergeCells>
  <printOptions/>
  <pageMargins left="0.75" right="0.75" top="1" bottom="1" header="0.5" footer="0.5"/>
  <pageSetup horizontalDpi="600" verticalDpi="600" orientation="portrait" r:id="rId3"/>
  <legacyDrawing r:id="rId2"/>
</worksheet>
</file>

<file path=xl/worksheets/sheet3.xml><?xml version="1.0" encoding="utf-8"?>
<worksheet xmlns="http://schemas.openxmlformats.org/spreadsheetml/2006/main" xmlns:r="http://schemas.openxmlformats.org/officeDocument/2006/relationships">
  <dimension ref="A2:R78"/>
  <sheetViews>
    <sheetView workbookViewId="0" topLeftCell="A1">
      <selection activeCell="A3" sqref="A3:A4"/>
    </sheetView>
  </sheetViews>
  <sheetFormatPr defaultColWidth="9.140625" defaultRowHeight="12.75"/>
  <cols>
    <col min="1" max="1" width="12.421875" style="1" bestFit="1" customWidth="1"/>
    <col min="2" max="2" width="12.00390625" style="1" bestFit="1" customWidth="1"/>
    <col min="3" max="3" width="10.00390625" style="1" bestFit="1" customWidth="1"/>
    <col min="4" max="4" width="13.28125" style="1" customWidth="1"/>
    <col min="5" max="5" width="9.140625" style="1" customWidth="1"/>
    <col min="6" max="6" width="10.140625" style="1" customWidth="1"/>
    <col min="7" max="7" width="10.28125" style="1" bestFit="1" customWidth="1"/>
    <col min="8" max="8" width="11.8515625" style="1" bestFit="1" customWidth="1"/>
    <col min="9" max="9" width="3.7109375" style="1" customWidth="1"/>
    <col min="10" max="10" width="10.7109375" style="1" customWidth="1"/>
    <col min="11" max="11" width="10.421875" style="1" customWidth="1"/>
    <col min="12" max="14" width="11.28125" style="1" customWidth="1"/>
    <col min="15" max="16384" width="9.140625" style="1" customWidth="1"/>
  </cols>
  <sheetData>
    <row r="2" spans="1:18" ht="19.5">
      <c r="A2" s="52" t="s">
        <v>48</v>
      </c>
      <c r="B2" s="52"/>
      <c r="C2" s="52"/>
      <c r="D2" s="52"/>
      <c r="E2" s="52"/>
      <c r="F2" s="52"/>
      <c r="G2" s="52"/>
      <c r="H2" s="52"/>
      <c r="I2" s="23"/>
      <c r="J2" s="53" t="s">
        <v>49</v>
      </c>
      <c r="K2" s="53"/>
      <c r="L2" s="53"/>
      <c r="M2" s="53"/>
      <c r="N2" s="53"/>
      <c r="O2" s="53"/>
      <c r="P2" s="53"/>
      <c r="Q2" s="53"/>
      <c r="R2" s="53"/>
    </row>
    <row r="3" spans="1:18" s="2" customFormat="1" ht="12.75" customHeight="1">
      <c r="A3" s="50" t="s">
        <v>118</v>
      </c>
      <c r="B3" s="50" t="s">
        <v>33</v>
      </c>
      <c r="C3" s="50"/>
      <c r="D3" s="50" t="s">
        <v>37</v>
      </c>
      <c r="E3" s="50" t="s">
        <v>34</v>
      </c>
      <c r="F3" s="50"/>
      <c r="G3" s="50" t="s">
        <v>32</v>
      </c>
      <c r="H3" s="50"/>
      <c r="I3" s="24"/>
      <c r="J3" s="50" t="s">
        <v>42</v>
      </c>
      <c r="K3" s="54" t="s">
        <v>66</v>
      </c>
      <c r="L3" s="54" t="s">
        <v>55</v>
      </c>
      <c r="M3" s="50" t="s">
        <v>50</v>
      </c>
      <c r="N3" s="50" t="s">
        <v>43</v>
      </c>
      <c r="O3" s="50" t="s">
        <v>44</v>
      </c>
      <c r="P3" s="50" t="s">
        <v>45</v>
      </c>
      <c r="Q3" s="50" t="s">
        <v>46</v>
      </c>
      <c r="R3" s="50" t="s">
        <v>47</v>
      </c>
    </row>
    <row r="4" spans="1:18" s="2" customFormat="1" ht="51">
      <c r="A4" s="50"/>
      <c r="B4" s="3" t="s">
        <v>35</v>
      </c>
      <c r="C4" s="3" t="s">
        <v>36</v>
      </c>
      <c r="D4" s="50"/>
      <c r="E4" s="3" t="s">
        <v>38</v>
      </c>
      <c r="F4" s="3" t="s">
        <v>39</v>
      </c>
      <c r="G4" s="3" t="s">
        <v>40</v>
      </c>
      <c r="H4" s="3" t="s">
        <v>41</v>
      </c>
      <c r="I4" s="24"/>
      <c r="J4" s="50"/>
      <c r="K4" s="55"/>
      <c r="L4" s="55"/>
      <c r="M4" s="50"/>
      <c r="N4" s="50"/>
      <c r="O4" s="50"/>
      <c r="P4" s="50"/>
      <c r="Q4" s="50"/>
      <c r="R4" s="50"/>
    </row>
    <row r="5" spans="1:18" ht="12.75">
      <c r="A5" s="22">
        <v>15</v>
      </c>
      <c r="B5" s="21">
        <v>1.03E-06</v>
      </c>
      <c r="C5" s="21">
        <v>0.0103</v>
      </c>
      <c r="D5" s="21">
        <v>1.94E-06</v>
      </c>
      <c r="E5" s="21">
        <v>0.0134</v>
      </c>
      <c r="F5" s="21">
        <v>0.000497</v>
      </c>
      <c r="G5" s="21">
        <v>0.0242</v>
      </c>
      <c r="H5" s="21">
        <v>0.0242</v>
      </c>
      <c r="I5" s="25"/>
      <c r="J5" s="4">
        <f aca="true" t="shared" si="0" ref="J5:J22">E5+F5</f>
        <v>0.013897</v>
      </c>
      <c r="K5" s="4">
        <f>J5*1.396</f>
        <v>0.019400211999999997</v>
      </c>
      <c r="L5" s="4">
        <f aca="true" t="shared" si="1" ref="L5:L22">K5*100</f>
        <v>1.9400211999999997</v>
      </c>
      <c r="M5" s="4">
        <f aca="true" t="shared" si="2" ref="M5:M22">L5^-1</f>
        <v>0.5154582846826623</v>
      </c>
      <c r="N5" s="4">
        <f>Photons!P3</f>
        <v>3490.406937475601</v>
      </c>
      <c r="O5" s="4">
        <f>M5*N5</f>
        <v>1799.1591728356377</v>
      </c>
      <c r="P5" s="4">
        <f>O5*A5</f>
        <v>26987.387592534567</v>
      </c>
      <c r="Q5" s="4">
        <f>Photons!Q3</f>
        <v>19.471220812426804</v>
      </c>
      <c r="R5" s="4">
        <f>P5/Q5</f>
        <v>1386.014151475846</v>
      </c>
    </row>
    <row r="6" spans="1:18" ht="12.75">
      <c r="A6" s="22">
        <v>20</v>
      </c>
      <c r="B6" s="21">
        <v>5.78E-07</v>
      </c>
      <c r="C6" s="21">
        <v>0.00825</v>
      </c>
      <c r="D6" s="21">
        <v>1.43E-06</v>
      </c>
      <c r="E6" s="21">
        <v>0.0156</v>
      </c>
      <c r="F6" s="21">
        <v>0.000636</v>
      </c>
      <c r="G6" s="21">
        <v>0.0245</v>
      </c>
      <c r="H6" s="21">
        <v>0.0245</v>
      </c>
      <c r="I6" s="25"/>
      <c r="J6" s="4">
        <f t="shared" si="0"/>
        <v>0.016236</v>
      </c>
      <c r="K6" s="4">
        <f aca="true" t="shared" si="3" ref="K6:K22">J6*1.396</f>
        <v>0.022665456</v>
      </c>
      <c r="L6" s="4">
        <f t="shared" si="1"/>
        <v>2.2665456</v>
      </c>
      <c r="M6" s="4">
        <f t="shared" si="2"/>
        <v>0.44120003586073886</v>
      </c>
      <c r="N6" s="4">
        <f>Photons!P4</f>
        <v>1745.2034687378004</v>
      </c>
      <c r="O6" s="4">
        <f>M6*N6</f>
        <v>769.9838329914035</v>
      </c>
      <c r="P6" s="4">
        <f aca="true" t="shared" si="4" ref="P6:P22">0.5*(O5+O6)*(A6-A5)+P5</f>
        <v>33410.24510710217</v>
      </c>
      <c r="Q6" s="4">
        <f>Photons!Q4</f>
        <v>66.59171446834742</v>
      </c>
      <c r="R6" s="4">
        <f aca="true" t="shared" si="5" ref="R6:R19">P6/Q6</f>
        <v>501.71774933025387</v>
      </c>
    </row>
    <row r="7" spans="1:18" ht="12.75">
      <c r="A7" s="22">
        <v>30</v>
      </c>
      <c r="B7" s="21">
        <v>2.57E-07</v>
      </c>
      <c r="C7" s="21">
        <v>0.006</v>
      </c>
      <c r="D7" s="21">
        <v>9.3E-07</v>
      </c>
      <c r="E7" s="21">
        <v>0.0188</v>
      </c>
      <c r="F7" s="21">
        <v>0.000843</v>
      </c>
      <c r="G7" s="21">
        <v>0.0256</v>
      </c>
      <c r="H7" s="21">
        <v>0.0256</v>
      </c>
      <c r="I7" s="25"/>
      <c r="J7" s="4">
        <f t="shared" si="0"/>
        <v>0.019643</v>
      </c>
      <c r="K7" s="4">
        <f t="shared" si="3"/>
        <v>0.027421628</v>
      </c>
      <c r="L7" s="4">
        <f t="shared" si="1"/>
        <v>2.7421628</v>
      </c>
      <c r="M7" s="4">
        <f t="shared" si="2"/>
        <v>0.36467564945451086</v>
      </c>
      <c r="N7" s="4">
        <f>Photons!P5</f>
        <v>190.38583295321456</v>
      </c>
      <c r="O7" s="4">
        <f aca="true" t="shared" si="6" ref="O7:O19">M7*N7</f>
        <v>69.42907727915154</v>
      </c>
      <c r="P7" s="4">
        <f t="shared" si="4"/>
        <v>37607.30965845495</v>
      </c>
      <c r="Q7" s="4">
        <f>Photons!Q5</f>
        <v>119.82042026485033</v>
      </c>
      <c r="R7" s="4">
        <f t="shared" si="5"/>
        <v>313.8639438530426</v>
      </c>
    </row>
    <row r="8" spans="1:18" ht="12.75">
      <c r="A8" s="22">
        <v>90</v>
      </c>
      <c r="B8" s="21">
        <v>2.85E-08</v>
      </c>
      <c r="C8" s="21">
        <v>0.00245</v>
      </c>
      <c r="D8" s="21">
        <v>3E-07</v>
      </c>
      <c r="E8" s="21">
        <v>0.0264</v>
      </c>
      <c r="F8" s="21">
        <v>0.00139</v>
      </c>
      <c r="G8" s="21">
        <v>0.0302</v>
      </c>
      <c r="H8" s="21">
        <v>0.0302</v>
      </c>
      <c r="I8" s="25"/>
      <c r="J8" s="4">
        <f t="shared" si="0"/>
        <v>0.02779</v>
      </c>
      <c r="K8" s="4">
        <f t="shared" si="3"/>
        <v>0.03879484</v>
      </c>
      <c r="L8" s="4">
        <f t="shared" si="1"/>
        <v>3.8794839999999997</v>
      </c>
      <c r="M8" s="4">
        <f t="shared" si="2"/>
        <v>0.2577662390152917</v>
      </c>
      <c r="N8" s="4">
        <f>Photons!P6</f>
        <v>95.19291647660728</v>
      </c>
      <c r="O8" s="4">
        <f t="shared" si="6"/>
        <v>24.537520061071852</v>
      </c>
      <c r="P8" s="4">
        <f t="shared" si="4"/>
        <v>40426.307578661654</v>
      </c>
      <c r="Q8" s="4">
        <f>Photons!Q6</f>
        <v>124.24689088101256</v>
      </c>
      <c r="R8" s="4">
        <f t="shared" si="5"/>
        <v>325.37077823039203</v>
      </c>
    </row>
    <row r="9" spans="1:18" ht="12.75">
      <c r="A9" s="22">
        <v>110</v>
      </c>
      <c r="B9" s="21">
        <v>1.91E-08</v>
      </c>
      <c r="C9" s="21">
        <v>0.00207</v>
      </c>
      <c r="D9" s="21">
        <v>2.45E-07</v>
      </c>
      <c r="E9" s="21">
        <v>0.0275</v>
      </c>
      <c r="F9" s="21">
        <v>0.00149</v>
      </c>
      <c r="G9" s="21">
        <v>0.0311</v>
      </c>
      <c r="H9" s="21">
        <v>0.0311</v>
      </c>
      <c r="I9" s="25"/>
      <c r="J9" s="4">
        <f t="shared" si="0"/>
        <v>0.028990000000000002</v>
      </c>
      <c r="K9" s="4">
        <f t="shared" si="3"/>
        <v>0.04047004</v>
      </c>
      <c r="L9" s="4">
        <f t="shared" si="1"/>
        <v>4.047004</v>
      </c>
      <c r="M9" s="4">
        <f t="shared" si="2"/>
        <v>0.2470963705496708</v>
      </c>
      <c r="N9" s="4">
        <f>Photons!P7</f>
        <v>34.904069374756006</v>
      </c>
      <c r="O9" s="4">
        <f t="shared" si="6"/>
        <v>8.624668859916126</v>
      </c>
      <c r="P9" s="4">
        <f t="shared" si="4"/>
        <v>40757.92946787153</v>
      </c>
      <c r="Q9" s="4">
        <f>Photons!Q7</f>
        <v>128.14980045655346</v>
      </c>
      <c r="R9" s="4">
        <f t="shared" si="5"/>
        <v>318.04910598896845</v>
      </c>
    </row>
    <row r="10" spans="1:18" ht="12.75">
      <c r="A10" s="22">
        <v>170</v>
      </c>
      <c r="B10" s="21">
        <v>8E-09</v>
      </c>
      <c r="C10" s="21">
        <v>0.00144</v>
      </c>
      <c r="D10" s="21">
        <v>1.58E-07</v>
      </c>
      <c r="E10" s="21">
        <v>0.0298</v>
      </c>
      <c r="F10" s="21">
        <v>0.00167</v>
      </c>
      <c r="G10" s="21">
        <v>0.0329</v>
      </c>
      <c r="H10" s="21">
        <v>0.0329</v>
      </c>
      <c r="I10" s="25"/>
      <c r="J10" s="4">
        <f t="shared" si="0"/>
        <v>0.03147</v>
      </c>
      <c r="K10" s="4">
        <f t="shared" si="3"/>
        <v>0.04393211999999999</v>
      </c>
      <c r="L10" s="4">
        <f t="shared" si="1"/>
        <v>4.393211999999999</v>
      </c>
      <c r="M10" s="4">
        <f t="shared" si="2"/>
        <v>0.2276238888539866</v>
      </c>
      <c r="N10" s="4">
        <f>Photons!P8</f>
        <v>19.355893016910144</v>
      </c>
      <c r="O10" s="4">
        <f t="shared" si="6"/>
        <v>4.40586364075081</v>
      </c>
      <c r="P10" s="4">
        <f t="shared" si="4"/>
        <v>41148.845442891536</v>
      </c>
      <c r="Q10" s="4">
        <f>Photons!Q8</f>
        <v>130.04889914026177</v>
      </c>
      <c r="R10" s="4">
        <f t="shared" si="5"/>
        <v>316.4105633720992</v>
      </c>
    </row>
    <row r="11" spans="1:18" ht="12.75">
      <c r="A11" s="22">
        <v>240</v>
      </c>
      <c r="B11" s="21">
        <v>4.01E-09</v>
      </c>
      <c r="C11" s="21">
        <v>0.00107</v>
      </c>
      <c r="D11" s="21">
        <v>1.12E-07</v>
      </c>
      <c r="E11" s="21">
        <v>0.0313</v>
      </c>
      <c r="F11" s="21">
        <v>0.0018</v>
      </c>
      <c r="G11" s="21">
        <v>0.0341</v>
      </c>
      <c r="H11" s="21">
        <v>0.0341</v>
      </c>
      <c r="I11" s="25"/>
      <c r="J11" s="4">
        <f t="shared" si="0"/>
        <v>0.033100000000000004</v>
      </c>
      <c r="K11" s="4">
        <f t="shared" si="3"/>
        <v>0.0462076</v>
      </c>
      <c r="L11" s="4">
        <f t="shared" si="1"/>
        <v>4.62076</v>
      </c>
      <c r="M11" s="4">
        <f t="shared" si="2"/>
        <v>0.21641461577749116</v>
      </c>
      <c r="N11" s="4">
        <f>Photons!P9</f>
        <v>10.788530534015491</v>
      </c>
      <c r="O11" s="4">
        <f t="shared" si="6"/>
        <v>2.334795690322694</v>
      </c>
      <c r="P11" s="4">
        <f t="shared" si="4"/>
        <v>41384.768519479105</v>
      </c>
      <c r="Q11" s="4">
        <f>Photons!Q9</f>
        <v>131.2546760822988</v>
      </c>
      <c r="R11" s="4">
        <f t="shared" si="5"/>
        <v>315.30128872155524</v>
      </c>
    </row>
    <row r="12" spans="1:18" ht="12.75">
      <c r="A12" s="22">
        <v>300</v>
      </c>
      <c r="B12" s="21">
        <v>2.57E-09</v>
      </c>
      <c r="C12" s="21">
        <v>0.000889</v>
      </c>
      <c r="D12" s="21">
        <v>8.92E-08</v>
      </c>
      <c r="E12" s="21">
        <v>0.0321</v>
      </c>
      <c r="F12" s="21">
        <v>0.00188</v>
      </c>
      <c r="G12" s="21">
        <v>0.0349</v>
      </c>
      <c r="H12" s="21">
        <v>0.0349</v>
      </c>
      <c r="I12" s="25"/>
      <c r="J12" s="4">
        <f t="shared" si="0"/>
        <v>0.033979999999999996</v>
      </c>
      <c r="K12" s="4">
        <f t="shared" si="3"/>
        <v>0.04743607999999999</v>
      </c>
      <c r="L12" s="4">
        <f t="shared" si="1"/>
        <v>4.743607999999999</v>
      </c>
      <c r="M12" s="4">
        <f t="shared" si="2"/>
        <v>0.21080999947719123</v>
      </c>
      <c r="N12" s="4">
        <f>Photons!P10</f>
        <v>3.807716659064291</v>
      </c>
      <c r="O12" s="4">
        <f t="shared" si="6"/>
        <v>0.8027047469066355</v>
      </c>
      <c r="P12" s="4">
        <f t="shared" si="4"/>
        <v>41478.89353259598</v>
      </c>
      <c r="Q12" s="4">
        <f>Photons!Q10</f>
        <v>133.22516945336457</v>
      </c>
      <c r="R12" s="4">
        <f t="shared" si="5"/>
        <v>311.34427302879624</v>
      </c>
    </row>
    <row r="13" spans="1:18" ht="12.75">
      <c r="A13" s="22">
        <v>410</v>
      </c>
      <c r="B13" s="21">
        <v>1.38E-09</v>
      </c>
      <c r="C13" s="21">
        <v>0.000682</v>
      </c>
      <c r="D13" s="21">
        <v>6.52E-08</v>
      </c>
      <c r="E13" s="21">
        <v>0.0331</v>
      </c>
      <c r="F13" s="21">
        <v>0.00197</v>
      </c>
      <c r="G13" s="21">
        <v>0.0357</v>
      </c>
      <c r="H13" s="21">
        <v>0.0357</v>
      </c>
      <c r="I13" s="25"/>
      <c r="J13" s="4">
        <f t="shared" si="0"/>
        <v>0.03507</v>
      </c>
      <c r="K13" s="4">
        <f t="shared" si="3"/>
        <v>0.04895771999999999</v>
      </c>
      <c r="L13" s="4">
        <f t="shared" si="1"/>
        <v>4.895771999999999</v>
      </c>
      <c r="M13" s="4">
        <f t="shared" si="2"/>
        <v>0.20425787802209747</v>
      </c>
      <c r="N13" s="4">
        <f>Photons!P11</f>
        <v>2.2211680511208365</v>
      </c>
      <c r="O13" s="4">
        <f t="shared" si="6"/>
        <v>0.4536910728524198</v>
      </c>
      <c r="P13" s="4">
        <f t="shared" si="4"/>
        <v>41547.99530268273</v>
      </c>
      <c r="Q13" s="4">
        <f>Photons!Q11</f>
        <v>134.12950215989235</v>
      </c>
      <c r="R13" s="4">
        <f t="shared" si="5"/>
        <v>309.7603035397419</v>
      </c>
    </row>
    <row r="14" spans="1:18" ht="12.75">
      <c r="A14" s="22">
        <v>600</v>
      </c>
      <c r="B14" s="21">
        <v>6.42E-10</v>
      </c>
      <c r="C14" s="21">
        <v>0.000493</v>
      </c>
      <c r="D14" s="21">
        <v>4.45E-08</v>
      </c>
      <c r="E14" s="21">
        <v>0.0341</v>
      </c>
      <c r="F14" s="21">
        <v>0.00207</v>
      </c>
      <c r="G14" s="21">
        <v>0.0366</v>
      </c>
      <c r="H14" s="21">
        <v>0.0366</v>
      </c>
      <c r="I14" s="25"/>
      <c r="J14" s="4">
        <f t="shared" si="0"/>
        <v>0.03617</v>
      </c>
      <c r="K14" s="4">
        <f t="shared" si="3"/>
        <v>0.050493319999999994</v>
      </c>
      <c r="L14" s="4">
        <f t="shared" si="1"/>
        <v>5.049332</v>
      </c>
      <c r="M14" s="4">
        <f t="shared" si="2"/>
        <v>0.1980459989559015</v>
      </c>
      <c r="N14" s="4">
        <f>Photons!P12</f>
        <v>0.7615433318128583</v>
      </c>
      <c r="O14" s="4">
        <f t="shared" si="6"/>
        <v>0.15082060989708307</v>
      </c>
      <c r="P14" s="4">
        <f t="shared" si="4"/>
        <v>41605.42391254393</v>
      </c>
      <c r="Q14" s="4">
        <f>Photons!Q12</f>
        <v>134.5769088673324</v>
      </c>
      <c r="R14" s="4">
        <f t="shared" si="5"/>
        <v>309.1572266202003</v>
      </c>
    </row>
    <row r="15" spans="1:18" ht="12.75">
      <c r="A15" s="22">
        <v>850</v>
      </c>
      <c r="B15" s="21">
        <v>3.2E-10</v>
      </c>
      <c r="C15" s="21">
        <v>0.000366</v>
      </c>
      <c r="D15" s="21">
        <v>3.14E-08</v>
      </c>
      <c r="E15" s="21">
        <v>0.0348</v>
      </c>
      <c r="F15" s="21">
        <v>0.00214</v>
      </c>
      <c r="G15" s="21">
        <v>0.0373</v>
      </c>
      <c r="H15" s="21">
        <v>0.0373</v>
      </c>
      <c r="I15" s="25"/>
      <c r="J15" s="4">
        <f t="shared" si="0"/>
        <v>0.03694</v>
      </c>
      <c r="K15" s="4">
        <f t="shared" si="3"/>
        <v>0.051568239999999994</v>
      </c>
      <c r="L15" s="4">
        <f t="shared" si="1"/>
        <v>5.156823999999999</v>
      </c>
      <c r="M15" s="4">
        <f t="shared" si="2"/>
        <v>0.19391780677409198</v>
      </c>
      <c r="N15" s="4">
        <f>Photons!P13</f>
        <v>0.317309721588691</v>
      </c>
      <c r="O15" s="4">
        <f t="shared" si="6"/>
        <v>0.0615320052785767</v>
      </c>
      <c r="P15" s="4">
        <f t="shared" si="4"/>
        <v>41631.967989440884</v>
      </c>
      <c r="Q15" s="4">
        <f>Photons!Q13</f>
        <v>134.90056478335288</v>
      </c>
      <c r="R15" s="4">
        <f t="shared" si="5"/>
        <v>308.6122586388044</v>
      </c>
    </row>
    <row r="16" spans="1:18" ht="12.75">
      <c r="A16" s="22">
        <v>1200</v>
      </c>
      <c r="B16" s="21">
        <v>1.61E-10</v>
      </c>
      <c r="C16" s="21">
        <v>0.00027</v>
      </c>
      <c r="D16" s="21">
        <v>2.22E-08</v>
      </c>
      <c r="E16" s="21">
        <v>0.0353</v>
      </c>
      <c r="F16" s="21">
        <v>0.0022</v>
      </c>
      <c r="G16" s="21">
        <v>0.0378</v>
      </c>
      <c r="H16" s="21">
        <v>0.0378</v>
      </c>
      <c r="I16" s="25"/>
      <c r="J16" s="4">
        <f t="shared" si="0"/>
        <v>0.0375</v>
      </c>
      <c r="K16" s="4">
        <f t="shared" si="3"/>
        <v>0.052349999999999994</v>
      </c>
      <c r="L16" s="4">
        <f t="shared" si="1"/>
        <v>5.234999999999999</v>
      </c>
      <c r="M16" s="4">
        <f t="shared" si="2"/>
        <v>0.19102196752626555</v>
      </c>
      <c r="N16" s="4">
        <f>Photons!P14</f>
        <v>0.11105840255604185</v>
      </c>
      <c r="O16" s="4">
        <f t="shared" si="6"/>
        <v>0.02121459456657915</v>
      </c>
      <c r="P16" s="4">
        <f t="shared" si="4"/>
        <v>41646.44864441379</v>
      </c>
      <c r="Q16" s="4">
        <f>Photons!Q14</f>
        <v>135.00765681438907</v>
      </c>
      <c r="R16" s="4">
        <f t="shared" si="5"/>
        <v>308.4747163760502</v>
      </c>
    </row>
    <row r="17" spans="1:18" ht="12.75">
      <c r="A17" s="22">
        <v>1800</v>
      </c>
      <c r="B17" s="21">
        <v>7.14E-11</v>
      </c>
      <c r="C17" s="21">
        <v>0.000188</v>
      </c>
      <c r="D17" s="21">
        <v>1.48E-08</v>
      </c>
      <c r="E17" s="21">
        <v>0.0358</v>
      </c>
      <c r="F17" s="21">
        <v>0.00225</v>
      </c>
      <c r="G17" s="21">
        <v>0.0382</v>
      </c>
      <c r="H17" s="21">
        <v>0.0382</v>
      </c>
      <c r="I17" s="25"/>
      <c r="J17" s="4">
        <f t="shared" si="0"/>
        <v>0.03805</v>
      </c>
      <c r="K17" s="4">
        <f t="shared" si="3"/>
        <v>0.0531178</v>
      </c>
      <c r="L17" s="4">
        <f t="shared" si="1"/>
        <v>5.31178</v>
      </c>
      <c r="M17" s="4">
        <f t="shared" si="2"/>
        <v>0.1882608089943484</v>
      </c>
      <c r="N17" s="4">
        <f>Photons!P15</f>
        <v>0.04442336102241674</v>
      </c>
      <c r="O17" s="4">
        <f t="shared" si="6"/>
        <v>0.00836317788432818</v>
      </c>
      <c r="P17" s="4">
        <f t="shared" si="4"/>
        <v>41655.32197614906</v>
      </c>
      <c r="Q17" s="4">
        <f>Photons!Q15</f>
        <v>135.13204222525184</v>
      </c>
      <c r="R17" s="4">
        <f t="shared" si="5"/>
        <v>308.2564378529389</v>
      </c>
    </row>
    <row r="18" spans="1:18" ht="12.75">
      <c r="A18" s="22">
        <v>2500</v>
      </c>
      <c r="B18" s="21">
        <v>3.7E-11</v>
      </c>
      <c r="C18" s="21">
        <v>0.00014</v>
      </c>
      <c r="D18" s="21">
        <v>1.07E-08</v>
      </c>
      <c r="E18" s="21">
        <v>0.0361</v>
      </c>
      <c r="F18" s="21">
        <v>0.00229</v>
      </c>
      <c r="G18" s="21">
        <v>0.0385</v>
      </c>
      <c r="H18" s="21">
        <v>0.0385</v>
      </c>
      <c r="I18" s="25"/>
      <c r="J18" s="4">
        <f t="shared" si="0"/>
        <v>0.03839</v>
      </c>
      <c r="K18" s="4">
        <f t="shared" si="3"/>
        <v>0.05359244</v>
      </c>
      <c r="L18" s="4">
        <f t="shared" si="1"/>
        <v>5.3592439999999995</v>
      </c>
      <c r="M18" s="4">
        <f t="shared" si="2"/>
        <v>0.18659348221502886</v>
      </c>
      <c r="N18" s="4">
        <f>Photons!P16</f>
        <v>0.006346194431773818</v>
      </c>
      <c r="O18" s="4">
        <f t="shared" si="6"/>
        <v>0.001184158517838303</v>
      </c>
      <c r="P18" s="4">
        <f t="shared" si="4"/>
        <v>41658.66354388982</v>
      </c>
      <c r="Q18" s="4">
        <f>Photons!Q16</f>
        <v>135.21327351397855</v>
      </c>
      <c r="R18" s="4">
        <f t="shared" si="5"/>
        <v>308.0959617443408</v>
      </c>
    </row>
    <row r="19" spans="1:18" ht="12.75">
      <c r="A19" s="22">
        <v>3800</v>
      </c>
      <c r="B19" s="21">
        <v>1.6E-11</v>
      </c>
      <c r="C19" s="21">
        <v>9.63E-05</v>
      </c>
      <c r="D19" s="21">
        <v>7.01E-09</v>
      </c>
      <c r="E19" s="21">
        <v>0.0364</v>
      </c>
      <c r="F19" s="21">
        <v>0.00232</v>
      </c>
      <c r="G19" s="21">
        <v>0.0388</v>
      </c>
      <c r="H19" s="21">
        <v>0.0388</v>
      </c>
      <c r="I19" s="25"/>
      <c r="J19" s="4">
        <f t="shared" si="0"/>
        <v>0.038720000000000004</v>
      </c>
      <c r="K19" s="4">
        <f t="shared" si="3"/>
        <v>0.05405312</v>
      </c>
      <c r="L19" s="4">
        <f t="shared" si="1"/>
        <v>5.405312</v>
      </c>
      <c r="M19" s="4">
        <f t="shared" si="2"/>
        <v>0.18500319685524164</v>
      </c>
      <c r="N19" s="4">
        <f>Photons!P17</f>
        <v>0.0009519291647660728</v>
      </c>
      <c r="O19" s="4">
        <f t="shared" si="6"/>
        <v>0.0001761099386614635</v>
      </c>
      <c r="P19" s="4">
        <f t="shared" si="4"/>
        <v>41659.547718386544</v>
      </c>
      <c r="Q19" s="4">
        <f>Photons!Q17</f>
        <v>135.23845204038662</v>
      </c>
      <c r="R19" s="4">
        <f t="shared" si="5"/>
        <v>308.0451387150279</v>
      </c>
    </row>
    <row r="20" spans="1:18" ht="12.75">
      <c r="A20" s="22">
        <v>7000</v>
      </c>
      <c r="B20" s="21">
        <v>4.72E-12</v>
      </c>
      <c r="C20" s="21">
        <v>5.55E-05</v>
      </c>
      <c r="D20" s="21">
        <v>3.8E-09</v>
      </c>
      <c r="E20" s="21">
        <v>0.0366</v>
      </c>
      <c r="F20" s="21">
        <v>0.00236</v>
      </c>
      <c r="G20" s="21">
        <v>0.039</v>
      </c>
      <c r="H20" s="21">
        <v>0.039</v>
      </c>
      <c r="I20" s="22"/>
      <c r="J20" s="4">
        <f t="shared" si="0"/>
        <v>0.03896</v>
      </c>
      <c r="K20" s="4">
        <f t="shared" si="3"/>
        <v>0.05438816</v>
      </c>
      <c r="L20" s="4">
        <f t="shared" si="1"/>
        <v>5.438816</v>
      </c>
      <c r="M20" s="4">
        <f t="shared" si="2"/>
        <v>0.18386354677194447</v>
      </c>
      <c r="N20" s="4">
        <f>Photons!P18</f>
        <v>0</v>
      </c>
      <c r="O20" s="4">
        <f>M20*N20</f>
        <v>0</v>
      </c>
      <c r="P20" s="4">
        <f t="shared" si="4"/>
        <v>41659.8294942884</v>
      </c>
      <c r="Q20" s="4">
        <f>Photons!Q18</f>
        <v>0</v>
      </c>
      <c r="R20" s="4" t="e">
        <f>P20/Q20</f>
        <v>#DIV/0!</v>
      </c>
    </row>
    <row r="21" spans="1:18" ht="12.75">
      <c r="A21" s="22">
        <v>13000</v>
      </c>
      <c r="B21" s="21">
        <v>1.37E-12</v>
      </c>
      <c r="C21" s="21">
        <v>3.16E-05</v>
      </c>
      <c r="D21" s="21">
        <v>2.05E-09</v>
      </c>
      <c r="E21" s="21">
        <v>0.0368</v>
      </c>
      <c r="F21" s="21">
        <v>0.00238</v>
      </c>
      <c r="G21" s="21">
        <v>0.0392</v>
      </c>
      <c r="H21" s="21">
        <v>0.0392</v>
      </c>
      <c r="I21" s="22"/>
      <c r="J21" s="4">
        <f t="shared" si="0"/>
        <v>0.03918</v>
      </c>
      <c r="K21" s="4">
        <f t="shared" si="3"/>
        <v>0.05469528</v>
      </c>
      <c r="L21" s="4">
        <f t="shared" si="1"/>
        <v>5.4695279999999995</v>
      </c>
      <c r="M21" s="4">
        <f t="shared" si="2"/>
        <v>0.18283113277781923</v>
      </c>
      <c r="N21" s="4">
        <f>Photons!P19</f>
        <v>0</v>
      </c>
      <c r="O21" s="4">
        <f>M21*N21</f>
        <v>0</v>
      </c>
      <c r="P21" s="4">
        <f t="shared" si="4"/>
        <v>41659.8294942884</v>
      </c>
      <c r="Q21" s="4">
        <f>Photons!Q19</f>
        <v>0</v>
      </c>
      <c r="R21" s="4" t="e">
        <f>P21/Q21</f>
        <v>#DIV/0!</v>
      </c>
    </row>
    <row r="22" spans="1:18" ht="12.75">
      <c r="A22" s="22">
        <v>60000</v>
      </c>
      <c r="B22" s="21">
        <v>6.42E-14</v>
      </c>
      <c r="C22" s="21">
        <v>7.77E-06</v>
      </c>
      <c r="D22" s="21">
        <v>4.44E-10</v>
      </c>
      <c r="E22" s="21">
        <v>0.037</v>
      </c>
      <c r="F22" s="21">
        <v>0.0024</v>
      </c>
      <c r="G22" s="21">
        <v>0.0394</v>
      </c>
      <c r="H22" s="21">
        <v>0.0394</v>
      </c>
      <c r="I22" s="22"/>
      <c r="J22" s="4">
        <f t="shared" si="0"/>
        <v>0.0394</v>
      </c>
      <c r="K22" s="4">
        <f t="shared" si="3"/>
        <v>0.05500239999999999</v>
      </c>
      <c r="L22" s="4">
        <f t="shared" si="1"/>
        <v>5.500239999999999</v>
      </c>
      <c r="M22" s="4">
        <f t="shared" si="2"/>
        <v>0.18181024828007508</v>
      </c>
      <c r="N22" s="4">
        <f>Photons!P20</f>
        <v>0</v>
      </c>
      <c r="O22" s="4">
        <f>M22*N22</f>
        <v>0</v>
      </c>
      <c r="P22" s="4">
        <f t="shared" si="4"/>
        <v>41659.8294942884</v>
      </c>
      <c r="Q22" s="4">
        <f>Photons!Q20</f>
        <v>0</v>
      </c>
      <c r="R22" s="4" t="e">
        <f>P22/Q22</f>
        <v>#DIV/0!</v>
      </c>
    </row>
    <row r="23" spans="1:9" ht="12.75">
      <c r="A23" s="22"/>
      <c r="B23" s="22"/>
      <c r="C23" s="22"/>
      <c r="D23" s="22"/>
      <c r="E23" s="22"/>
      <c r="F23" s="22"/>
      <c r="G23" s="22"/>
      <c r="H23" s="22"/>
      <c r="I23" s="22"/>
    </row>
    <row r="24" spans="1:9" ht="12.75">
      <c r="A24" s="22"/>
      <c r="B24" s="22"/>
      <c r="C24" s="22"/>
      <c r="D24" s="22"/>
      <c r="E24" s="22"/>
      <c r="F24" s="22"/>
      <c r="G24" s="22"/>
      <c r="H24" s="22"/>
      <c r="I24" s="22"/>
    </row>
    <row r="25" spans="1:9" ht="12.75">
      <c r="A25" s="22"/>
      <c r="B25" s="22"/>
      <c r="C25" s="22"/>
      <c r="D25" s="22"/>
      <c r="E25" s="22"/>
      <c r="F25" s="22"/>
      <c r="G25" s="22"/>
      <c r="H25" s="22"/>
      <c r="I25" s="22"/>
    </row>
    <row r="26" spans="1:9" ht="12.75">
      <c r="A26" s="22"/>
      <c r="B26" s="22"/>
      <c r="C26" s="22"/>
      <c r="D26" s="22"/>
      <c r="E26" s="22"/>
      <c r="F26" s="22"/>
      <c r="G26" s="22"/>
      <c r="H26" s="22"/>
      <c r="I26" s="22"/>
    </row>
    <row r="27" spans="1:9" ht="12.75">
      <c r="A27" s="22"/>
      <c r="B27" s="22"/>
      <c r="C27" s="22"/>
      <c r="D27" s="22"/>
      <c r="E27" s="22"/>
      <c r="F27" s="22"/>
      <c r="G27" s="22"/>
      <c r="H27" s="22"/>
      <c r="I27" s="22"/>
    </row>
    <row r="28" spans="1:9" ht="12.75">
      <c r="A28" s="22"/>
      <c r="B28" s="22"/>
      <c r="C28" s="22"/>
      <c r="D28" s="22"/>
      <c r="E28" s="22"/>
      <c r="F28" s="22"/>
      <c r="G28" s="22"/>
      <c r="H28" s="22"/>
      <c r="I28" s="22"/>
    </row>
    <row r="29" spans="1:9" ht="12.75">
      <c r="A29" s="22"/>
      <c r="B29" s="21"/>
      <c r="C29" s="21"/>
      <c r="D29" s="21"/>
      <c r="E29" s="21"/>
      <c r="F29" s="21"/>
      <c r="G29" s="21"/>
      <c r="H29" s="21"/>
      <c r="I29" s="22"/>
    </row>
    <row r="30" spans="1:8" ht="12.75">
      <c r="A30" s="22"/>
      <c r="B30" s="21"/>
      <c r="C30" s="21"/>
      <c r="D30" s="21"/>
      <c r="E30" s="21"/>
      <c r="F30" s="21"/>
      <c r="G30" s="21"/>
      <c r="H30" s="21"/>
    </row>
    <row r="31" spans="1:8" ht="12.75">
      <c r="A31" s="22"/>
      <c r="B31" s="21"/>
      <c r="C31" s="21"/>
      <c r="D31" s="21"/>
      <c r="E31" s="21"/>
      <c r="F31" s="21"/>
      <c r="G31" s="21"/>
      <c r="H31" s="21"/>
    </row>
    <row r="32" spans="1:8" ht="12.75">
      <c r="A32" s="22"/>
      <c r="B32" s="21"/>
      <c r="C32" s="21"/>
      <c r="D32" s="21"/>
      <c r="E32" s="21"/>
      <c r="F32" s="21"/>
      <c r="G32" s="21"/>
      <c r="H32" s="21"/>
    </row>
    <row r="33" spans="1:8" ht="12.75">
      <c r="A33" s="22"/>
      <c r="B33" s="21"/>
      <c r="C33" s="21"/>
      <c r="D33" s="21"/>
      <c r="E33" s="21"/>
      <c r="F33" s="21"/>
      <c r="G33" s="21"/>
      <c r="H33" s="21"/>
    </row>
    <row r="34" spans="1:8" ht="12.75">
      <c r="A34" s="22"/>
      <c r="B34" s="21"/>
      <c r="C34" s="21"/>
      <c r="D34" s="21"/>
      <c r="E34" s="21"/>
      <c r="F34" s="21"/>
      <c r="G34" s="21"/>
      <c r="H34" s="21"/>
    </row>
    <row r="35" spans="1:8" ht="12.75">
      <c r="A35" s="22"/>
      <c r="B35" s="21"/>
      <c r="C35" s="21"/>
      <c r="D35" s="21"/>
      <c r="E35" s="21"/>
      <c r="F35" s="21"/>
      <c r="G35" s="21"/>
      <c r="H35" s="21"/>
    </row>
    <row r="36" spans="1:8" ht="12.75">
      <c r="A36" s="22"/>
      <c r="B36" s="21"/>
      <c r="C36" s="21"/>
      <c r="D36" s="21"/>
      <c r="E36" s="21"/>
      <c r="F36" s="21"/>
      <c r="G36" s="21"/>
      <c r="H36" s="21"/>
    </row>
    <row r="37" spans="1:8" ht="12.75">
      <c r="A37" s="22"/>
      <c r="B37" s="21"/>
      <c r="C37" s="21"/>
      <c r="D37" s="21"/>
      <c r="E37" s="21"/>
      <c r="F37" s="21"/>
      <c r="G37" s="21"/>
      <c r="H37" s="21"/>
    </row>
    <row r="38" spans="1:8" ht="12.75">
      <c r="A38" s="22"/>
      <c r="B38" s="21"/>
      <c r="C38" s="21"/>
      <c r="D38" s="21"/>
      <c r="E38" s="21"/>
      <c r="F38" s="21"/>
      <c r="G38" s="21"/>
      <c r="H38" s="21"/>
    </row>
    <row r="39" spans="1:8" ht="12.75">
      <c r="A39" s="22"/>
      <c r="B39" s="21"/>
      <c r="C39" s="21"/>
      <c r="D39" s="21"/>
      <c r="E39" s="21"/>
      <c r="F39" s="21"/>
      <c r="G39" s="21"/>
      <c r="H39" s="21"/>
    </row>
    <row r="40" spans="1:8" ht="12.75">
      <c r="A40" s="22"/>
      <c r="B40" s="21"/>
      <c r="C40" s="21"/>
      <c r="D40" s="21"/>
      <c r="E40" s="21"/>
      <c r="F40" s="21"/>
      <c r="G40" s="21"/>
      <c r="H40" s="21"/>
    </row>
    <row r="41" spans="1:8" ht="12.75">
      <c r="A41" s="22"/>
      <c r="B41" s="21"/>
      <c r="C41" s="21"/>
      <c r="D41" s="21"/>
      <c r="E41" s="21"/>
      <c r="F41" s="21"/>
      <c r="G41" s="21"/>
      <c r="H41" s="21"/>
    </row>
    <row r="42" spans="1:8" ht="12.75">
      <c r="A42" s="22"/>
      <c r="B42" s="21"/>
      <c r="C42" s="21"/>
      <c r="D42" s="21"/>
      <c r="E42" s="21"/>
      <c r="F42" s="21"/>
      <c r="G42" s="21"/>
      <c r="H42" s="21"/>
    </row>
    <row r="43" spans="1:8" ht="12.75">
      <c r="A43" s="22"/>
      <c r="B43" s="21"/>
      <c r="C43" s="21"/>
      <c r="D43" s="21"/>
      <c r="E43" s="21"/>
      <c r="F43" s="21"/>
      <c r="G43" s="21"/>
      <c r="H43" s="21"/>
    </row>
    <row r="44" spans="1:8" ht="12.75">
      <c r="A44" s="22"/>
      <c r="B44" s="21"/>
      <c r="C44" s="21"/>
      <c r="D44" s="21"/>
      <c r="E44" s="21"/>
      <c r="F44" s="21"/>
      <c r="G44" s="21"/>
      <c r="H44" s="21"/>
    </row>
    <row r="45" spans="1:8" ht="12.75">
      <c r="A45" s="22"/>
      <c r="B45" s="21"/>
      <c r="C45" s="21"/>
      <c r="D45" s="21"/>
      <c r="E45" s="21"/>
      <c r="F45" s="21"/>
      <c r="G45" s="21"/>
      <c r="H45" s="21"/>
    </row>
    <row r="46" spans="1:8" ht="12.75">
      <c r="A46" s="22"/>
      <c r="B46" s="21"/>
      <c r="C46" s="21"/>
      <c r="D46" s="21"/>
      <c r="E46" s="21"/>
      <c r="F46" s="21"/>
      <c r="G46" s="21"/>
      <c r="H46" s="21"/>
    </row>
    <row r="47" spans="1:8" ht="12.75">
      <c r="A47" s="22"/>
      <c r="B47" s="21"/>
      <c r="C47" s="21"/>
      <c r="D47" s="21"/>
      <c r="E47" s="21"/>
      <c r="F47" s="21"/>
      <c r="G47" s="21"/>
      <c r="H47" s="21"/>
    </row>
    <row r="48" spans="1:8" ht="12.75">
      <c r="A48" s="22"/>
      <c r="B48" s="21"/>
      <c r="C48" s="21"/>
      <c r="D48" s="21"/>
      <c r="E48" s="21"/>
      <c r="F48" s="21"/>
      <c r="G48" s="21"/>
      <c r="H48" s="21"/>
    </row>
    <row r="49" spans="1:8" ht="12.75">
      <c r="A49" s="22"/>
      <c r="B49" s="21"/>
      <c r="C49" s="21"/>
      <c r="D49" s="21"/>
      <c r="E49" s="21"/>
      <c r="F49" s="21"/>
      <c r="G49" s="21"/>
      <c r="H49" s="21"/>
    </row>
    <row r="50" spans="1:8" ht="12.75">
      <c r="A50" s="22"/>
      <c r="B50" s="21"/>
      <c r="C50" s="21"/>
      <c r="D50" s="21"/>
      <c r="E50" s="21"/>
      <c r="F50" s="21"/>
      <c r="G50" s="21"/>
      <c r="H50" s="21"/>
    </row>
    <row r="51" spans="1:8" ht="12.75">
      <c r="A51" s="22"/>
      <c r="B51" s="21"/>
      <c r="C51" s="21"/>
      <c r="D51" s="21"/>
      <c r="E51" s="21"/>
      <c r="F51" s="21"/>
      <c r="G51" s="21"/>
      <c r="H51" s="21"/>
    </row>
    <row r="52" spans="1:8" ht="12.75">
      <c r="A52" s="22"/>
      <c r="B52" s="21"/>
      <c r="C52" s="21"/>
      <c r="D52" s="21"/>
      <c r="E52" s="21"/>
      <c r="F52" s="21"/>
      <c r="G52" s="21"/>
      <c r="H52" s="21"/>
    </row>
    <row r="53" spans="1:8" ht="12.75">
      <c r="A53" s="22"/>
      <c r="B53" s="21"/>
      <c r="C53" s="21"/>
      <c r="D53" s="21"/>
      <c r="E53" s="21"/>
      <c r="F53" s="21"/>
      <c r="G53" s="21"/>
      <c r="H53" s="21"/>
    </row>
    <row r="54" spans="1:8" ht="12.75">
      <c r="A54" s="22"/>
      <c r="B54" s="21"/>
      <c r="C54" s="21"/>
      <c r="D54" s="21"/>
      <c r="E54" s="21"/>
      <c r="F54" s="21"/>
      <c r="G54" s="21"/>
      <c r="H54" s="21"/>
    </row>
    <row r="55" spans="1:8" ht="12.75">
      <c r="A55" s="22"/>
      <c r="B55" s="21"/>
      <c r="C55" s="21"/>
      <c r="D55" s="21"/>
      <c r="E55" s="21"/>
      <c r="F55" s="21"/>
      <c r="G55" s="21"/>
      <c r="H55" s="21"/>
    </row>
    <row r="56" spans="1:8" ht="12.75">
      <c r="A56" s="22"/>
      <c r="B56" s="21"/>
      <c r="C56" s="21"/>
      <c r="D56" s="21"/>
      <c r="E56" s="21"/>
      <c r="F56" s="21"/>
      <c r="G56" s="21"/>
      <c r="H56" s="21"/>
    </row>
    <row r="57" spans="1:8" ht="12.75">
      <c r="A57" s="22"/>
      <c r="B57" s="21"/>
      <c r="C57" s="21"/>
      <c r="D57" s="21"/>
      <c r="E57" s="21"/>
      <c r="F57" s="21"/>
      <c r="G57" s="21"/>
      <c r="H57" s="21"/>
    </row>
    <row r="58" spans="1:8" ht="12.75">
      <c r="A58" s="22"/>
      <c r="B58" s="21"/>
      <c r="C58" s="21"/>
      <c r="D58" s="21"/>
      <c r="E58" s="21"/>
      <c r="F58" s="21"/>
      <c r="G58" s="21"/>
      <c r="H58" s="21"/>
    </row>
    <row r="59" spans="1:8" ht="12.75">
      <c r="A59" s="22"/>
      <c r="B59" s="21"/>
      <c r="C59" s="21"/>
      <c r="D59" s="21"/>
      <c r="E59" s="21"/>
      <c r="F59" s="21"/>
      <c r="G59" s="21"/>
      <c r="H59" s="21"/>
    </row>
    <row r="60" spans="1:8" ht="12.75">
      <c r="A60" s="22"/>
      <c r="B60" s="21"/>
      <c r="C60" s="21"/>
      <c r="D60" s="21"/>
      <c r="E60" s="21"/>
      <c r="F60" s="21"/>
      <c r="G60" s="21"/>
      <c r="H60" s="21"/>
    </row>
    <row r="61" spans="1:8" ht="12.75">
      <c r="A61" s="22"/>
      <c r="B61" s="21"/>
      <c r="C61" s="21"/>
      <c r="D61" s="21"/>
      <c r="E61" s="21"/>
      <c r="F61" s="21"/>
      <c r="G61" s="21"/>
      <c r="H61" s="21"/>
    </row>
    <row r="62" spans="1:8" ht="12.75">
      <c r="A62" s="22"/>
      <c r="B62" s="21"/>
      <c r="C62" s="21"/>
      <c r="D62" s="21"/>
      <c r="E62" s="21"/>
      <c r="F62" s="21"/>
      <c r="G62" s="21"/>
      <c r="H62" s="21"/>
    </row>
    <row r="63" spans="1:8" ht="12.75">
      <c r="A63" s="22"/>
      <c r="B63" s="21"/>
      <c r="C63" s="21"/>
      <c r="D63" s="21"/>
      <c r="E63" s="21"/>
      <c r="F63" s="21"/>
      <c r="G63" s="21"/>
      <c r="H63" s="21"/>
    </row>
    <row r="64" spans="1:8" ht="12.75">
      <c r="A64" s="22"/>
      <c r="B64" s="21"/>
      <c r="C64" s="21"/>
      <c r="D64" s="21"/>
      <c r="E64" s="21"/>
      <c r="F64" s="21"/>
      <c r="G64" s="21"/>
      <c r="H64" s="21"/>
    </row>
    <row r="65" spans="1:8" ht="12.75">
      <c r="A65" s="22"/>
      <c r="B65" s="21"/>
      <c r="C65" s="21"/>
      <c r="D65" s="21"/>
      <c r="E65" s="21"/>
      <c r="F65" s="21"/>
      <c r="G65" s="21"/>
      <c r="H65" s="21"/>
    </row>
    <row r="66" spans="1:8" ht="12.75">
      <c r="A66" s="22"/>
      <c r="B66" s="21"/>
      <c r="C66" s="21"/>
      <c r="D66" s="21"/>
      <c r="E66" s="21"/>
      <c r="F66" s="21"/>
      <c r="G66" s="21"/>
      <c r="H66" s="21"/>
    </row>
    <row r="67" spans="1:8" ht="12.75">
      <c r="A67" s="22"/>
      <c r="B67" s="21"/>
      <c r="C67" s="21"/>
      <c r="D67" s="21"/>
      <c r="E67" s="21"/>
      <c r="F67" s="21"/>
      <c r="G67" s="21"/>
      <c r="H67" s="21"/>
    </row>
    <row r="68" spans="1:8" ht="12.75">
      <c r="A68" s="22"/>
      <c r="B68" s="21"/>
      <c r="C68" s="21"/>
      <c r="D68" s="21"/>
      <c r="E68" s="21"/>
      <c r="F68" s="21"/>
      <c r="G68" s="21"/>
      <c r="H68" s="21"/>
    </row>
    <row r="69" spans="1:8" ht="12.75">
      <c r="A69" s="22"/>
      <c r="B69" s="21"/>
      <c r="C69" s="21"/>
      <c r="D69" s="21"/>
      <c r="E69" s="21"/>
      <c r="F69" s="21"/>
      <c r="G69" s="21"/>
      <c r="H69" s="21"/>
    </row>
    <row r="70" spans="1:8" ht="12.75">
      <c r="A70" s="22"/>
      <c r="B70" s="21"/>
      <c r="C70" s="21"/>
      <c r="D70" s="21"/>
      <c r="E70" s="21"/>
      <c r="F70" s="21"/>
      <c r="G70" s="21"/>
      <c r="H70" s="21"/>
    </row>
    <row r="71" spans="1:8" ht="12.75">
      <c r="A71" s="22"/>
      <c r="B71" s="21"/>
      <c r="C71" s="21"/>
      <c r="D71" s="21"/>
      <c r="E71" s="21"/>
      <c r="F71" s="21"/>
      <c r="G71" s="21"/>
      <c r="H71" s="21"/>
    </row>
    <row r="72" spans="1:8" ht="12.75">
      <c r="A72" s="22"/>
      <c r="B72" s="21"/>
      <c r="C72" s="21"/>
      <c r="D72" s="21"/>
      <c r="E72" s="21"/>
      <c r="F72" s="21"/>
      <c r="G72" s="21"/>
      <c r="H72" s="21"/>
    </row>
    <row r="73" spans="1:8" ht="12.75">
      <c r="A73" s="22"/>
      <c r="B73" s="21"/>
      <c r="C73" s="21"/>
      <c r="D73" s="21"/>
      <c r="E73" s="21"/>
      <c r="F73" s="21"/>
      <c r="G73" s="21"/>
      <c r="H73" s="21"/>
    </row>
    <row r="74" spans="1:8" ht="12.75">
      <c r="A74" s="22"/>
      <c r="B74" s="21"/>
      <c r="C74" s="21"/>
      <c r="D74" s="21"/>
      <c r="E74" s="21"/>
      <c r="F74" s="21"/>
      <c r="G74" s="21"/>
      <c r="H74" s="21"/>
    </row>
    <row r="75" spans="1:8" ht="12.75">
      <c r="A75" s="22"/>
      <c r="B75" s="21"/>
      <c r="C75" s="21"/>
      <c r="D75" s="21"/>
      <c r="E75" s="21"/>
      <c r="F75" s="21"/>
      <c r="G75" s="21"/>
      <c r="H75" s="21"/>
    </row>
    <row r="76" spans="1:8" ht="12.75">
      <c r="A76" s="22"/>
      <c r="B76" s="21"/>
      <c r="C76" s="21"/>
      <c r="D76" s="21"/>
      <c r="E76" s="21"/>
      <c r="F76" s="21"/>
      <c r="G76" s="21"/>
      <c r="H76" s="21"/>
    </row>
    <row r="77" spans="1:8" ht="12.75">
      <c r="A77" s="22"/>
      <c r="B77" s="21"/>
      <c r="C77" s="21"/>
      <c r="D77" s="21"/>
      <c r="E77" s="21"/>
      <c r="F77" s="21"/>
      <c r="G77" s="21"/>
      <c r="H77" s="21"/>
    </row>
    <row r="78" spans="1:8" ht="12.75">
      <c r="A78" s="22"/>
      <c r="B78" s="21"/>
      <c r="C78" s="21"/>
      <c r="D78" s="21"/>
      <c r="E78" s="21"/>
      <c r="F78" s="21"/>
      <c r="G78" s="21"/>
      <c r="H78" s="21"/>
    </row>
  </sheetData>
  <mergeCells count="16">
    <mergeCell ref="L3:L4"/>
    <mergeCell ref="B3:C3"/>
    <mergeCell ref="D3:D4"/>
    <mergeCell ref="E3:F3"/>
    <mergeCell ref="G3:H3"/>
    <mergeCell ref="K3:K4"/>
    <mergeCell ref="A2:H2"/>
    <mergeCell ref="J2:R2"/>
    <mergeCell ref="Q3:Q4"/>
    <mergeCell ref="R3:R4"/>
    <mergeCell ref="M3:M4"/>
    <mergeCell ref="N3:N4"/>
    <mergeCell ref="O3:O4"/>
    <mergeCell ref="P3:P4"/>
    <mergeCell ref="A3:A4"/>
    <mergeCell ref="J3:J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E60"/>
  <sheetViews>
    <sheetView workbookViewId="0" topLeftCell="G1">
      <selection activeCell="R11" sqref="R11"/>
    </sheetView>
  </sheetViews>
  <sheetFormatPr defaultColWidth="9.140625" defaultRowHeight="12.75"/>
  <cols>
    <col min="1" max="1" width="9.140625" style="1" customWidth="1"/>
    <col min="2" max="2" width="2.28125" style="1" bestFit="1" customWidth="1"/>
    <col min="3" max="3" width="9.140625" style="1" customWidth="1"/>
    <col min="4" max="4" width="6.57421875" style="1" customWidth="1"/>
    <col min="5" max="5" width="2.28125" style="1" bestFit="1" customWidth="1"/>
    <col min="6" max="6" width="8.7109375" style="1" customWidth="1"/>
    <col min="7" max="8" width="9.140625" style="1" customWidth="1"/>
    <col min="9" max="9" width="16.8515625" style="1" bestFit="1" customWidth="1"/>
    <col min="10" max="15" width="21.28125" style="1" customWidth="1"/>
    <col min="16" max="16" width="16.140625" style="1" bestFit="1" customWidth="1"/>
    <col min="17" max="17" width="15.00390625" style="1" bestFit="1" customWidth="1"/>
    <col min="18" max="16384" width="9.140625" style="1" customWidth="1"/>
  </cols>
  <sheetData>
    <row r="1" spans="1:6" ht="25.5">
      <c r="A1" s="51" t="s">
        <v>10</v>
      </c>
      <c r="B1" s="51"/>
      <c r="C1" s="51"/>
      <c r="D1" s="51"/>
      <c r="E1" s="51"/>
      <c r="F1" s="51"/>
    </row>
    <row r="2" spans="1:31" s="2" customFormat="1" ht="38.25" customHeight="1">
      <c r="A2" s="50" t="s">
        <v>0</v>
      </c>
      <c r="B2" s="50"/>
      <c r="C2" s="50"/>
      <c r="D2" s="50" t="s">
        <v>3</v>
      </c>
      <c r="E2" s="50"/>
      <c r="F2" s="50"/>
      <c r="H2" s="3" t="s">
        <v>0</v>
      </c>
      <c r="I2" s="3" t="s">
        <v>52</v>
      </c>
      <c r="J2" s="3" t="s">
        <v>95</v>
      </c>
      <c r="K2" s="3" t="s">
        <v>94</v>
      </c>
      <c r="L2" s="3" t="s">
        <v>76</v>
      </c>
      <c r="M2" s="3" t="s">
        <v>75</v>
      </c>
      <c r="N2" s="3" t="s">
        <v>74</v>
      </c>
      <c r="O2" s="3" t="s">
        <v>77</v>
      </c>
      <c r="P2" s="3" t="s">
        <v>73</v>
      </c>
      <c r="Q2" s="3" t="s">
        <v>78</v>
      </c>
      <c r="R2" s="3" t="s">
        <v>89</v>
      </c>
      <c r="T2" s="2" t="s">
        <v>57</v>
      </c>
      <c r="U2" s="2" t="s">
        <v>58</v>
      </c>
      <c r="V2" s="2" t="s">
        <v>56</v>
      </c>
      <c r="AA2" s="2" t="s">
        <v>1</v>
      </c>
      <c r="AB2" s="2" t="s">
        <v>97</v>
      </c>
      <c r="AD2" s="2" t="s">
        <v>1</v>
      </c>
      <c r="AE2" s="2" t="s">
        <v>97</v>
      </c>
    </row>
    <row r="3" spans="1:31" ht="12.75">
      <c r="A3" s="6">
        <v>1.5</v>
      </c>
      <c r="B3" s="7" t="s">
        <v>1</v>
      </c>
      <c r="C3" s="10">
        <v>-2</v>
      </c>
      <c r="D3" s="6">
        <v>3.9</v>
      </c>
      <c r="E3" s="7" t="s">
        <v>1</v>
      </c>
      <c r="F3" s="10">
        <v>-1</v>
      </c>
      <c r="H3" s="4">
        <f>A3*10^C3</f>
        <v>0.015</v>
      </c>
      <c r="I3" s="4">
        <f>D3*10^F3</f>
        <v>0.39</v>
      </c>
      <c r="J3" s="4">
        <f>I3*10^4</f>
        <v>3900</v>
      </c>
      <c r="K3" s="4">
        <f>0.5*(J4+J3)*(H4-H3)+K4</f>
        <v>114.46945</v>
      </c>
      <c r="L3" s="4">
        <f aca="true" t="shared" si="0" ref="L3:O20">$I3*L$28</f>
        <v>0</v>
      </c>
      <c r="M3" s="4">
        <f t="shared" si="0"/>
        <v>0</v>
      </c>
      <c r="N3" s="4">
        <f t="shared" si="0"/>
        <v>0.03155219225579355</v>
      </c>
      <c r="O3" s="4">
        <f t="shared" si="0"/>
        <v>0.10724690392795876</v>
      </c>
      <c r="P3" s="4">
        <f>SUM(L3:O3)</f>
        <v>0.1387990961837523</v>
      </c>
      <c r="Q3" s="4">
        <f>P3*100^2</f>
        <v>1387.990961837523</v>
      </c>
      <c r="R3" s="4">
        <f aca="true" t="shared" si="1" ref="R3:R18">0.5*(Q4+Q3)*(H4-H3)+R4</f>
        <v>40.73911846320827</v>
      </c>
      <c r="T3" s="1">
        <f aca="true" t="shared" si="2" ref="T3:T15">LOG10(H3)</f>
        <v>-1.8239087409443189</v>
      </c>
      <c r="U3" s="1">
        <f>LOG10(J3)</f>
        <v>3.591064607026499</v>
      </c>
      <c r="AA3" s="1">
        <v>0.11</v>
      </c>
      <c r="AB3" s="1">
        <f>$Y$13*AA3^$W$13</f>
        <v>220.81636996226248</v>
      </c>
      <c r="AD3" s="1">
        <v>0.9</v>
      </c>
      <c r="AE3" s="1">
        <f>$Y$19*AD3^$W$19</f>
        <v>4.648588726703035</v>
      </c>
    </row>
    <row r="4" spans="1:31" ht="12.75">
      <c r="A4" s="6">
        <v>2</v>
      </c>
      <c r="B4" s="7" t="s">
        <v>1</v>
      </c>
      <c r="C4" s="10">
        <v>-2</v>
      </c>
      <c r="D4" s="6">
        <v>2.8</v>
      </c>
      <c r="E4" s="7" t="s">
        <v>1</v>
      </c>
      <c r="F4" s="10">
        <v>-1</v>
      </c>
      <c r="H4" s="4">
        <f aca="true" t="shared" si="3" ref="H4:H20">A4*10^C4</f>
        <v>0.02</v>
      </c>
      <c r="I4" s="4">
        <f aca="true" t="shared" si="4" ref="I4:I14">D4*10^F4</f>
        <v>0.27999999999999997</v>
      </c>
      <c r="J4" s="4">
        <f aca="true" t="shared" si="5" ref="J4:J16">I4*10^4</f>
        <v>2799.9999999999995</v>
      </c>
      <c r="K4" s="4">
        <f aca="true" t="shared" si="6" ref="K4:K16">0.5*(J5+J4)*(H5-H4)+K5</f>
        <v>97.71945</v>
      </c>
      <c r="L4" s="4">
        <f t="shared" si="0"/>
        <v>0</v>
      </c>
      <c r="M4" s="4">
        <f t="shared" si="0"/>
        <v>0</v>
      </c>
      <c r="N4" s="4">
        <f t="shared" si="0"/>
        <v>0.022652855978518443</v>
      </c>
      <c r="O4" s="4">
        <f t="shared" si="0"/>
        <v>0.0769977771790473</v>
      </c>
      <c r="P4" s="4">
        <f aca="true" t="shared" si="7" ref="P4:P20">SUM(L4:O4)</f>
        <v>0.09965063315756574</v>
      </c>
      <c r="Q4" s="4">
        <f aca="true" t="shared" si="8" ref="Q4:Q20">P4*100^2</f>
        <v>996.5063315756574</v>
      </c>
      <c r="R4" s="4">
        <f t="shared" si="1"/>
        <v>34.77787522967532</v>
      </c>
      <c r="T4" s="1">
        <f t="shared" si="2"/>
        <v>-1.6989700043360187</v>
      </c>
      <c r="U4" s="1">
        <f aca="true" t="shared" si="9" ref="U4:U15">LOG10(J4)</f>
        <v>3.447158031342219</v>
      </c>
      <c r="AA4" s="1">
        <f>10^(LOG(AA3)+0.02)</f>
        <v>0.11518414028559895</v>
      </c>
      <c r="AB4" s="1">
        <f aca="true" t="shared" si="10" ref="AB4:AB47">$Y$13*AA4^$W$13</f>
        <v>200.05296604986142</v>
      </c>
      <c r="AD4" s="1">
        <f>10^(LOG(AD3)+0.02)</f>
        <v>0.9424156932458096</v>
      </c>
      <c r="AE4" s="1">
        <f aca="true" t="shared" si="11" ref="AE4:AE60">$Y$19*AD4^$W$19</f>
        <v>4.093665179090859</v>
      </c>
    </row>
    <row r="5" spans="1:31" ht="12.75">
      <c r="A5" s="6">
        <v>3</v>
      </c>
      <c r="B5" s="7" t="s">
        <v>1</v>
      </c>
      <c r="C5" s="10">
        <v>-2</v>
      </c>
      <c r="D5" s="6">
        <v>1.4</v>
      </c>
      <c r="E5" s="7" t="s">
        <v>1</v>
      </c>
      <c r="F5" s="10">
        <v>-1</v>
      </c>
      <c r="H5" s="4">
        <f t="shared" si="3"/>
        <v>0.03</v>
      </c>
      <c r="I5" s="4">
        <f t="shared" si="4"/>
        <v>0.13999999999999999</v>
      </c>
      <c r="J5" s="4">
        <f t="shared" si="5"/>
        <v>1399.9999999999998</v>
      </c>
      <c r="K5" s="4">
        <f t="shared" si="6"/>
        <v>76.71945</v>
      </c>
      <c r="L5" s="4">
        <f t="shared" si="0"/>
        <v>0</v>
      </c>
      <c r="M5" s="4">
        <f t="shared" si="0"/>
        <v>0</v>
      </c>
      <c r="N5" s="4">
        <f t="shared" si="0"/>
        <v>0.011326427989259221</v>
      </c>
      <c r="O5" s="4">
        <f t="shared" si="0"/>
        <v>0.03849888858952365</v>
      </c>
      <c r="P5" s="4">
        <f t="shared" si="7"/>
        <v>0.04982531657878287</v>
      </c>
      <c r="Q5" s="4">
        <f t="shared" si="8"/>
        <v>498.2531657878287</v>
      </c>
      <c r="R5" s="4">
        <f t="shared" si="1"/>
        <v>27.304077742857885</v>
      </c>
      <c r="T5" s="1">
        <f t="shared" si="2"/>
        <v>-1.5228787452803376</v>
      </c>
      <c r="U5" s="1">
        <f t="shared" si="9"/>
        <v>3.146128035678238</v>
      </c>
      <c r="AA5" s="1">
        <f aca="true" t="shared" si="12" ref="AA5:AA47">10^(LOG(AA4)+0.02)</f>
        <v>0.12061260157575034</v>
      </c>
      <c r="AB5" s="1">
        <f t="shared" si="10"/>
        <v>181.24194882918619</v>
      </c>
      <c r="AD5" s="1">
        <f aca="true" t="shared" si="13" ref="AD5:AD60">10^(LOG(AD4)+0.02)</f>
        <v>0.9868303765288665</v>
      </c>
      <c r="AE5" s="1">
        <f t="shared" si="11"/>
        <v>3.604985423261247</v>
      </c>
    </row>
    <row r="6" spans="1:31" ht="12.75">
      <c r="A6" s="6">
        <v>9</v>
      </c>
      <c r="B6" s="7" t="s">
        <v>1</v>
      </c>
      <c r="C6" s="10">
        <v>-2</v>
      </c>
      <c r="D6" s="6">
        <v>3</v>
      </c>
      <c r="E6" s="7" t="s">
        <v>1</v>
      </c>
      <c r="F6" s="10">
        <v>-2</v>
      </c>
      <c r="H6" s="4">
        <f t="shared" si="3"/>
        <v>0.09</v>
      </c>
      <c r="I6" s="4">
        <f t="shared" si="4"/>
        <v>0.03</v>
      </c>
      <c r="J6" s="4">
        <f t="shared" si="5"/>
        <v>300</v>
      </c>
      <c r="K6" s="4">
        <f t="shared" si="6"/>
        <v>25.719450000000005</v>
      </c>
      <c r="L6" s="4">
        <f t="shared" si="0"/>
        <v>0</v>
      </c>
      <c r="M6" s="4">
        <f t="shared" si="0"/>
        <v>0</v>
      </c>
      <c r="N6" s="4">
        <f t="shared" si="0"/>
        <v>0.002427091711984119</v>
      </c>
      <c r="O6" s="4">
        <f t="shared" si="0"/>
        <v>0.008249761840612211</v>
      </c>
      <c r="P6" s="4">
        <f t="shared" si="7"/>
        <v>0.01067685355259633</v>
      </c>
      <c r="Q6" s="4">
        <f t="shared" si="8"/>
        <v>106.7685355259633</v>
      </c>
      <c r="R6" s="4">
        <f t="shared" si="1"/>
        <v>9.153426703444124</v>
      </c>
      <c r="T6" s="1">
        <f t="shared" si="2"/>
        <v>-1.0457574905606752</v>
      </c>
      <c r="U6" s="1">
        <f t="shared" si="9"/>
        <v>2.4771212547196626</v>
      </c>
      <c r="AA6" s="1">
        <f t="shared" si="12"/>
        <v>0.12629689836465705</v>
      </c>
      <c r="AB6" s="1">
        <f t="shared" si="10"/>
        <v>164.19973502024524</v>
      </c>
      <c r="AD6" s="1">
        <f t="shared" si="13"/>
        <v>1.0333382593471945</v>
      </c>
      <c r="AE6" s="1">
        <f t="shared" si="11"/>
        <v>3.1746416312465175</v>
      </c>
    </row>
    <row r="7" spans="1:31" ht="12.75">
      <c r="A7" s="6">
        <v>1.1</v>
      </c>
      <c r="B7" s="7" t="s">
        <v>1</v>
      </c>
      <c r="C7" s="10">
        <v>-1</v>
      </c>
      <c r="D7" s="6">
        <v>1.3</v>
      </c>
      <c r="E7" s="7" t="s">
        <v>1</v>
      </c>
      <c r="F7" s="10">
        <v>-2</v>
      </c>
      <c r="H7" s="4">
        <f t="shared" si="3"/>
        <v>0.11000000000000001</v>
      </c>
      <c r="I7" s="4">
        <f t="shared" si="4"/>
        <v>0.013000000000000001</v>
      </c>
      <c r="J7" s="4">
        <f t="shared" si="5"/>
        <v>130</v>
      </c>
      <c r="K7" s="4">
        <f t="shared" si="6"/>
        <v>21.41945</v>
      </c>
      <c r="L7" s="4">
        <f t="shared" si="0"/>
        <v>0</v>
      </c>
      <c r="M7" s="4">
        <f t="shared" si="0"/>
        <v>0</v>
      </c>
      <c r="N7" s="4">
        <f t="shared" si="0"/>
        <v>0.001051739741859785</v>
      </c>
      <c r="O7" s="4">
        <f t="shared" si="0"/>
        <v>0.0035748967975986253</v>
      </c>
      <c r="P7" s="4">
        <f t="shared" si="7"/>
        <v>0.00462663653945841</v>
      </c>
      <c r="Q7" s="4">
        <f t="shared" si="8"/>
        <v>46.2663653945841</v>
      </c>
      <c r="R7" s="4">
        <f t="shared" si="1"/>
        <v>7.623077694238649</v>
      </c>
      <c r="T7" s="1">
        <f t="shared" si="2"/>
        <v>-0.9586073148417749</v>
      </c>
      <c r="U7" s="1">
        <f t="shared" si="9"/>
        <v>2.113943352306837</v>
      </c>
      <c r="V7" s="1">
        <f aca="true" t="shared" si="14" ref="V7:V19">(U7-U6)/(T7-T6)</f>
        <v>-4.167265291400471</v>
      </c>
      <c r="X7" s="1">
        <f aca="true" t="shared" si="15" ref="X7:X12">J7/H7^$W$13</f>
        <v>1.1439016287238541</v>
      </c>
      <c r="AA7" s="1">
        <f t="shared" si="12"/>
        <v>0.13224908780791533</v>
      </c>
      <c r="AB7" s="1">
        <f t="shared" si="10"/>
        <v>148.76000371265593</v>
      </c>
      <c r="AD7" s="1">
        <f t="shared" si="13"/>
        <v>1.0820379911556717</v>
      </c>
      <c r="AE7" s="1">
        <f t="shared" si="11"/>
        <v>2.7956699690969</v>
      </c>
    </row>
    <row r="8" spans="1:31" ht="12.75">
      <c r="A8" s="6">
        <v>1.7</v>
      </c>
      <c r="B8" s="7" t="s">
        <v>1</v>
      </c>
      <c r="C8" s="10">
        <v>-1</v>
      </c>
      <c r="D8" s="6">
        <v>8</v>
      </c>
      <c r="E8" s="7" t="s">
        <v>1</v>
      </c>
      <c r="F8" s="10">
        <v>-3</v>
      </c>
      <c r="H8" s="4">
        <f t="shared" si="3"/>
        <v>0.17</v>
      </c>
      <c r="I8" s="4">
        <f>D8*10^F8</f>
        <v>0.008</v>
      </c>
      <c r="J8" s="4">
        <f t="shared" si="5"/>
        <v>80</v>
      </c>
      <c r="K8" s="4">
        <f t="shared" si="6"/>
        <v>15.11945</v>
      </c>
      <c r="L8" s="4">
        <f t="shared" si="0"/>
        <v>0</v>
      </c>
      <c r="M8" s="4">
        <f t="shared" si="0"/>
        <v>0</v>
      </c>
      <c r="N8" s="4">
        <f t="shared" si="0"/>
        <v>0.0006472244565290984</v>
      </c>
      <c r="O8" s="4">
        <f t="shared" si="0"/>
        <v>0.002199936490829923</v>
      </c>
      <c r="P8" s="4">
        <f t="shared" si="7"/>
        <v>0.0028471609473590216</v>
      </c>
      <c r="Q8" s="4">
        <f t="shared" si="8"/>
        <v>28.471609473590217</v>
      </c>
      <c r="R8" s="4">
        <f t="shared" si="1"/>
        <v>5.38093844819342</v>
      </c>
      <c r="T8" s="1">
        <f t="shared" si="2"/>
        <v>-0.769551078621726</v>
      </c>
      <c r="U8" s="1">
        <f t="shared" si="9"/>
        <v>1.9030899869919435</v>
      </c>
      <c r="V8" s="1">
        <f t="shared" si="14"/>
        <v>-1.115294419960176</v>
      </c>
      <c r="X8" s="1">
        <f t="shared" si="15"/>
        <v>1.7903220721851019</v>
      </c>
      <c r="AA8" s="1">
        <f t="shared" si="12"/>
        <v>0.13848179529735827</v>
      </c>
      <c r="AB8" s="1">
        <f t="shared" si="10"/>
        <v>134.77207318185327</v>
      </c>
      <c r="AD8" s="1">
        <f t="shared" si="13"/>
        <v>1.1330328706147506</v>
      </c>
      <c r="AE8" s="1">
        <f t="shared" si="11"/>
        <v>2.461937907946295</v>
      </c>
    </row>
    <row r="9" spans="1:31" ht="12.75">
      <c r="A9" s="6">
        <v>2.4</v>
      </c>
      <c r="B9" s="7" t="s">
        <v>1</v>
      </c>
      <c r="C9" s="10">
        <v>-1</v>
      </c>
      <c r="D9" s="6">
        <v>4</v>
      </c>
      <c r="E9" s="7" t="s">
        <v>1</v>
      </c>
      <c r="F9" s="10">
        <v>-3</v>
      </c>
      <c r="H9" s="4">
        <f t="shared" si="3"/>
        <v>0.24</v>
      </c>
      <c r="I9" s="4">
        <f t="shared" si="4"/>
        <v>0.004</v>
      </c>
      <c r="J9" s="4">
        <f t="shared" si="5"/>
        <v>40</v>
      </c>
      <c r="K9" s="4">
        <f t="shared" si="6"/>
        <v>10.919450000000001</v>
      </c>
      <c r="L9" s="4">
        <f t="shared" si="0"/>
        <v>0</v>
      </c>
      <c r="M9" s="4">
        <f t="shared" si="0"/>
        <v>0</v>
      </c>
      <c r="N9" s="4">
        <f t="shared" si="0"/>
        <v>0.0003236122282645492</v>
      </c>
      <c r="O9" s="4">
        <f t="shared" si="0"/>
        <v>0.0010999682454149616</v>
      </c>
      <c r="P9" s="4">
        <f t="shared" si="7"/>
        <v>0.0014235804736795108</v>
      </c>
      <c r="Q9" s="4">
        <f t="shared" si="8"/>
        <v>14.235804736795108</v>
      </c>
      <c r="R9" s="4">
        <f t="shared" si="1"/>
        <v>3.886178950829934</v>
      </c>
      <c r="T9" s="1">
        <f t="shared" si="2"/>
        <v>-0.619788758288394</v>
      </c>
      <c r="U9" s="1">
        <f t="shared" si="9"/>
        <v>1.6020599913279623</v>
      </c>
      <c r="V9" s="1">
        <f t="shared" si="14"/>
        <v>-2.0100516270979685</v>
      </c>
      <c r="X9" s="1">
        <f t="shared" si="15"/>
        <v>1.8751609319255897</v>
      </c>
      <c r="AA9" s="1">
        <f t="shared" si="12"/>
        <v>0.14500824124120465</v>
      </c>
      <c r="AB9" s="1">
        <f t="shared" si="10"/>
        <v>122.09943033356852</v>
      </c>
      <c r="AD9" s="1">
        <f t="shared" si="13"/>
        <v>1.1864310647007665</v>
      </c>
      <c r="AE9" s="1">
        <f t="shared" si="11"/>
        <v>2.1680449872775713</v>
      </c>
    </row>
    <row r="10" spans="1:31" ht="12.75">
      <c r="A10" s="6">
        <v>3</v>
      </c>
      <c r="B10" s="7" t="s">
        <v>1</v>
      </c>
      <c r="C10" s="10">
        <v>-1</v>
      </c>
      <c r="D10" s="6">
        <v>2</v>
      </c>
      <c r="E10" s="7" t="s">
        <v>1</v>
      </c>
      <c r="F10" s="10">
        <v>-3</v>
      </c>
      <c r="H10" s="4">
        <f t="shared" si="3"/>
        <v>0.30000000000000004</v>
      </c>
      <c r="I10" s="4">
        <f t="shared" si="4"/>
        <v>0.002</v>
      </c>
      <c r="J10" s="4">
        <f t="shared" si="5"/>
        <v>20</v>
      </c>
      <c r="K10" s="4">
        <f t="shared" si="6"/>
        <v>9.11945</v>
      </c>
      <c r="L10" s="4">
        <f t="shared" si="0"/>
        <v>0</v>
      </c>
      <c r="M10" s="4">
        <f t="shared" si="0"/>
        <v>0</v>
      </c>
      <c r="N10" s="4">
        <f t="shared" si="0"/>
        <v>0.0001618061141322746</v>
      </c>
      <c r="O10" s="4">
        <f t="shared" si="0"/>
        <v>0.0005499841227074808</v>
      </c>
      <c r="P10" s="4">
        <f t="shared" si="7"/>
        <v>0.0007117902368397554</v>
      </c>
      <c r="Q10" s="4">
        <f t="shared" si="8"/>
        <v>7.117902368397554</v>
      </c>
      <c r="R10" s="4">
        <f t="shared" si="1"/>
        <v>3.2455677376741536</v>
      </c>
      <c r="T10" s="1">
        <f t="shared" si="2"/>
        <v>-0.5228787452803375</v>
      </c>
      <c r="U10" s="1">
        <f t="shared" si="9"/>
        <v>1.3010299956639813</v>
      </c>
      <c r="V10" s="1">
        <f t="shared" si="14"/>
        <v>-3.1062837195053867</v>
      </c>
      <c r="X10" s="1">
        <f t="shared" si="15"/>
        <v>1.5129131804618683</v>
      </c>
      <c r="AA10" s="1">
        <f t="shared" si="12"/>
        <v>0.15184226910631718</v>
      </c>
      <c r="AB10" s="1">
        <f t="shared" si="10"/>
        <v>110.6183984249141</v>
      </c>
      <c r="AD10" s="1">
        <f t="shared" si="13"/>
        <v>1.2423458381425965</v>
      </c>
      <c r="AE10" s="1">
        <f t="shared" si="11"/>
        <v>1.909235424536118</v>
      </c>
    </row>
    <row r="11" spans="1:31" ht="12.75">
      <c r="A11" s="6">
        <v>4.1</v>
      </c>
      <c r="B11" s="7" t="s">
        <v>1</v>
      </c>
      <c r="C11" s="10">
        <v>-1</v>
      </c>
      <c r="D11" s="6">
        <v>1.8</v>
      </c>
      <c r="E11" s="7" t="s">
        <v>1</v>
      </c>
      <c r="F11" s="10">
        <v>-3</v>
      </c>
      <c r="H11" s="4">
        <f t="shared" si="3"/>
        <v>0.41</v>
      </c>
      <c r="I11" s="4">
        <f t="shared" si="4"/>
        <v>0.0018000000000000002</v>
      </c>
      <c r="J11" s="4">
        <f t="shared" si="5"/>
        <v>18</v>
      </c>
      <c r="K11" s="4">
        <f t="shared" si="6"/>
        <v>7.0294500000000015</v>
      </c>
      <c r="L11" s="4">
        <f t="shared" si="0"/>
        <v>0</v>
      </c>
      <c r="M11" s="4">
        <f t="shared" si="0"/>
        <v>0</v>
      </c>
      <c r="N11" s="4">
        <f t="shared" si="0"/>
        <v>0.00014562550271904717</v>
      </c>
      <c r="O11" s="4">
        <f t="shared" si="0"/>
        <v>0.0004949857104367327</v>
      </c>
      <c r="P11" s="4">
        <f t="shared" si="7"/>
        <v>0.0006406112131557799</v>
      </c>
      <c r="Q11" s="4">
        <f t="shared" si="8"/>
        <v>6.4061121315578</v>
      </c>
      <c r="R11" s="4">
        <f t="shared" si="1"/>
        <v>2.5017469401766097</v>
      </c>
      <c r="T11" s="1">
        <f t="shared" si="2"/>
        <v>-0.38721614328026455</v>
      </c>
      <c r="U11" s="1">
        <f t="shared" si="9"/>
        <v>1.255272505103306</v>
      </c>
      <c r="V11" s="1">
        <f t="shared" si="14"/>
        <v>-0.33728890560900954</v>
      </c>
      <c r="X11" s="1">
        <f t="shared" si="15"/>
        <v>2.660478014440822</v>
      </c>
      <c r="AA11" s="1">
        <f t="shared" si="12"/>
        <v>0.15899837478205184</v>
      </c>
      <c r="AB11" s="1">
        <f t="shared" si="10"/>
        <v>100.21693005990153</v>
      </c>
      <c r="AD11" s="1">
        <f t="shared" si="13"/>
        <v>1.3008957936713348</v>
      </c>
      <c r="AE11" s="1">
        <f t="shared" si="11"/>
        <v>1.681321156938209</v>
      </c>
    </row>
    <row r="12" spans="1:31" ht="12.75">
      <c r="A12" s="6">
        <v>6</v>
      </c>
      <c r="B12" s="7" t="s">
        <v>1</v>
      </c>
      <c r="C12" s="10">
        <v>-1</v>
      </c>
      <c r="D12" s="6">
        <v>8</v>
      </c>
      <c r="E12" s="7" t="s">
        <v>1</v>
      </c>
      <c r="F12" s="10">
        <v>-4</v>
      </c>
      <c r="H12" s="4">
        <f t="shared" si="3"/>
        <v>0.6000000000000001</v>
      </c>
      <c r="I12" s="4">
        <f t="shared" si="4"/>
        <v>0.0008</v>
      </c>
      <c r="J12" s="4">
        <f t="shared" si="5"/>
        <v>8</v>
      </c>
      <c r="K12" s="4">
        <f t="shared" si="6"/>
        <v>4.55945</v>
      </c>
      <c r="L12" s="4">
        <f t="shared" si="0"/>
        <v>0</v>
      </c>
      <c r="M12" s="4">
        <f t="shared" si="0"/>
        <v>0</v>
      </c>
      <c r="N12" s="4">
        <f t="shared" si="0"/>
        <v>6.472244565290985E-05</v>
      </c>
      <c r="O12" s="4">
        <f t="shared" si="0"/>
        <v>0.0002199936490829923</v>
      </c>
      <c r="P12" s="4">
        <f t="shared" si="7"/>
        <v>0.00028471609473590214</v>
      </c>
      <c r="Q12" s="4">
        <f t="shared" si="8"/>
        <v>2.847160947359021</v>
      </c>
      <c r="R12" s="4">
        <f t="shared" si="1"/>
        <v>1.6226859976795112</v>
      </c>
      <c r="T12" s="1">
        <f t="shared" si="2"/>
        <v>-0.2218487496163563</v>
      </c>
      <c r="U12" s="1">
        <f t="shared" si="9"/>
        <v>0.9030899869919435</v>
      </c>
      <c r="V12" s="1">
        <f t="shared" si="14"/>
        <v>-2.1296974591444324</v>
      </c>
      <c r="X12" s="1">
        <f t="shared" si="15"/>
        <v>2.6753259529729747</v>
      </c>
      <c r="AA12" s="1">
        <f t="shared" si="12"/>
        <v>0.16649173732798267</v>
      </c>
      <c r="AB12" s="1">
        <f t="shared" si="10"/>
        <v>90.79351367981076</v>
      </c>
      <c r="AD12" s="1">
        <f t="shared" si="13"/>
        <v>1.3622051235925874</v>
      </c>
      <c r="AE12" s="1">
        <f t="shared" si="11"/>
        <v>1.480614070134838</v>
      </c>
    </row>
    <row r="13" spans="1:31" ht="12.75">
      <c r="A13" s="6">
        <v>8.5</v>
      </c>
      <c r="B13" s="7" t="s">
        <v>1</v>
      </c>
      <c r="C13" s="10">
        <v>-1</v>
      </c>
      <c r="D13" s="6">
        <v>5</v>
      </c>
      <c r="E13" s="7" t="s">
        <v>1</v>
      </c>
      <c r="F13" s="10">
        <v>-4</v>
      </c>
      <c r="H13" s="4">
        <f t="shared" si="3"/>
        <v>0.8500000000000001</v>
      </c>
      <c r="I13" s="4">
        <f t="shared" si="4"/>
        <v>0.0005</v>
      </c>
      <c r="J13" s="4">
        <f t="shared" si="5"/>
        <v>5</v>
      </c>
      <c r="K13" s="4">
        <f t="shared" si="6"/>
        <v>2.9344499999999996</v>
      </c>
      <c r="L13" s="4">
        <f t="shared" si="0"/>
        <v>0</v>
      </c>
      <c r="M13" s="4">
        <f t="shared" si="0"/>
        <v>0</v>
      </c>
      <c r="N13" s="4">
        <f t="shared" si="0"/>
        <v>4.045152853306865E-05</v>
      </c>
      <c r="O13" s="4">
        <f t="shared" si="0"/>
        <v>0.0001374960306768702</v>
      </c>
      <c r="P13" s="4">
        <f t="shared" si="7"/>
        <v>0.00017794755920993885</v>
      </c>
      <c r="Q13" s="4">
        <f t="shared" si="8"/>
        <v>1.7794755920993885</v>
      </c>
      <c r="R13" s="4">
        <f t="shared" si="1"/>
        <v>1.04435643024721</v>
      </c>
      <c r="T13" s="1">
        <f t="shared" si="2"/>
        <v>-0.07058107428570722</v>
      </c>
      <c r="U13" s="1">
        <f t="shared" si="9"/>
        <v>0.6989700043360189</v>
      </c>
      <c r="W13" s="1">
        <f>AVERAGE(V7:V13)</f>
        <v>-2.1443135704529075</v>
      </c>
      <c r="Y13" s="1">
        <f>AVERAGE(X7:X13)</f>
        <v>1.9430169634517016</v>
      </c>
      <c r="AA13" s="1">
        <f t="shared" si="12"/>
        <v>0.1743382511707222</v>
      </c>
      <c r="AB13" s="1">
        <f t="shared" si="10"/>
        <v>82.25618287647319</v>
      </c>
      <c r="AD13" s="1">
        <f t="shared" si="13"/>
        <v>1.4264038732150022</v>
      </c>
      <c r="AE13" s="1">
        <f t="shared" si="11"/>
        <v>1.3038663170535587</v>
      </c>
    </row>
    <row r="14" spans="1:31" ht="12.75">
      <c r="A14" s="6">
        <v>1.2</v>
      </c>
      <c r="B14" s="7" t="s">
        <v>1</v>
      </c>
      <c r="C14" s="10">
        <v>0</v>
      </c>
      <c r="D14" s="6">
        <v>1.8</v>
      </c>
      <c r="E14" s="7" t="s">
        <v>1</v>
      </c>
      <c r="F14" s="10">
        <v>-4</v>
      </c>
      <c r="H14" s="4">
        <f t="shared" si="3"/>
        <v>1.2</v>
      </c>
      <c r="I14" s="4">
        <f t="shared" si="4"/>
        <v>0.00018</v>
      </c>
      <c r="J14" s="4">
        <f t="shared" si="5"/>
        <v>1.8</v>
      </c>
      <c r="K14" s="4">
        <f t="shared" si="6"/>
        <v>1.74445</v>
      </c>
      <c r="L14" s="4">
        <f t="shared" si="0"/>
        <v>0</v>
      </c>
      <c r="M14" s="4">
        <f t="shared" si="0"/>
        <v>0</v>
      </c>
      <c r="N14" s="4">
        <f t="shared" si="0"/>
        <v>1.4562550271904715E-05</v>
      </c>
      <c r="O14" s="4">
        <f>$I14*O$28</f>
        <v>4.949857104367327E-05</v>
      </c>
      <c r="P14" s="4">
        <f t="shared" si="7"/>
        <v>6.406112131557798E-05</v>
      </c>
      <c r="Q14" s="4">
        <f t="shared" si="8"/>
        <v>0.6406112131557798</v>
      </c>
      <c r="R14" s="4">
        <f t="shared" si="1"/>
        <v>0.6208412393275556</v>
      </c>
      <c r="T14" s="1">
        <f t="shared" si="2"/>
        <v>0.07918124604762482</v>
      </c>
      <c r="U14" s="1">
        <f t="shared" si="9"/>
        <v>0.25527250510330607</v>
      </c>
      <c r="V14" s="1">
        <f t="shared" si="14"/>
        <v>-2.9626777833380076</v>
      </c>
      <c r="X14" s="1">
        <f aca="true" t="shared" si="16" ref="X14:X19">J14/H14^$W$19</f>
        <v>2.977471458154145</v>
      </c>
      <c r="AA14" s="1">
        <f t="shared" si="12"/>
        <v>0.18255455981813135</v>
      </c>
      <c r="AB14" s="1">
        <f t="shared" si="10"/>
        <v>74.52161886000819</v>
      </c>
      <c r="AD14" s="1">
        <f t="shared" si="13"/>
        <v>1.4936282166938046</v>
      </c>
      <c r="AE14" s="1">
        <f t="shared" si="11"/>
        <v>1.1482177611563478</v>
      </c>
    </row>
    <row r="15" spans="1:31" ht="12.75">
      <c r="A15" s="6">
        <v>1.8</v>
      </c>
      <c r="B15" s="7" t="s">
        <v>1</v>
      </c>
      <c r="C15" s="10">
        <v>0</v>
      </c>
      <c r="D15" s="6">
        <v>7</v>
      </c>
      <c r="E15" s="7" t="s">
        <v>1</v>
      </c>
      <c r="F15" s="10">
        <v>-5</v>
      </c>
      <c r="H15" s="4">
        <f t="shared" si="3"/>
        <v>1.8</v>
      </c>
      <c r="I15" s="4">
        <f aca="true" t="shared" si="17" ref="I15:I20">D15*10^F15</f>
        <v>7.000000000000001E-05</v>
      </c>
      <c r="J15" s="4">
        <f t="shared" si="5"/>
        <v>0.7000000000000001</v>
      </c>
      <c r="K15" s="4">
        <f t="shared" si="6"/>
        <v>0.9944499999999998</v>
      </c>
      <c r="L15" s="4">
        <f t="shared" si="0"/>
        <v>0</v>
      </c>
      <c r="M15" s="4">
        <f t="shared" si="0"/>
        <v>0</v>
      </c>
      <c r="N15" s="4">
        <f t="shared" si="0"/>
        <v>5.663213994629612E-06</v>
      </c>
      <c r="O15" s="4">
        <f t="shared" si="0"/>
        <v>1.9249444294761827E-05</v>
      </c>
      <c r="P15" s="4">
        <f t="shared" si="7"/>
        <v>2.491265828939144E-05</v>
      </c>
      <c r="Q15" s="4">
        <f t="shared" si="8"/>
        <v>0.2491265828939144</v>
      </c>
      <c r="R15" s="4">
        <f t="shared" si="1"/>
        <v>0.3539199005126473</v>
      </c>
      <c r="T15" s="1">
        <f t="shared" si="2"/>
        <v>0.25527250510330607</v>
      </c>
      <c r="U15" s="1">
        <f t="shared" si="9"/>
        <v>-0.15490195998574313</v>
      </c>
      <c r="V15" s="1">
        <f t="shared" si="14"/>
        <v>-2.329328935965807</v>
      </c>
      <c r="X15" s="1">
        <f t="shared" si="16"/>
        <v>3.5461944724026297</v>
      </c>
      <c r="AA15" s="1">
        <f t="shared" si="12"/>
        <v>0.19115809116243093</v>
      </c>
      <c r="AB15" s="1">
        <f t="shared" si="10"/>
        <v>67.51433732168393</v>
      </c>
      <c r="AD15" s="1">
        <f t="shared" si="13"/>
        <v>1.564020745874438</v>
      </c>
      <c r="AE15" s="1">
        <f t="shared" si="11"/>
        <v>1.0111496936389837</v>
      </c>
    </row>
    <row r="16" spans="1:31" ht="12.75">
      <c r="A16" s="6">
        <v>2.5</v>
      </c>
      <c r="B16" s="7" t="s">
        <v>1</v>
      </c>
      <c r="C16" s="10">
        <v>0</v>
      </c>
      <c r="D16" s="6">
        <v>4.3</v>
      </c>
      <c r="E16" s="7" t="s">
        <v>1</v>
      </c>
      <c r="F16" s="10">
        <v>-5</v>
      </c>
      <c r="H16" s="4">
        <f t="shared" si="3"/>
        <v>2.5</v>
      </c>
      <c r="I16" s="4">
        <f t="shared" si="17"/>
        <v>4.3E-05</v>
      </c>
      <c r="J16" s="4">
        <f t="shared" si="5"/>
        <v>0.43</v>
      </c>
      <c r="K16" s="4">
        <f t="shared" si="6"/>
        <v>0.5989499999999999</v>
      </c>
      <c r="L16" s="4">
        <f t="shared" si="0"/>
        <v>0</v>
      </c>
      <c r="M16" s="4">
        <f t="shared" si="0"/>
        <v>0</v>
      </c>
      <c r="N16" s="4">
        <f t="shared" si="0"/>
        <v>3.478831453843904E-06</v>
      </c>
      <c r="O16" s="4">
        <f t="shared" si="0"/>
        <v>1.1824658638210837E-05</v>
      </c>
      <c r="P16" s="4">
        <f t="shared" si="7"/>
        <v>1.530349009205474E-05</v>
      </c>
      <c r="Q16" s="4">
        <f t="shared" si="8"/>
        <v>0.15303490092054742</v>
      </c>
      <c r="R16" s="4">
        <f t="shared" si="1"/>
        <v>0.2131633811775857</v>
      </c>
      <c r="T16" s="1">
        <f>LOG10(H16)</f>
        <v>0.3979400086720376</v>
      </c>
      <c r="U16" s="1">
        <f>LOG10(J16)</f>
        <v>-0.36653154442041347</v>
      </c>
      <c r="V16" s="1">
        <f t="shared" si="14"/>
        <v>-1.483376235939501</v>
      </c>
      <c r="X16" s="1">
        <f t="shared" si="16"/>
        <v>5.394585606325844</v>
      </c>
      <c r="AA16" s="1">
        <f t="shared" si="12"/>
        <v>0.2001670944470978</v>
      </c>
      <c r="AB16" s="1">
        <f t="shared" si="10"/>
        <v>61.165951756212515</v>
      </c>
      <c r="AD16" s="1">
        <f t="shared" si="13"/>
        <v>1.6377307727489852</v>
      </c>
      <c r="AE16" s="1">
        <f t="shared" si="11"/>
        <v>0.8904440756225085</v>
      </c>
    </row>
    <row r="17" spans="1:31" ht="12.75">
      <c r="A17" s="6">
        <v>3.8</v>
      </c>
      <c r="B17" s="7" t="s">
        <v>1</v>
      </c>
      <c r="C17" s="10">
        <v>0</v>
      </c>
      <c r="D17" s="6">
        <v>8</v>
      </c>
      <c r="E17" s="7" t="s">
        <v>1</v>
      </c>
      <c r="F17" s="10">
        <v>-6</v>
      </c>
      <c r="H17" s="4">
        <f t="shared" si="3"/>
        <v>3.8</v>
      </c>
      <c r="I17" s="4">
        <f t="shared" si="17"/>
        <v>8E-06</v>
      </c>
      <c r="J17" s="4">
        <f>I17*10^4</f>
        <v>0.08</v>
      </c>
      <c r="K17" s="4">
        <f>0.5*(J18+J17)*(H18-H17)+K18</f>
        <v>0.26744999999999997</v>
      </c>
      <c r="L17" s="4">
        <f t="shared" si="0"/>
        <v>0</v>
      </c>
      <c r="M17" s="4">
        <f t="shared" si="0"/>
        <v>0</v>
      </c>
      <c r="N17" s="4">
        <f t="shared" si="0"/>
        <v>6.472244565290984E-07</v>
      </c>
      <c r="O17" s="4">
        <f t="shared" si="0"/>
        <v>2.199936490829923E-06</v>
      </c>
      <c r="P17" s="4">
        <f t="shared" si="7"/>
        <v>2.847160947359021E-06</v>
      </c>
      <c r="Q17" s="4">
        <f t="shared" si="8"/>
        <v>0.02847160947359021</v>
      </c>
      <c r="R17" s="4">
        <f t="shared" si="1"/>
        <v>0.09518414942139627</v>
      </c>
      <c r="S17"/>
      <c r="T17" s="1">
        <f>LOG10(H17)</f>
        <v>0.5797835966168101</v>
      </c>
      <c r="U17" s="1">
        <f>LOG10(J17)</f>
        <v>-1.0969100130080565</v>
      </c>
      <c r="V17" s="1">
        <f t="shared" si="14"/>
        <v>-4.016520333999708</v>
      </c>
      <c r="X17" s="1">
        <f t="shared" si="16"/>
        <v>3.1882178406368724</v>
      </c>
      <c r="AA17" s="1">
        <f t="shared" si="12"/>
        <v>0.20960067897595674</v>
      </c>
      <c r="AB17" s="1">
        <f t="shared" si="10"/>
        <v>55.41450605398621</v>
      </c>
      <c r="AD17" s="1">
        <f t="shared" si="13"/>
        <v>1.7149146461669227</v>
      </c>
      <c r="AE17" s="1">
        <f t="shared" si="11"/>
        <v>0.7841476457929023</v>
      </c>
    </row>
    <row r="18" spans="1:31" ht="12.75">
      <c r="A18" s="6">
        <v>7</v>
      </c>
      <c r="B18" s="14" t="s">
        <v>1</v>
      </c>
      <c r="C18" s="10">
        <v>0</v>
      </c>
      <c r="D18" s="6">
        <v>1.4</v>
      </c>
      <c r="E18" s="7" t="s">
        <v>1</v>
      </c>
      <c r="F18" s="10">
        <v>-6</v>
      </c>
      <c r="H18" s="15">
        <f t="shared" si="3"/>
        <v>7</v>
      </c>
      <c r="I18" s="15">
        <f t="shared" si="17"/>
        <v>1.4E-06</v>
      </c>
      <c r="J18" s="4">
        <f>I18*10^4</f>
        <v>0.013999999999999999</v>
      </c>
      <c r="K18" s="4">
        <f>0.5*(J19+J18)*(H19-H18)+K19</f>
        <v>0.11704999999999999</v>
      </c>
      <c r="L18" s="4">
        <f t="shared" si="0"/>
        <v>0</v>
      </c>
      <c r="M18" s="4">
        <f t="shared" si="0"/>
        <v>0</v>
      </c>
      <c r="N18" s="4">
        <f t="shared" si="0"/>
        <v>1.1326427989259222E-07</v>
      </c>
      <c r="O18" s="4">
        <f t="shared" si="0"/>
        <v>3.849888858952365E-07</v>
      </c>
      <c r="P18" s="4">
        <f t="shared" si="7"/>
        <v>4.982531657878287E-07</v>
      </c>
      <c r="Q18" s="4">
        <f t="shared" si="8"/>
        <v>0.0049825316578782875</v>
      </c>
      <c r="R18" s="4">
        <f t="shared" si="1"/>
        <v>0.04165752361104668</v>
      </c>
      <c r="T18" s="1">
        <f>LOG10(H18)</f>
        <v>0.8450980400142568</v>
      </c>
      <c r="U18" s="1">
        <f>LOG10(J18)</f>
        <v>-1.853871964321762</v>
      </c>
      <c r="V18" s="1">
        <f t="shared" si="14"/>
        <v>-2.853074795403281</v>
      </c>
      <c r="X18" s="1">
        <f t="shared" si="16"/>
        <v>3.0128028669543694</v>
      </c>
      <c r="AA18" s="1">
        <f t="shared" si="12"/>
        <v>0.21947885464657632</v>
      </c>
      <c r="AB18" s="1">
        <f t="shared" si="10"/>
        <v>50.203869849787445</v>
      </c>
      <c r="AD18" s="1">
        <f t="shared" si="13"/>
        <v>1.7957360834719918</v>
      </c>
      <c r="AE18" s="1">
        <f t="shared" si="11"/>
        <v>0.6905403126779008</v>
      </c>
    </row>
    <row r="19" spans="1:31" ht="12.75">
      <c r="A19" s="6">
        <v>1.3</v>
      </c>
      <c r="B19" s="14" t="s">
        <v>1</v>
      </c>
      <c r="C19" s="10">
        <v>1</v>
      </c>
      <c r="D19" s="6">
        <v>2.3</v>
      </c>
      <c r="E19" s="14" t="s">
        <v>1</v>
      </c>
      <c r="F19" s="10">
        <v>-7</v>
      </c>
      <c r="H19" s="15">
        <f t="shared" si="3"/>
        <v>13</v>
      </c>
      <c r="I19" s="15">
        <f t="shared" si="17"/>
        <v>2.2999999999999997E-07</v>
      </c>
      <c r="J19" s="4">
        <f>I19*10^4</f>
        <v>0.0022999999999999995</v>
      </c>
      <c r="K19" s="4">
        <f>0.5*(J20+J19)*(H20-H19)+K20</f>
        <v>0.06814999999999999</v>
      </c>
      <c r="L19" s="4">
        <f t="shared" si="0"/>
        <v>0</v>
      </c>
      <c r="M19" s="4">
        <f t="shared" si="0"/>
        <v>0</v>
      </c>
      <c r="N19" s="4">
        <f t="shared" si="0"/>
        <v>1.8607703125211578E-08</v>
      </c>
      <c r="O19" s="4">
        <f t="shared" si="0"/>
        <v>6.324817411136028E-08</v>
      </c>
      <c r="P19" s="4">
        <f t="shared" si="7"/>
        <v>8.185587723657185E-08</v>
      </c>
      <c r="Q19" s="4">
        <f t="shared" si="8"/>
        <v>0.0008185587723657185</v>
      </c>
      <c r="R19" s="4">
        <f>0.5*(Q20+Q19)*(H20-H19)</f>
        <v>0.02425425232031466</v>
      </c>
      <c r="T19" s="1">
        <f>LOG10(H19)</f>
        <v>1.1139433523068367</v>
      </c>
      <c r="U19" s="1">
        <f>LOG10(J19)</f>
        <v>-2.6382721639824074</v>
      </c>
      <c r="V19" s="1">
        <f t="shared" si="14"/>
        <v>-2.91766366678172</v>
      </c>
      <c r="W19" s="1">
        <f>AVERAGE(V13:V19)</f>
        <v>-2.7604402919046707</v>
      </c>
      <c r="X19" s="1">
        <f t="shared" si="16"/>
        <v>2.733392186412946</v>
      </c>
      <c r="Y19" s="1">
        <f>AVERAGE(X13:X19)</f>
        <v>3.4754440718144672</v>
      </c>
      <c r="AA19" s="1">
        <f t="shared" si="12"/>
        <v>0.2298225743939439</v>
      </c>
      <c r="AB19" s="1">
        <f t="shared" si="10"/>
        <v>45.48319072697197</v>
      </c>
      <c r="AD19" s="1">
        <f t="shared" si="13"/>
        <v>1.880366517768636</v>
      </c>
      <c r="AE19" s="1">
        <f t="shared" si="11"/>
        <v>0.6081073200839914</v>
      </c>
    </row>
    <row r="20" spans="1:31" ht="12.75">
      <c r="A20" s="4">
        <v>6</v>
      </c>
      <c r="B20" s="4" t="s">
        <v>1</v>
      </c>
      <c r="C20" s="4">
        <v>1</v>
      </c>
      <c r="D20" s="26">
        <v>6</v>
      </c>
      <c r="E20" s="14" t="s">
        <v>1</v>
      </c>
      <c r="F20" s="10">
        <v>-8</v>
      </c>
      <c r="H20" s="15">
        <f t="shared" si="3"/>
        <v>60</v>
      </c>
      <c r="I20" s="15">
        <f t="shared" si="17"/>
        <v>6.000000000000001E-08</v>
      </c>
      <c r="J20" s="4">
        <f>I20*10^4</f>
        <v>0.0006000000000000001</v>
      </c>
      <c r="K20" s="4"/>
      <c r="L20" s="4">
        <f t="shared" si="0"/>
        <v>0</v>
      </c>
      <c r="M20" s="4">
        <f t="shared" si="0"/>
        <v>0</v>
      </c>
      <c r="N20" s="4">
        <f t="shared" si="0"/>
        <v>4.854183423968239E-09</v>
      </c>
      <c r="O20" s="4">
        <f t="shared" si="0"/>
        <v>1.6499523681224424E-08</v>
      </c>
      <c r="P20" s="4">
        <f t="shared" si="7"/>
        <v>2.135370710519266E-08</v>
      </c>
      <c r="Q20" s="4">
        <f t="shared" si="8"/>
        <v>0.0002135370710519266</v>
      </c>
      <c r="R20" s="4"/>
      <c r="S20"/>
      <c r="T20" s="1">
        <f>LOG10(H20)</f>
        <v>1.7781512503836436</v>
      </c>
      <c r="U20" s="1">
        <f>LOG10(J20)</f>
        <v>-3.221848749616356</v>
      </c>
      <c r="AA20" s="1">
        <f t="shared" si="12"/>
        <v>0.24065377863445028</v>
      </c>
      <c r="AB20" s="1">
        <f t="shared" si="10"/>
        <v>41.20639793099274</v>
      </c>
      <c r="AD20" s="1">
        <f t="shared" si="13"/>
        <v>1.968985461554598</v>
      </c>
      <c r="AE20" s="1">
        <f t="shared" si="11"/>
        <v>0.5355147352740038</v>
      </c>
    </row>
    <row r="21" spans="10:31" ht="12.75">
      <c r="J21" s="35"/>
      <c r="K21" s="35"/>
      <c r="P21"/>
      <c r="Q21"/>
      <c r="AA21" s="1">
        <f t="shared" si="12"/>
        <v>0.2519954418044545</v>
      </c>
      <c r="AB21" s="1">
        <f t="shared" si="10"/>
        <v>37.331752748832805</v>
      </c>
      <c r="AD21" s="1">
        <f t="shared" si="13"/>
        <v>2.061780887490997</v>
      </c>
      <c r="AE21" s="1">
        <f t="shared" si="11"/>
        <v>0.47158786323436636</v>
      </c>
    </row>
    <row r="22" spans="10:31" ht="12.75">
      <c r="J22" s="33"/>
      <c r="K22" s="33"/>
      <c r="P22" s="34"/>
      <c r="Q22"/>
      <c r="AA22" s="1">
        <f t="shared" si="12"/>
        <v>0.26387162109214335</v>
      </c>
      <c r="AB22" s="1">
        <f t="shared" si="10"/>
        <v>33.82144116634293</v>
      </c>
      <c r="AD22" s="1">
        <f t="shared" si="13"/>
        <v>2.158949627117543</v>
      </c>
      <c r="AE22" s="1">
        <f t="shared" si="11"/>
        <v>0.4152922377311686</v>
      </c>
    </row>
    <row r="23" spans="10:31" ht="12.75">
      <c r="J23" s="33"/>
      <c r="K23" s="33"/>
      <c r="P23"/>
      <c r="Q23"/>
      <c r="AA23" s="1">
        <f t="shared" si="12"/>
        <v>0.27630750746605315</v>
      </c>
      <c r="AB23" s="1">
        <f t="shared" si="10"/>
        <v>30.64120482808457</v>
      </c>
      <c r="AD23" s="1">
        <f t="shared" si="13"/>
        <v>2.260697788358624</v>
      </c>
      <c r="AE23" s="1">
        <f t="shared" si="11"/>
        <v>0.3657168815518259</v>
      </c>
    </row>
    <row r="24" spans="4:31" ht="12.75">
      <c r="D24" s="1">
        <f>H3*1000</f>
        <v>15</v>
      </c>
      <c r="P24"/>
      <c r="Q24"/>
      <c r="AA24" s="1">
        <f t="shared" si="12"/>
        <v>0.2893294791084913</v>
      </c>
      <c r="AB24" s="1">
        <f t="shared" si="10"/>
        <v>27.760006698086958</v>
      </c>
      <c r="AD24" s="1">
        <f t="shared" si="13"/>
        <v>2.3672411927058463</v>
      </c>
      <c r="AE24" s="1">
        <f t="shared" si="11"/>
        <v>0.32205956504915956</v>
      </c>
    </row>
    <row r="25" spans="4:31" ht="12.75">
      <c r="D25" s="1">
        <f aca="true" t="shared" si="18" ref="D25:D45">H4*1000</f>
        <v>20</v>
      </c>
      <c r="I25" s="50" t="s">
        <v>63</v>
      </c>
      <c r="J25" s="50" t="s">
        <v>88</v>
      </c>
      <c r="K25" s="50" t="s">
        <v>87</v>
      </c>
      <c r="L25" s="3" t="s">
        <v>67</v>
      </c>
      <c r="M25" s="3" t="s">
        <v>68</v>
      </c>
      <c r="N25" s="3" t="s">
        <v>71</v>
      </c>
      <c r="O25" s="3" t="s">
        <v>70</v>
      </c>
      <c r="P25" s="4"/>
      <c r="Q25"/>
      <c r="AA25" s="1">
        <f t="shared" si="12"/>
        <v>0.3029651573671976</v>
      </c>
      <c r="AB25" s="1">
        <f t="shared" si="10"/>
        <v>25.149728158584452</v>
      </c>
      <c r="AD25" s="1">
        <f t="shared" si="13"/>
        <v>2.478805833004353</v>
      </c>
      <c r="AE25" s="1">
        <f t="shared" si="11"/>
        <v>0.283613824441285</v>
      </c>
    </row>
    <row r="26" spans="4:31" ht="12.75">
      <c r="D26" s="1">
        <f t="shared" si="18"/>
        <v>30</v>
      </c>
      <c r="I26" s="50"/>
      <c r="J26" s="50"/>
      <c r="K26" s="50"/>
      <c r="L26" s="3" t="s">
        <v>64</v>
      </c>
      <c r="M26" s="3" t="s">
        <v>65</v>
      </c>
      <c r="N26" s="3" t="s">
        <v>69</v>
      </c>
      <c r="O26" s="3" t="s">
        <v>69</v>
      </c>
      <c r="P26" s="4"/>
      <c r="Q26"/>
      <c r="R26" s="1">
        <f>R7/K7</f>
        <v>0.35589511841987764</v>
      </c>
      <c r="AA26" s="1">
        <f t="shared" si="12"/>
        <v>0.3172434653439259</v>
      </c>
      <c r="AB26" s="1">
        <f t="shared" si="10"/>
        <v>22.784894590615668</v>
      </c>
      <c r="AD26" s="1">
        <f t="shared" si="13"/>
        <v>2.595628352813949</v>
      </c>
      <c r="AE26" s="1">
        <f t="shared" si="11"/>
        <v>0.24975752979711716</v>
      </c>
    </row>
    <row r="27" spans="4:31" ht="12.75">
      <c r="D27" s="1">
        <f t="shared" si="18"/>
        <v>90</v>
      </c>
      <c r="G27" s="56" t="s">
        <v>85</v>
      </c>
      <c r="H27" s="56"/>
      <c r="I27" s="4" t="s">
        <v>72</v>
      </c>
      <c r="J27" s="1" t="s">
        <v>72</v>
      </c>
      <c r="K27" s="4" t="s">
        <v>72</v>
      </c>
      <c r="L27" s="4">
        <v>36.66</v>
      </c>
      <c r="M27" s="4">
        <f>L27*(9/7)</f>
        <v>47.13428571428571</v>
      </c>
      <c r="N27" s="4">
        <v>120</v>
      </c>
      <c r="O27" s="4">
        <f>269+180*1.1</f>
        <v>467</v>
      </c>
      <c r="P27" s="4"/>
      <c r="Q27"/>
      <c r="R27" s="1">
        <f>R26^-1</f>
        <v>2.809816567419789</v>
      </c>
      <c r="AA27" s="1">
        <f t="shared" si="12"/>
        <v>0.33219468924422096</v>
      </c>
      <c r="AB27" s="1">
        <f t="shared" si="10"/>
        <v>20.642426758329105</v>
      </c>
      <c r="AD27" s="1">
        <f t="shared" si="13"/>
        <v>2.717956548361819</v>
      </c>
      <c r="AE27" s="1">
        <f t="shared" si="11"/>
        <v>0.2199428177143452</v>
      </c>
    </row>
    <row r="28" spans="4:31" ht="12.75">
      <c r="D28" s="1">
        <f t="shared" si="18"/>
        <v>110.00000000000001</v>
      </c>
      <c r="G28" s="56" t="s">
        <v>86</v>
      </c>
      <c r="H28" s="56"/>
      <c r="I28" s="4" t="s">
        <v>72</v>
      </c>
      <c r="J28" s="4" t="s">
        <v>72</v>
      </c>
      <c r="K28" s="4" t="s">
        <v>72</v>
      </c>
      <c r="L28" s="4">
        <f>IF(L30="YES",L29,0)</f>
        <v>0</v>
      </c>
      <c r="M28" s="4">
        <f>IF(M30="YES",M29,0)</f>
        <v>0</v>
      </c>
      <c r="N28" s="4">
        <f>IF(N30="YES",N29,0)</f>
        <v>0.0809030570661373</v>
      </c>
      <c r="O28" s="4">
        <f>IF(O30="YES",O29,0)</f>
        <v>0.2749920613537404</v>
      </c>
      <c r="P28" s="4"/>
      <c r="Q28"/>
      <c r="R28" s="1">
        <v>2.3</v>
      </c>
      <c r="AA28" s="1">
        <f t="shared" si="12"/>
        <v>0.3478505426185208</v>
      </c>
      <c r="AB28" s="1">
        <f t="shared" si="10"/>
        <v>18.701415570668562</v>
      </c>
      <c r="AD28" s="1">
        <f t="shared" si="13"/>
        <v>2.846049894151547</v>
      </c>
      <c r="AE28" s="1">
        <f t="shared" si="11"/>
        <v>0.1936872257802258</v>
      </c>
    </row>
    <row r="29" spans="4:31" ht="12.75">
      <c r="D29" s="1">
        <f t="shared" si="18"/>
        <v>170</v>
      </c>
      <c r="G29" s="56" t="s">
        <v>81</v>
      </c>
      <c r="H29" s="56"/>
      <c r="I29" s="4">
        <v>990</v>
      </c>
      <c r="J29" s="4">
        <v>0</v>
      </c>
      <c r="K29" s="4">
        <v>100</v>
      </c>
      <c r="L29" s="4">
        <f>EXP(-(760-$K$29)*(COS(ACOS(($I$29-$K$29)^-1*(760-$K$29))+RADIANS($J$29))^-1-1)*L$27^-1)*L$31</f>
        <v>0.00047123090632009715</v>
      </c>
      <c r="M29" s="4">
        <f>EXP(-(760-$K$29)*(COS(ACOS(($I$29-$K$29)^-1*(760-$K$29))+RADIANS($J$29))^-1-1)*M$27^-1)*M$31</f>
        <v>0.0018998706889732772</v>
      </c>
      <c r="N29" s="4">
        <f>EXP(-(760-$K$29)*(COS(ACOS(($I$29-$K$29)^-1*(760-$K$29))+RADIANS($J$29))^-1-1)*N$27^-1)*N$31</f>
        <v>0.0809030570661373</v>
      </c>
      <c r="O29" s="4">
        <f>EXP(-(760-$K$29)*(COS(ACOS(($I$29-$K$29)^-1*(760-$K$29))+RADIANS($J$29))^-1-1)*O$27^-1)*O$31</f>
        <v>0.2749920613537404</v>
      </c>
      <c r="P29" s="4"/>
      <c r="Q29"/>
      <c r="R29" s="1">
        <f>R28/R27</f>
        <v>0.8185587723657186</v>
      </c>
      <c r="AA29" s="1">
        <f t="shared" si="12"/>
        <v>0.3642442336308492</v>
      </c>
      <c r="AB29" s="1">
        <f t="shared" si="10"/>
        <v>16.94291802225847</v>
      </c>
      <c r="AD29" s="1">
        <f t="shared" si="13"/>
        <v>2.9801800933433262</v>
      </c>
      <c r="AE29" s="1">
        <f t="shared" si="11"/>
        <v>0.1705658853528152</v>
      </c>
    </row>
    <row r="30" spans="4:31" ht="12.75">
      <c r="D30" s="1">
        <f t="shared" si="18"/>
        <v>240</v>
      </c>
      <c r="G30" s="56" t="s">
        <v>80</v>
      </c>
      <c r="H30" s="56"/>
      <c r="I30" s="4" t="s">
        <v>72</v>
      </c>
      <c r="J30" s="4" t="s">
        <v>72</v>
      </c>
      <c r="K30" s="4" t="s">
        <v>72</v>
      </c>
      <c r="L30" s="4"/>
      <c r="M30" s="4"/>
      <c r="N30" s="4" t="s">
        <v>83</v>
      </c>
      <c r="O30" s="4" t="s">
        <v>83</v>
      </c>
      <c r="AA30" s="1">
        <f t="shared" si="12"/>
        <v>0.38141053549778375</v>
      </c>
      <c r="AB30" s="1">
        <f t="shared" si="10"/>
        <v>15.349772322005478</v>
      </c>
      <c r="AD30" s="1">
        <f t="shared" si="13"/>
        <v>3.1206316540727923</v>
      </c>
      <c r="AE30" s="1">
        <f t="shared" si="11"/>
        <v>0.15020464632603503</v>
      </c>
    </row>
    <row r="31" spans="4:31" ht="12.75">
      <c r="D31" s="1">
        <f t="shared" si="18"/>
        <v>300.00000000000006</v>
      </c>
      <c r="G31" s="56" t="s">
        <v>84</v>
      </c>
      <c r="H31" s="56"/>
      <c r="I31" s="4" t="s">
        <v>72</v>
      </c>
      <c r="J31" s="4" t="s">
        <v>72</v>
      </c>
      <c r="K31" s="4" t="s">
        <v>72</v>
      </c>
      <c r="L31" s="4">
        <v>0.25</v>
      </c>
      <c r="M31" s="4">
        <v>0.25</v>
      </c>
      <c r="N31" s="4">
        <v>0.55</v>
      </c>
      <c r="O31" s="4">
        <v>0.45</v>
      </c>
      <c r="AA31" s="1">
        <f t="shared" si="12"/>
        <v>0.39938586024711037</v>
      </c>
      <c r="AB31" s="1">
        <f t="shared" si="10"/>
        <v>13.90643040519169</v>
      </c>
      <c r="AD31" s="1">
        <f t="shared" si="13"/>
        <v>3.2677024929309204</v>
      </c>
      <c r="AE31" s="1">
        <f t="shared" si="11"/>
        <v>0.1322740226233457</v>
      </c>
    </row>
    <row r="32" spans="4:31" ht="12.75">
      <c r="D32" s="1">
        <f t="shared" si="18"/>
        <v>410</v>
      </c>
      <c r="AA32" s="1">
        <f t="shared" si="12"/>
        <v>0.4182083359526162</v>
      </c>
      <c r="AB32" s="1">
        <f t="shared" si="10"/>
        <v>12.59880619448649</v>
      </c>
      <c r="AD32" s="1">
        <f t="shared" si="13"/>
        <v>3.4217045668850607</v>
      </c>
      <c r="AE32" s="1">
        <f t="shared" si="11"/>
        <v>0.11648386044585833</v>
      </c>
    </row>
    <row r="33" spans="4:31" ht="12.75">
      <c r="D33" s="1">
        <f t="shared" si="18"/>
        <v>600.0000000000001</v>
      </c>
      <c r="AA33" s="1">
        <f t="shared" si="12"/>
        <v>0.4379178876088458</v>
      </c>
      <c r="AB33" s="1">
        <f t="shared" si="10"/>
        <v>11.41413812900344</v>
      </c>
      <c r="AD33" s="1">
        <f t="shared" si="13"/>
        <v>3.5829645349814863</v>
      </c>
      <c r="AE33" s="1">
        <f t="shared" si="11"/>
        <v>0.10257864299634166</v>
      </c>
    </row>
    <row r="34" spans="4:31" ht="12.75">
      <c r="D34" s="1">
        <f t="shared" si="18"/>
        <v>850.0000000000001</v>
      </c>
      <c r="AA34" s="1">
        <f t="shared" si="12"/>
        <v>0.4585563218173677</v>
      </c>
      <c r="AB34" s="1">
        <f t="shared" si="10"/>
        <v>10.340864619775212</v>
      </c>
      <c r="AD34" s="1">
        <f t="shared" si="13"/>
        <v>3.7518244512330305</v>
      </c>
      <c r="AE34" s="1">
        <f t="shared" si="11"/>
        <v>0.09033335570005181</v>
      </c>
    </row>
    <row r="35" spans="4:31" ht="12.75">
      <c r="D35" s="1">
        <f t="shared" si="18"/>
        <v>1200</v>
      </c>
      <c r="AA35" s="1">
        <f t="shared" si="12"/>
        <v>0.48016741546418124</v>
      </c>
      <c r="AB35" s="1">
        <f t="shared" si="10"/>
        <v>9.368511216173188</v>
      </c>
      <c r="AD35" s="1">
        <f t="shared" si="13"/>
        <v>3.928642490161507</v>
      </c>
      <c r="AE35" s="1">
        <f t="shared" si="11"/>
        <v>0.0795498450132851</v>
      </c>
    </row>
    <row r="36" spans="4:31" ht="12.75">
      <c r="D36" s="1">
        <f t="shared" si="18"/>
        <v>1800</v>
      </c>
      <c r="AA36" s="1">
        <f t="shared" si="12"/>
        <v>0.5027970085763611</v>
      </c>
      <c r="AB36" s="1">
        <f t="shared" si="10"/>
        <v>8.487588382089346</v>
      </c>
      <c r="AD36" s="1">
        <f t="shared" si="13"/>
        <v>4.113793706533889</v>
      </c>
      <c r="AE36" s="1">
        <f t="shared" si="11"/>
        <v>0.07005361189780368</v>
      </c>
    </row>
    <row r="37" spans="4:31" ht="12.75">
      <c r="D37" s="1">
        <f t="shared" si="18"/>
        <v>2500</v>
      </c>
      <c r="AA37" s="1">
        <f t="shared" si="12"/>
        <v>0.5264931015549007</v>
      </c>
      <c r="AB37" s="1">
        <f t="shared" si="10"/>
        <v>7.689498884242598</v>
      </c>
      <c r="AD37" s="1">
        <f t="shared" si="13"/>
        <v>4.30767083090376</v>
      </c>
      <c r="AE37" s="1">
        <f t="shared" si="11"/>
        <v>0.061690988073057014</v>
      </c>
    </row>
    <row r="38" spans="4:31" ht="12.75">
      <c r="D38" s="1">
        <f t="shared" si="18"/>
        <v>3800</v>
      </c>
      <c r="O38" s="4">
        <f>EXP(-(760-$K$29)*(COS(ACOS(($I$29-$K$29)^-1*(760-$K$29))+RADIANS($J$29))^-1-1)*O$27^-1)*O$31</f>
        <v>0.2749920613537404</v>
      </c>
      <c r="AA38" s="1">
        <f t="shared" si="12"/>
        <v>0.551305956989998</v>
      </c>
      <c r="AB38" s="1">
        <f t="shared" si="10"/>
        <v>6.966453888779751</v>
      </c>
      <c r="AD38" s="1">
        <f t="shared" si="13"/>
        <v>4.510685102645468</v>
      </c>
      <c r="AE38" s="1">
        <f t="shared" si="11"/>
        <v>0.0543266493522424</v>
      </c>
    </row>
    <row r="39" spans="4:31" ht="12.75">
      <c r="D39" s="1">
        <f t="shared" si="18"/>
        <v>7000</v>
      </c>
      <c r="AA39" s="1">
        <f t="shared" si="12"/>
        <v>0.5772882062747482</v>
      </c>
      <c r="AB39" s="1">
        <f t="shared" si="10"/>
        <v>6.311396947328485</v>
      </c>
      <c r="AD39" s="1">
        <f t="shared" si="13"/>
        <v>4.723267142247972</v>
      </c>
      <c r="AE39" s="1">
        <f t="shared" si="11"/>
        <v>0.04784142582294756</v>
      </c>
    </row>
    <row r="40" spans="4:31" ht="12.75">
      <c r="D40" s="1">
        <f t="shared" si="18"/>
        <v>13000</v>
      </c>
      <c r="AA40" s="1">
        <f t="shared" si="12"/>
        <v>0.6044949612433852</v>
      </c>
      <c r="AB40" s="1">
        <f t="shared" si="10"/>
        <v>5.717935130655784</v>
      </c>
      <c r="AD40" s="1">
        <f t="shared" si="13"/>
        <v>4.945867864718642</v>
      </c>
      <c r="AE40" s="1">
        <f t="shared" si="11"/>
        <v>0.04213037343666258</v>
      </c>
    </row>
    <row r="41" spans="4:31" ht="12.75">
      <c r="D41" s="1">
        <f t="shared" si="18"/>
        <v>60000</v>
      </c>
      <c r="AA41" s="1">
        <f t="shared" si="12"/>
        <v>0.6329839310708707</v>
      </c>
      <c r="AB41" s="1">
        <f t="shared" si="10"/>
        <v>5.180276637841127</v>
      </c>
      <c r="AD41" s="1">
        <f t="shared" si="13"/>
        <v>5.178959436034435</v>
      </c>
      <c r="AE41" s="1">
        <f t="shared" si="11"/>
        <v>0.03710107580157578</v>
      </c>
    </row>
    <row r="42" spans="4:31" ht="12.75">
      <c r="D42" s="1">
        <f t="shared" si="18"/>
        <v>0</v>
      </c>
      <c r="AA42" s="1">
        <f t="shared" si="12"/>
        <v>0.6628155446817915</v>
      </c>
      <c r="AB42" s="1">
        <f t="shared" si="10"/>
        <v>4.693174272070635</v>
      </c>
      <c r="AD42" s="1">
        <f t="shared" si="13"/>
        <v>5.423036274669244</v>
      </c>
      <c r="AE42" s="1">
        <f t="shared" si="11"/>
        <v>0.03267214869822227</v>
      </c>
    </row>
    <row r="43" spans="4:31" ht="12.75">
      <c r="D43" s="1">
        <f t="shared" si="18"/>
        <v>0</v>
      </c>
      <c r="AA43" s="1">
        <f t="shared" si="12"/>
        <v>0.6940530789282104</v>
      </c>
      <c r="AB43" s="1">
        <f t="shared" si="10"/>
        <v>4.251874231412667</v>
      </c>
      <c r="AD43" s="1">
        <f t="shared" si="13"/>
        <v>5.678616100321766</v>
      </c>
      <c r="AE43" s="1">
        <f t="shared" si="11"/>
        <v>0.028771923118019356</v>
      </c>
    </row>
    <row r="44" spans="4:31" ht="12.75">
      <c r="D44" s="1">
        <f t="shared" si="18"/>
        <v>0</v>
      </c>
      <c r="AA44" s="1">
        <f t="shared" si="12"/>
        <v>0.7267627928083534</v>
      </c>
      <c r="AB44" s="1">
        <f t="shared" si="10"/>
        <v>3.8520697148062273</v>
      </c>
      <c r="AD44" s="1">
        <f t="shared" si="13"/>
        <v>5.946241032068394</v>
      </c>
      <c r="AE44" s="1">
        <f t="shared" si="11"/>
        <v>0.025337285513586653</v>
      </c>
    </row>
    <row r="45" spans="4:31" ht="12.75">
      <c r="D45" s="1">
        <f t="shared" si="18"/>
        <v>0</v>
      </c>
      <c r="AA45" s="1">
        <f t="shared" si="12"/>
        <v>0.7610140680108278</v>
      </c>
      <c r="AB45" s="1">
        <f t="shared" si="10"/>
        <v>3.4898588904868255</v>
      </c>
      <c r="AD45" s="1">
        <f t="shared" si="13"/>
        <v>6.226478738270461</v>
      </c>
      <c r="AE45" s="1">
        <f t="shared" si="11"/>
        <v>0.02231265649375203</v>
      </c>
    </row>
    <row r="46" spans="27:31" ht="12.75">
      <c r="AA46" s="1">
        <f t="shared" si="12"/>
        <v>0.7968795560824866</v>
      </c>
      <c r="AB46" s="1">
        <f t="shared" si="10"/>
        <v>3.161706816648979</v>
      </c>
      <c r="AD46" s="1">
        <f t="shared" si="13"/>
        <v>6.519923640674946</v>
      </c>
      <c r="AE46" s="1">
        <f t="shared" si="11"/>
        <v>0.01964909143646065</v>
      </c>
    </row>
    <row r="47" spans="27:31" ht="12.75">
      <c r="AA47" s="1">
        <f t="shared" si="12"/>
        <v>0.8344353325320997</v>
      </c>
      <c r="AB47" s="1">
        <f t="shared" si="10"/>
        <v>2.8644109427158377</v>
      </c>
      <c r="AD47" s="1">
        <f t="shared" si="13"/>
        <v>6.827198175262693</v>
      </c>
      <c r="AE47" s="1">
        <f t="shared" si="11"/>
        <v>0.017303488465683293</v>
      </c>
    </row>
    <row r="48" spans="30:31" ht="12.75">
      <c r="AD48" s="1">
        <f t="shared" si="13"/>
        <v>7.1489541125185765</v>
      </c>
      <c r="AE48" s="1">
        <f t="shared" si="11"/>
        <v>0.015237890975785838</v>
      </c>
    </row>
    <row r="49" spans="30:31" ht="12.75">
      <c r="AD49" s="1">
        <f t="shared" si="13"/>
        <v>7.485873939924086</v>
      </c>
      <c r="AE49" s="1">
        <f t="shared" si="11"/>
        <v>0.013418873416792633</v>
      </c>
    </row>
    <row r="50" spans="30:31" ht="12.75">
      <c r="AD50" s="1">
        <f t="shared" si="13"/>
        <v>7.838672309604777</v>
      </c>
      <c r="AE50" s="1">
        <f t="shared" si="11"/>
        <v>0.011817000401305068</v>
      </c>
    </row>
    <row r="51" spans="30:31" ht="12.75">
      <c r="AD51" s="1">
        <f t="shared" si="13"/>
        <v>8.208097554203244</v>
      </c>
      <c r="AE51" s="1">
        <f t="shared" si="11"/>
        <v>0.01040635038033029</v>
      </c>
    </row>
    <row r="52" spans="30:31" ht="12.75">
      <c r="AD52" s="1">
        <f t="shared" si="13"/>
        <v>8.594933274192984</v>
      </c>
      <c r="AE52" s="1">
        <f t="shared" si="11"/>
        <v>0.009164096180130508</v>
      </c>
    </row>
    <row r="53" spans="30:31" ht="12.75">
      <c r="AD53" s="1">
        <f t="shared" si="13"/>
        <v>9.000000000000066</v>
      </c>
      <c r="AE53" s="1">
        <f t="shared" si="11"/>
        <v>0.008070135612329537</v>
      </c>
    </row>
    <row r="54" spans="30:31" ht="12.75">
      <c r="AD54" s="1">
        <f t="shared" si="13"/>
        <v>9.424156932458168</v>
      </c>
      <c r="AE54" s="1">
        <f t="shared" si="11"/>
        <v>0.007106766179800389</v>
      </c>
    </row>
    <row r="55" spans="30:31" ht="12.75">
      <c r="AD55" s="1">
        <f t="shared" si="13"/>
        <v>9.868303765288742</v>
      </c>
      <c r="AE55" s="1">
        <f t="shared" si="11"/>
        <v>0.006258398614416282</v>
      </c>
    </row>
    <row r="56" spans="30:31" ht="12.75">
      <c r="AD56" s="1">
        <f t="shared" si="13"/>
        <v>10.333382593472024</v>
      </c>
      <c r="AE56" s="1">
        <f t="shared" si="11"/>
        <v>0.005511304611125926</v>
      </c>
    </row>
    <row r="57" spans="30:31" ht="12.75">
      <c r="AD57" s="1">
        <f t="shared" si="13"/>
        <v>10.8203799115568</v>
      </c>
      <c r="AE57" s="1">
        <f t="shared" si="11"/>
        <v>0.004853394676179613</v>
      </c>
    </row>
    <row r="58" spans="30:31" ht="12.75">
      <c r="AD58" s="1">
        <f t="shared" si="13"/>
        <v>11.330328706147592</v>
      </c>
      <c r="AE58" s="1">
        <f t="shared" si="11"/>
        <v>0.004274022494640595</v>
      </c>
    </row>
    <row r="59" spans="30:31" ht="12.75">
      <c r="AD59" s="1">
        <f t="shared" si="13"/>
        <v>11.864310647007757</v>
      </c>
      <c r="AE59" s="1">
        <f t="shared" si="11"/>
        <v>0.003763812651451829</v>
      </c>
    </row>
    <row r="60" spans="30:31" ht="12.75">
      <c r="AD60" s="1">
        <f t="shared" si="13"/>
        <v>12.423458381426059</v>
      </c>
      <c r="AE60" s="1">
        <f t="shared" si="11"/>
        <v>0.0033145089182363163</v>
      </c>
    </row>
  </sheetData>
  <mergeCells count="11">
    <mergeCell ref="A1:F1"/>
    <mergeCell ref="G28:H28"/>
    <mergeCell ref="G31:H31"/>
    <mergeCell ref="I25:I26"/>
    <mergeCell ref="A2:C2"/>
    <mergeCell ref="D2:F2"/>
    <mergeCell ref="J25:J26"/>
    <mergeCell ref="G27:H27"/>
    <mergeCell ref="K25:K26"/>
    <mergeCell ref="G30:H30"/>
    <mergeCell ref="G29:H29"/>
  </mergeCells>
  <printOptions/>
  <pageMargins left="0.75" right="0.75" top="1" bottom="1" header="0.5" footer="0.5"/>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IU99"/>
  <sheetViews>
    <sheetView workbookViewId="0" topLeftCell="A1">
      <selection activeCell="C46" sqref="C46"/>
    </sheetView>
  </sheetViews>
  <sheetFormatPr defaultColWidth="9.140625" defaultRowHeight="12.75"/>
  <cols>
    <col min="1" max="1" width="15.00390625" style="0" customWidth="1"/>
    <col min="2" max="2" width="13.00390625" style="0" customWidth="1"/>
    <col min="3" max="3" width="14.8515625" style="0" customWidth="1"/>
    <col min="4" max="4" width="11.57421875" style="0" customWidth="1"/>
    <col min="5" max="5" width="10.421875" style="0" customWidth="1"/>
    <col min="7" max="7" width="19.140625" style="0" customWidth="1"/>
    <col min="8" max="8" width="13.140625" style="0" customWidth="1"/>
    <col min="9" max="9" width="14.00390625" style="0" customWidth="1"/>
  </cols>
  <sheetData>
    <row r="1" spans="1:4" ht="25.5">
      <c r="A1" s="19" t="s">
        <v>11</v>
      </c>
      <c r="B1" s="1"/>
      <c r="C1" s="1"/>
      <c r="D1" s="1"/>
    </row>
    <row r="2" spans="1:255" ht="12.75">
      <c r="A2" s="18" t="s">
        <v>16</v>
      </c>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c r="EB2" s="18"/>
      <c r="EC2" s="18"/>
      <c r="ED2" s="18"/>
      <c r="EE2" s="18"/>
      <c r="EF2" s="18"/>
      <c r="EG2" s="18"/>
      <c r="EH2" s="18"/>
      <c r="EI2" s="18"/>
      <c r="EJ2" s="18"/>
      <c r="EK2" s="18"/>
      <c r="EL2" s="18"/>
      <c r="EM2" s="18"/>
      <c r="EN2" s="18"/>
      <c r="EO2" s="18"/>
      <c r="EP2" s="18"/>
      <c r="EQ2" s="18"/>
      <c r="ER2" s="18"/>
      <c r="ES2" s="18"/>
      <c r="ET2" s="18"/>
      <c r="EU2" s="18"/>
      <c r="EV2" s="18"/>
      <c r="EW2" s="18"/>
      <c r="EX2" s="18"/>
      <c r="EY2" s="18"/>
      <c r="EZ2" s="18"/>
      <c r="FA2" s="18"/>
      <c r="FB2" s="18"/>
      <c r="FC2" s="18"/>
      <c r="FD2" s="18"/>
      <c r="FE2" s="18"/>
      <c r="FF2" s="18"/>
      <c r="FG2" s="18"/>
      <c r="FH2" s="18"/>
      <c r="FI2" s="18"/>
      <c r="FJ2" s="18"/>
      <c r="FK2" s="18"/>
      <c r="FL2" s="18"/>
      <c r="FM2" s="18"/>
      <c r="FN2" s="18"/>
      <c r="FO2" s="18"/>
      <c r="FP2" s="18"/>
      <c r="FQ2" s="18"/>
      <c r="FR2" s="18"/>
      <c r="FS2" s="18"/>
      <c r="FT2" s="18"/>
      <c r="FU2" s="18"/>
      <c r="FV2" s="18"/>
      <c r="FW2" s="18"/>
      <c r="FX2" s="18"/>
      <c r="FY2" s="18"/>
      <c r="FZ2" s="18"/>
      <c r="GA2" s="18"/>
      <c r="GB2" s="18"/>
      <c r="GC2" s="18"/>
      <c r="GD2" s="18"/>
      <c r="GE2" s="18"/>
      <c r="GF2" s="18"/>
      <c r="GG2" s="18"/>
      <c r="GH2" s="18"/>
      <c r="GI2" s="18"/>
      <c r="GJ2" s="18"/>
      <c r="GK2" s="18"/>
      <c r="GL2" s="18"/>
      <c r="GM2" s="18"/>
      <c r="GN2" s="18"/>
      <c r="GO2" s="18"/>
      <c r="GP2" s="18"/>
      <c r="GQ2" s="18"/>
      <c r="GR2" s="18"/>
      <c r="GS2" s="18"/>
      <c r="GT2" s="18"/>
      <c r="GU2" s="18"/>
      <c r="GV2" s="18"/>
      <c r="GW2" s="18"/>
      <c r="GX2" s="18"/>
      <c r="GY2" s="18"/>
      <c r="GZ2" s="18"/>
      <c r="HA2" s="18"/>
      <c r="HB2" s="18"/>
      <c r="HC2" s="18"/>
      <c r="HD2" s="18"/>
      <c r="HE2" s="18"/>
      <c r="HF2" s="18"/>
      <c r="HG2" s="18"/>
      <c r="HH2" s="18"/>
      <c r="HI2" s="18"/>
      <c r="HJ2" s="18"/>
      <c r="HK2" s="18"/>
      <c r="HL2" s="18"/>
      <c r="HM2" s="18"/>
      <c r="HN2" s="18"/>
      <c r="HO2" s="18"/>
      <c r="HP2" s="18"/>
      <c r="HQ2" s="18"/>
      <c r="HR2" s="18"/>
      <c r="HS2" s="18"/>
      <c r="HT2" s="18"/>
      <c r="HU2" s="18"/>
      <c r="HV2" s="18"/>
      <c r="HW2" s="18"/>
      <c r="HX2" s="18"/>
      <c r="HY2" s="18"/>
      <c r="HZ2" s="18"/>
      <c r="IA2" s="18"/>
      <c r="IB2" s="18"/>
      <c r="IC2" s="18"/>
      <c r="ID2" s="18"/>
      <c r="IE2" s="18"/>
      <c r="IF2" s="18"/>
      <c r="IG2" s="18"/>
      <c r="IH2" s="18"/>
      <c r="II2" s="18"/>
      <c r="IJ2" s="18"/>
      <c r="IK2" s="18"/>
      <c r="IL2" s="18"/>
      <c r="IM2" s="18"/>
      <c r="IN2" s="18"/>
      <c r="IO2" s="18"/>
      <c r="IP2" s="18"/>
      <c r="IQ2" s="18"/>
      <c r="IR2" s="18"/>
      <c r="IS2" s="18"/>
      <c r="IT2" s="18"/>
      <c r="IU2" s="18"/>
    </row>
    <row r="3" spans="1:8" s="12" customFormat="1" ht="12.75">
      <c r="A3" s="50" t="s">
        <v>12</v>
      </c>
      <c r="B3" s="50" t="s">
        <v>17</v>
      </c>
      <c r="C3" s="50"/>
      <c r="D3" s="50"/>
      <c r="E3" s="50" t="s">
        <v>31</v>
      </c>
      <c r="F3" s="50" t="s">
        <v>18</v>
      </c>
      <c r="G3" s="50" t="s">
        <v>19</v>
      </c>
      <c r="H3" s="50" t="s">
        <v>20</v>
      </c>
    </row>
    <row r="4" spans="1:8" s="12" customFormat="1" ht="25.5">
      <c r="A4" s="50"/>
      <c r="B4" s="3" t="s">
        <v>13</v>
      </c>
      <c r="C4" s="3" t="s">
        <v>14</v>
      </c>
      <c r="D4" s="3" t="s">
        <v>15</v>
      </c>
      <c r="E4" s="50"/>
      <c r="F4" s="50"/>
      <c r="G4" s="50"/>
      <c r="H4" s="50"/>
    </row>
    <row r="5" spans="1:8" ht="12.75">
      <c r="A5" s="27">
        <v>15</v>
      </c>
      <c r="B5" s="27">
        <v>1.759</v>
      </c>
      <c r="C5" s="27">
        <v>0.5733</v>
      </c>
      <c r="D5" s="27">
        <v>2.332</v>
      </c>
      <c r="E5" s="20">
        <f>D5*1.396</f>
        <v>3.2554719999999997</v>
      </c>
      <c r="F5" s="20">
        <f>E5^-1</f>
        <v>0.30717511930681635</v>
      </c>
      <c r="G5" s="17">
        <v>8.151</v>
      </c>
      <c r="H5" s="17">
        <v>8.151</v>
      </c>
    </row>
    <row r="6" spans="1:8" ht="12.75">
      <c r="A6" s="27">
        <v>20</v>
      </c>
      <c r="B6" s="27">
        <v>1.818</v>
      </c>
      <c r="C6" s="27">
        <v>0.7949</v>
      </c>
      <c r="D6" s="27">
        <v>2.613</v>
      </c>
      <c r="E6" s="20">
        <f aca="true" t="shared" si="0" ref="E6:E20">D6*1.396</f>
        <v>3.6477479999999995</v>
      </c>
      <c r="F6" s="20">
        <f aca="true" t="shared" si="1" ref="F6:F20">E6^-1</f>
        <v>0.2741417444406796</v>
      </c>
      <c r="G6" s="5">
        <f aca="true" t="shared" si="2" ref="G6:G20">0.5*(A6-A5)*(F6+F5)</f>
        <v>1.4532921593687398</v>
      </c>
      <c r="H6" s="5">
        <f>SUM($G$5:G6)</f>
        <v>9.60429215936874</v>
      </c>
    </row>
    <row r="7" spans="1:8" ht="12.75">
      <c r="A7" s="27">
        <v>30</v>
      </c>
      <c r="B7" s="27">
        <v>1.901</v>
      </c>
      <c r="C7" s="27">
        <v>1.251</v>
      </c>
      <c r="D7" s="27">
        <v>3.152</v>
      </c>
      <c r="E7" s="20">
        <f t="shared" si="0"/>
        <v>4.400192</v>
      </c>
      <c r="F7" s="20">
        <f t="shared" si="1"/>
        <v>0.22726281035009382</v>
      </c>
      <c r="G7" s="5">
        <f t="shared" si="2"/>
        <v>2.5070227739538673</v>
      </c>
      <c r="H7" s="5">
        <f>SUM($G$5:G7)</f>
        <v>12.111314933322607</v>
      </c>
    </row>
    <row r="8" spans="1:8" ht="12.75">
      <c r="A8" s="27">
        <v>90</v>
      </c>
      <c r="B8" s="27">
        <v>2.089</v>
      </c>
      <c r="C8" s="27">
        <v>4.125</v>
      </c>
      <c r="D8" s="27">
        <v>6.214</v>
      </c>
      <c r="E8" s="20">
        <f t="shared" si="0"/>
        <v>8.674744</v>
      </c>
      <c r="F8" s="20">
        <f t="shared" si="1"/>
        <v>0.11527717705559956</v>
      </c>
      <c r="G8" s="5">
        <f t="shared" si="2"/>
        <v>10.2761996221708</v>
      </c>
      <c r="H8" s="5">
        <f>SUM($G$5:G8)</f>
        <v>22.387514555493407</v>
      </c>
    </row>
    <row r="9" spans="1:8" ht="12.75">
      <c r="A9" s="27">
        <v>110</v>
      </c>
      <c r="B9" s="27">
        <v>2.119</v>
      </c>
      <c r="C9" s="27">
        <v>5.105</v>
      </c>
      <c r="D9" s="27">
        <v>7.224</v>
      </c>
      <c r="E9" s="20">
        <f t="shared" si="0"/>
        <v>10.084704</v>
      </c>
      <c r="F9" s="20">
        <f t="shared" si="1"/>
        <v>0.09916007450491357</v>
      </c>
      <c r="G9" s="5">
        <f t="shared" si="2"/>
        <v>2.144372515605131</v>
      </c>
      <c r="H9" s="5">
        <f>SUM($G$5:G9)</f>
        <v>24.531887071098538</v>
      </c>
    </row>
    <row r="10" spans="1:8" ht="12.75">
      <c r="A10" s="27">
        <v>170</v>
      </c>
      <c r="B10" s="27">
        <v>2.181</v>
      </c>
      <c r="C10" s="27">
        <v>8.077</v>
      </c>
      <c r="D10" s="27">
        <v>10.26</v>
      </c>
      <c r="E10" s="20">
        <f t="shared" si="0"/>
        <v>14.322959999999998</v>
      </c>
      <c r="F10" s="20">
        <f t="shared" si="1"/>
        <v>0.06981797058708536</v>
      </c>
      <c r="G10" s="5">
        <f t="shared" si="2"/>
        <v>5.069341352759968</v>
      </c>
      <c r="H10" s="5">
        <f>SUM($G$5:G10)</f>
        <v>29.601228423858505</v>
      </c>
    </row>
    <row r="11" spans="1:8" ht="12.75">
      <c r="A11" s="27">
        <v>240</v>
      </c>
      <c r="B11" s="27">
        <v>2.228</v>
      </c>
      <c r="C11" s="27">
        <v>11.58</v>
      </c>
      <c r="D11" s="27">
        <v>13.8</v>
      </c>
      <c r="E11" s="20">
        <f t="shared" si="0"/>
        <v>19.2648</v>
      </c>
      <c r="F11" s="20">
        <f t="shared" si="1"/>
        <v>0.051908143349528674</v>
      </c>
      <c r="G11" s="5">
        <f t="shared" si="2"/>
        <v>4.260413987781491</v>
      </c>
      <c r="H11" s="5">
        <f>SUM($G$5:G11)</f>
        <v>33.86164241164</v>
      </c>
    </row>
    <row r="12" spans="1:8" ht="12.75">
      <c r="A12" s="27">
        <v>300</v>
      </c>
      <c r="B12" s="27">
        <v>2.257</v>
      </c>
      <c r="C12" s="27">
        <v>14.59</v>
      </c>
      <c r="D12" s="27">
        <v>16.85</v>
      </c>
      <c r="E12" s="20">
        <f t="shared" si="0"/>
        <v>23.5226</v>
      </c>
      <c r="F12" s="20">
        <f t="shared" si="1"/>
        <v>0.0425123073129671</v>
      </c>
      <c r="G12" s="5">
        <f t="shared" si="2"/>
        <v>2.832613519874873</v>
      </c>
      <c r="H12" s="5">
        <f>SUM($G$5:G12)</f>
        <v>36.694255931514874</v>
      </c>
    </row>
    <row r="13" spans="1:8" ht="12.75">
      <c r="A13" s="27">
        <v>410</v>
      </c>
      <c r="B13" s="27">
        <v>2.293</v>
      </c>
      <c r="C13" s="27">
        <v>20.14</v>
      </c>
      <c r="D13" s="27">
        <v>22.43</v>
      </c>
      <c r="E13" s="20">
        <f t="shared" si="0"/>
        <v>31.312279999999998</v>
      </c>
      <c r="F13" s="20">
        <f t="shared" si="1"/>
        <v>0.03193635212766365</v>
      </c>
      <c r="G13" s="5">
        <f t="shared" si="2"/>
        <v>4.094676269234691</v>
      </c>
      <c r="H13" s="5">
        <f>SUM($G$5:G13)</f>
        <v>40.788932200749564</v>
      </c>
    </row>
    <row r="14" spans="1:8" ht="12.75">
      <c r="A14" s="27">
        <v>600</v>
      </c>
      <c r="B14" s="27">
        <v>2.334</v>
      </c>
      <c r="C14" s="27">
        <v>29.75</v>
      </c>
      <c r="D14" s="27">
        <v>32.09</v>
      </c>
      <c r="E14" s="20">
        <f t="shared" si="0"/>
        <v>44.79764</v>
      </c>
      <c r="F14" s="20">
        <f t="shared" si="1"/>
        <v>0.0223226044943439</v>
      </c>
      <c r="G14" s="5">
        <f t="shared" si="2"/>
        <v>5.154600879090718</v>
      </c>
      <c r="H14" s="5">
        <f>SUM($G$5:G14)</f>
        <v>45.94353307984028</v>
      </c>
    </row>
    <row r="15" spans="1:8" ht="12.75">
      <c r="A15" s="27">
        <v>850</v>
      </c>
      <c r="B15" s="27">
        <v>2.367</v>
      </c>
      <c r="C15" s="27">
        <v>42.45</v>
      </c>
      <c r="D15" s="27">
        <v>44.81</v>
      </c>
      <c r="E15" s="20">
        <f t="shared" si="0"/>
        <v>62.55476</v>
      </c>
      <c r="F15" s="20">
        <f t="shared" si="1"/>
        <v>0.015985993711749514</v>
      </c>
      <c r="G15" s="5">
        <f t="shared" si="2"/>
        <v>4.788574775761677</v>
      </c>
      <c r="H15" s="5">
        <f>SUM($G$5:G15)</f>
        <v>50.73210785560195</v>
      </c>
    </row>
    <row r="16" spans="1:8" ht="12.75">
      <c r="A16" s="27">
        <v>1200</v>
      </c>
      <c r="B16" s="27">
        <v>2.398</v>
      </c>
      <c r="C16" s="27">
        <v>60.25</v>
      </c>
      <c r="D16" s="27">
        <v>62.65</v>
      </c>
      <c r="E16" s="20">
        <f t="shared" si="0"/>
        <v>87.45939999999999</v>
      </c>
      <c r="F16" s="20">
        <f t="shared" si="1"/>
        <v>0.011433876747382216</v>
      </c>
      <c r="G16" s="5">
        <f t="shared" si="2"/>
        <v>4.798477330348053</v>
      </c>
      <c r="H16" s="5">
        <f>SUM($G$5:G16)</f>
        <v>55.53058518595</v>
      </c>
    </row>
    <row r="17" spans="1:8" ht="12.75">
      <c r="A17" s="27">
        <v>1800</v>
      </c>
      <c r="B17" s="27">
        <v>2.433</v>
      </c>
      <c r="C17" s="27">
        <v>90.82</v>
      </c>
      <c r="D17" s="27">
        <v>93.25</v>
      </c>
      <c r="E17" s="20">
        <f t="shared" si="0"/>
        <v>130.177</v>
      </c>
      <c r="F17" s="20">
        <f t="shared" si="1"/>
        <v>0.0076818485600374875</v>
      </c>
      <c r="G17" s="5">
        <f t="shared" si="2"/>
        <v>5.734717592225912</v>
      </c>
      <c r="H17" s="5">
        <f>SUM($G$5:G17)</f>
        <v>61.265302778175915</v>
      </c>
    </row>
    <row r="18" spans="1:8" ht="12.75">
      <c r="A18" s="27">
        <v>2500</v>
      </c>
      <c r="B18" s="27">
        <v>2.46</v>
      </c>
      <c r="C18" s="27">
        <v>126.5</v>
      </c>
      <c r="D18" s="27">
        <v>129</v>
      </c>
      <c r="E18" s="20">
        <f t="shared" si="0"/>
        <v>180.08399999999997</v>
      </c>
      <c r="F18" s="20">
        <f t="shared" si="1"/>
        <v>0.005552964172275162</v>
      </c>
      <c r="G18" s="5">
        <f t="shared" si="2"/>
        <v>4.632184456309427</v>
      </c>
      <c r="H18" s="5">
        <f>SUM($G$5:G18)</f>
        <v>65.89748723448534</v>
      </c>
    </row>
    <row r="19" spans="1:8" ht="12.75">
      <c r="A19" s="27">
        <v>3800</v>
      </c>
      <c r="B19" s="27">
        <v>2.493</v>
      </c>
      <c r="C19" s="27">
        <v>192.9</v>
      </c>
      <c r="D19" s="27">
        <v>195.4</v>
      </c>
      <c r="E19" s="20">
        <f t="shared" si="0"/>
        <v>272.7784</v>
      </c>
      <c r="F19" s="20">
        <f t="shared" si="1"/>
        <v>0.0036659794177251576</v>
      </c>
      <c r="G19" s="5">
        <f t="shared" si="2"/>
        <v>5.992313333500208</v>
      </c>
      <c r="H19" s="5">
        <f>SUM($G$5:G19)</f>
        <v>71.88980056798555</v>
      </c>
    </row>
    <row r="20" spans="1:8" ht="12.75">
      <c r="A20" s="27">
        <v>7000</v>
      </c>
      <c r="B20" s="27">
        <v>2.538</v>
      </c>
      <c r="C20" s="27">
        <v>356.4</v>
      </c>
      <c r="D20" s="27">
        <v>359</v>
      </c>
      <c r="E20" s="20">
        <f t="shared" si="0"/>
        <v>501.164</v>
      </c>
      <c r="F20" s="20">
        <f t="shared" si="1"/>
        <v>0.0019953548139930244</v>
      </c>
      <c r="G20" s="5">
        <f t="shared" si="2"/>
        <v>9.05813477074909</v>
      </c>
      <c r="H20" s="5">
        <f>SUM($G$5:G20)</f>
        <v>80.94793533873464</v>
      </c>
    </row>
    <row r="21" spans="1:4" ht="12.75">
      <c r="A21" s="18"/>
      <c r="B21" s="17"/>
      <c r="C21" s="17"/>
      <c r="D21" s="17"/>
    </row>
    <row r="22" spans="1:4" ht="12.75">
      <c r="A22" s="18"/>
      <c r="B22" s="17"/>
      <c r="C22" s="17"/>
      <c r="D22" s="17"/>
    </row>
    <row r="23" spans="1:4" ht="12.75">
      <c r="A23" s="18"/>
      <c r="B23" s="17"/>
      <c r="C23" s="17"/>
      <c r="D23" s="17"/>
    </row>
    <row r="24" spans="1:4" ht="12.75">
      <c r="A24" s="18"/>
      <c r="B24" s="17"/>
      <c r="C24" s="17"/>
      <c r="D24" s="17"/>
    </row>
    <row r="25" spans="1:4" ht="12.75">
      <c r="A25" s="18"/>
      <c r="B25" s="17"/>
      <c r="C25" s="17"/>
      <c r="D25" s="17"/>
    </row>
    <row r="26" spans="1:4" ht="12.75">
      <c r="A26" s="18"/>
      <c r="B26" s="17"/>
      <c r="C26" s="17"/>
      <c r="D26" s="17"/>
    </row>
    <row r="27" spans="1:14" s="12" customFormat="1" ht="12.75" customHeight="1">
      <c r="A27" s="50" t="s">
        <v>21</v>
      </c>
      <c r="B27" s="50" t="s">
        <v>17</v>
      </c>
      <c r="C27" s="50"/>
      <c r="D27" s="50"/>
      <c r="E27" s="50" t="s">
        <v>79</v>
      </c>
      <c r="F27" s="50" t="s">
        <v>18</v>
      </c>
      <c r="G27" s="50" t="s">
        <v>19</v>
      </c>
      <c r="H27" s="50" t="s">
        <v>20</v>
      </c>
      <c r="I27" s="50" t="s">
        <v>25</v>
      </c>
      <c r="J27" s="50" t="s">
        <v>2</v>
      </c>
      <c r="K27" s="50" t="s">
        <v>26</v>
      </c>
      <c r="L27" s="50" t="s">
        <v>27</v>
      </c>
      <c r="M27" s="50" t="s">
        <v>30</v>
      </c>
      <c r="N27" s="50" t="s">
        <v>28</v>
      </c>
    </row>
    <row r="28" spans="1:14" s="12" customFormat="1" ht="25.5">
      <c r="A28" s="50"/>
      <c r="B28" s="3" t="s">
        <v>22</v>
      </c>
      <c r="C28" s="3" t="s">
        <v>23</v>
      </c>
      <c r="D28" s="3" t="s">
        <v>24</v>
      </c>
      <c r="E28" s="50"/>
      <c r="F28" s="50"/>
      <c r="G28" s="50"/>
      <c r="H28" s="50"/>
      <c r="I28" s="50"/>
      <c r="J28" s="50"/>
      <c r="K28" s="50"/>
      <c r="L28" s="50"/>
      <c r="M28" s="50"/>
      <c r="N28" s="50"/>
    </row>
    <row r="29" spans="1:14" ht="12.75">
      <c r="A29" s="27">
        <f aca="true" t="shared" si="3" ref="A29:D42">A5/1000</f>
        <v>0.015</v>
      </c>
      <c r="B29" s="27">
        <f t="shared" si="3"/>
        <v>0.001759</v>
      </c>
      <c r="C29" s="27">
        <f t="shared" si="3"/>
        <v>0.0005733</v>
      </c>
      <c r="D29" s="27">
        <f t="shared" si="3"/>
        <v>0.002332</v>
      </c>
      <c r="E29" s="5">
        <f aca="true" t="shared" si="4" ref="E29:E44">D29*1.396</f>
        <v>0.0032554719999999997</v>
      </c>
      <c r="F29" s="5">
        <f>E29^-1</f>
        <v>307.1751193068164</v>
      </c>
      <c r="G29" s="17">
        <v>8.151</v>
      </c>
      <c r="H29" s="17">
        <v>8.151</v>
      </c>
      <c r="I29" s="5">
        <f>H29*0.01</f>
        <v>0.08151</v>
      </c>
      <c r="J29" s="5">
        <f>Electrons!Q3</f>
        <v>1387.990961837523</v>
      </c>
      <c r="K29" s="5">
        <f>J29*I29</f>
        <v>113.1351432993765</v>
      </c>
      <c r="L29" s="5">
        <f>K29*A29</f>
        <v>1.6970271494906473</v>
      </c>
      <c r="M29" s="5">
        <f>Electrons!R3</f>
        <v>40.73911846320827</v>
      </c>
      <c r="N29" s="5">
        <f>L29/M29</f>
        <v>0.04165596148142582</v>
      </c>
    </row>
    <row r="30" spans="1:14" ht="12.75">
      <c r="A30" s="27">
        <f t="shared" si="3"/>
        <v>0.02</v>
      </c>
      <c r="B30" s="27">
        <f t="shared" si="3"/>
        <v>0.001818</v>
      </c>
      <c r="C30" s="27">
        <f t="shared" si="3"/>
        <v>0.0007949000000000001</v>
      </c>
      <c r="D30" s="27">
        <f t="shared" si="3"/>
        <v>0.002613</v>
      </c>
      <c r="E30" s="5">
        <f t="shared" si="4"/>
        <v>0.0036477479999999997</v>
      </c>
      <c r="F30" s="5">
        <f aca="true" t="shared" si="5" ref="F30:F44">E30^-1</f>
        <v>274.1417444406796</v>
      </c>
      <c r="G30" s="5">
        <f aca="true" t="shared" si="6" ref="G30:G44">0.5*(A30-A29)*(F30+F29)</f>
        <v>1.4532921593687402</v>
      </c>
      <c r="H30" s="5">
        <f>SUM($G$29:G30)</f>
        <v>9.60429215936874</v>
      </c>
      <c r="I30" s="5">
        <f aca="true" t="shared" si="7" ref="I30:I44">H30*0.01</f>
        <v>0.0960429215936874</v>
      </c>
      <c r="J30" s="5">
        <f>Electrons!Q4</f>
        <v>996.5063315756574</v>
      </c>
      <c r="K30" s="5">
        <f aca="true" t="shared" si="8" ref="K30:K40">J30*I30</f>
        <v>95.70737947113392</v>
      </c>
      <c r="L30" s="5">
        <f aca="true" t="shared" si="9" ref="L30:L44">0.5*(A30-A29)*(K30+K29)+L29</f>
        <v>2.219133456416923</v>
      </c>
      <c r="M30" s="5">
        <f>Electrons!R4</f>
        <v>34.77787522967532</v>
      </c>
      <c r="N30" s="5">
        <f aca="true" t="shared" si="10" ref="N30:N40">L30/M30</f>
        <v>0.06380877042549678</v>
      </c>
    </row>
    <row r="31" spans="1:14" ht="12.75">
      <c r="A31" s="27">
        <f t="shared" si="3"/>
        <v>0.03</v>
      </c>
      <c r="B31" s="27">
        <f t="shared" si="3"/>
        <v>0.0019010000000000001</v>
      </c>
      <c r="C31" s="27">
        <f t="shared" si="3"/>
        <v>0.001251</v>
      </c>
      <c r="D31" s="27">
        <f t="shared" si="3"/>
        <v>0.0031520000000000003</v>
      </c>
      <c r="E31" s="5">
        <f t="shared" si="4"/>
        <v>0.004400192</v>
      </c>
      <c r="F31" s="5">
        <f t="shared" si="5"/>
        <v>227.26281035009382</v>
      </c>
      <c r="G31" s="5">
        <f t="shared" si="6"/>
        <v>2.507022773953867</v>
      </c>
      <c r="H31" s="5">
        <f>SUM($G$29:G31)</f>
        <v>12.111314933322607</v>
      </c>
      <c r="I31" s="5">
        <f t="shared" si="7"/>
        <v>0.12111314933322608</v>
      </c>
      <c r="J31" s="5">
        <f>Electrons!Q5</f>
        <v>498.2531657878287</v>
      </c>
      <c r="K31" s="5">
        <f t="shared" si="8"/>
        <v>60.34501007381395</v>
      </c>
      <c r="L31" s="5">
        <f t="shared" si="9"/>
        <v>2.999395404141662</v>
      </c>
      <c r="M31" s="5">
        <f>Electrons!R5</f>
        <v>27.304077742857885</v>
      </c>
      <c r="N31" s="5">
        <f t="shared" si="10"/>
        <v>0.10985155522882419</v>
      </c>
    </row>
    <row r="32" spans="1:14" ht="12.75">
      <c r="A32" s="27">
        <f t="shared" si="3"/>
        <v>0.09</v>
      </c>
      <c r="B32" s="27">
        <f t="shared" si="3"/>
        <v>0.002089</v>
      </c>
      <c r="C32" s="27">
        <f t="shared" si="3"/>
        <v>0.004125</v>
      </c>
      <c r="D32" s="27">
        <f t="shared" si="3"/>
        <v>0.006214000000000001</v>
      </c>
      <c r="E32" s="5">
        <f t="shared" si="4"/>
        <v>0.008674744</v>
      </c>
      <c r="F32" s="5">
        <f t="shared" si="5"/>
        <v>115.27717705559957</v>
      </c>
      <c r="G32" s="5">
        <f t="shared" si="6"/>
        <v>10.276199622170802</v>
      </c>
      <c r="H32" s="5">
        <f>SUM($G$29:G32)</f>
        <v>22.38751455549341</v>
      </c>
      <c r="I32" s="5">
        <f t="shared" si="7"/>
        <v>0.22387514555493412</v>
      </c>
      <c r="J32" s="5">
        <f>Electrons!Q6</f>
        <v>106.7685355259633</v>
      </c>
      <c r="K32" s="5">
        <f t="shared" si="8"/>
        <v>23.902821431562188</v>
      </c>
      <c r="L32" s="5">
        <f t="shared" si="9"/>
        <v>5.526830349302946</v>
      </c>
      <c r="M32" s="5">
        <f>Electrons!R6</f>
        <v>9.153426703444124</v>
      </c>
      <c r="N32" s="5">
        <f t="shared" si="10"/>
        <v>0.6037990501659217</v>
      </c>
    </row>
    <row r="33" spans="1:14" ht="12.75">
      <c r="A33" s="27">
        <f t="shared" si="3"/>
        <v>0.11</v>
      </c>
      <c r="B33" s="27">
        <f t="shared" si="3"/>
        <v>0.0021190000000000002</v>
      </c>
      <c r="C33" s="27">
        <f t="shared" si="3"/>
        <v>0.005105</v>
      </c>
      <c r="D33" s="27">
        <f t="shared" si="3"/>
        <v>0.007224</v>
      </c>
      <c r="E33" s="5">
        <f t="shared" si="4"/>
        <v>0.010084704</v>
      </c>
      <c r="F33" s="5">
        <f t="shared" si="5"/>
        <v>99.16007450491358</v>
      </c>
      <c r="G33" s="5">
        <f t="shared" si="6"/>
        <v>2.144372515605132</v>
      </c>
      <c r="H33" s="5">
        <f>SUM($G$29:G33)</f>
        <v>24.53188707109854</v>
      </c>
      <c r="I33" s="5">
        <f t="shared" si="7"/>
        <v>0.24531887071098543</v>
      </c>
      <c r="J33" s="5">
        <f>Electrons!Q7</f>
        <v>46.2663653945841</v>
      </c>
      <c r="K33" s="5">
        <f t="shared" si="8"/>
        <v>11.350012510501188</v>
      </c>
      <c r="L33" s="5">
        <f t="shared" si="9"/>
        <v>5.87935868872358</v>
      </c>
      <c r="M33" s="5">
        <f>Electrons!R7</f>
        <v>7.623077694238649</v>
      </c>
      <c r="N33" s="5">
        <f t="shared" si="10"/>
        <v>0.7712578730723245</v>
      </c>
    </row>
    <row r="34" spans="1:14" ht="12.75">
      <c r="A34" s="27">
        <f t="shared" si="3"/>
        <v>0.17</v>
      </c>
      <c r="B34" s="27">
        <f t="shared" si="3"/>
        <v>0.002181</v>
      </c>
      <c r="C34" s="27">
        <f t="shared" si="3"/>
        <v>0.008076999999999999</v>
      </c>
      <c r="D34" s="27">
        <f t="shared" si="3"/>
        <v>0.01026</v>
      </c>
      <c r="E34" s="5">
        <f t="shared" si="4"/>
        <v>0.01432296</v>
      </c>
      <c r="F34" s="5">
        <f t="shared" si="5"/>
        <v>69.81797058708536</v>
      </c>
      <c r="G34" s="5">
        <f t="shared" si="6"/>
        <v>5.0693413527599684</v>
      </c>
      <c r="H34" s="5">
        <f>SUM($G$29:G34)</f>
        <v>29.601228423858508</v>
      </c>
      <c r="I34" s="5">
        <f t="shared" si="7"/>
        <v>0.2960122842385851</v>
      </c>
      <c r="J34" s="5">
        <f>Electrons!Q8</f>
        <v>28.471609473590217</v>
      </c>
      <c r="K34" s="5">
        <f t="shared" si="8"/>
        <v>8.42794615622638</v>
      </c>
      <c r="L34" s="5">
        <f t="shared" si="9"/>
        <v>6.472697448725407</v>
      </c>
      <c r="M34" s="5">
        <f>Electrons!R8</f>
        <v>5.38093844819342</v>
      </c>
      <c r="N34" s="5">
        <f t="shared" si="10"/>
        <v>1.2028937909331654</v>
      </c>
    </row>
    <row r="35" spans="1:14" ht="12.75">
      <c r="A35" s="27">
        <f t="shared" si="3"/>
        <v>0.24</v>
      </c>
      <c r="B35" s="27">
        <f t="shared" si="3"/>
        <v>0.0022280000000000004</v>
      </c>
      <c r="C35" s="27">
        <f t="shared" si="3"/>
        <v>0.01158</v>
      </c>
      <c r="D35" s="27">
        <f t="shared" si="3"/>
        <v>0.013800000000000002</v>
      </c>
      <c r="E35" s="5">
        <f t="shared" si="4"/>
        <v>0.019264800000000002</v>
      </c>
      <c r="F35" s="5">
        <f t="shared" si="5"/>
        <v>51.90814334952867</v>
      </c>
      <c r="G35" s="5">
        <f t="shared" si="6"/>
        <v>4.260413987781489</v>
      </c>
      <c r="H35" s="5">
        <f>SUM($G$29:G35)</f>
        <v>33.86164241164</v>
      </c>
      <c r="I35" s="5">
        <f t="shared" si="7"/>
        <v>0.33861642411639997</v>
      </c>
      <c r="J35" s="5">
        <f>Electrons!Q9</f>
        <v>14.235804736795108</v>
      </c>
      <c r="K35" s="5">
        <f t="shared" si="8"/>
        <v>4.820477294392868</v>
      </c>
      <c r="L35" s="5">
        <f t="shared" si="9"/>
        <v>6.93639226949708</v>
      </c>
      <c r="M35" s="5">
        <f>Electrons!R9</f>
        <v>3.886178950829934</v>
      </c>
      <c r="N35" s="5">
        <f t="shared" si="10"/>
        <v>1.7848875096232357</v>
      </c>
    </row>
    <row r="36" spans="1:14" ht="12.75">
      <c r="A36" s="27">
        <f t="shared" si="3"/>
        <v>0.3</v>
      </c>
      <c r="B36" s="27">
        <f t="shared" si="3"/>
        <v>0.0022570000000000003</v>
      </c>
      <c r="C36" s="27">
        <f t="shared" si="3"/>
        <v>0.01459</v>
      </c>
      <c r="D36" s="27">
        <f t="shared" si="3"/>
        <v>0.01685</v>
      </c>
      <c r="E36" s="5">
        <f t="shared" si="4"/>
        <v>0.023522599999999998</v>
      </c>
      <c r="F36" s="5">
        <f t="shared" si="5"/>
        <v>42.51230731296711</v>
      </c>
      <c r="G36" s="5">
        <f t="shared" si="6"/>
        <v>2.832613519874873</v>
      </c>
      <c r="H36" s="5">
        <f>SUM($G$29:G36)</f>
        <v>36.694255931514874</v>
      </c>
      <c r="I36" s="5">
        <f t="shared" si="7"/>
        <v>0.36694255931514874</v>
      </c>
      <c r="J36" s="5">
        <f>Electrons!Q10</f>
        <v>7.117902368397554</v>
      </c>
      <c r="K36" s="5">
        <f t="shared" si="8"/>
        <v>2.611861312015157</v>
      </c>
      <c r="L36" s="5">
        <f t="shared" si="9"/>
        <v>7.159362427689321</v>
      </c>
      <c r="M36" s="5">
        <f>Electrons!R10</f>
        <v>3.2455677376741536</v>
      </c>
      <c r="N36" s="5">
        <f t="shared" si="10"/>
        <v>2.205889078999744</v>
      </c>
    </row>
    <row r="37" spans="1:14" ht="12.75">
      <c r="A37" s="27">
        <f t="shared" si="3"/>
        <v>0.41</v>
      </c>
      <c r="B37" s="27">
        <f t="shared" si="3"/>
        <v>0.0022930000000000003</v>
      </c>
      <c r="C37" s="27">
        <f t="shared" si="3"/>
        <v>0.02014</v>
      </c>
      <c r="D37" s="27">
        <f t="shared" si="3"/>
        <v>0.02243</v>
      </c>
      <c r="E37" s="5">
        <f t="shared" si="4"/>
        <v>0.03131228</v>
      </c>
      <c r="F37" s="5">
        <f t="shared" si="5"/>
        <v>31.936352127663653</v>
      </c>
      <c r="G37" s="5">
        <f t="shared" si="6"/>
        <v>4.094676269234691</v>
      </c>
      <c r="H37" s="5">
        <f>SUM($G$29:G37)</f>
        <v>40.788932200749564</v>
      </c>
      <c r="I37" s="5">
        <f t="shared" si="7"/>
        <v>0.40788932200749567</v>
      </c>
      <c r="J37" s="5">
        <f>Electrons!Q11</f>
        <v>6.4061121315578</v>
      </c>
      <c r="K37" s="5">
        <f t="shared" si="8"/>
        <v>2.612984734045104</v>
      </c>
      <c r="L37" s="5">
        <f t="shared" si="9"/>
        <v>7.446728960222635</v>
      </c>
      <c r="M37" s="5">
        <f>Electrons!R11</f>
        <v>2.5017469401766097</v>
      </c>
      <c r="N37" s="5">
        <f t="shared" si="10"/>
        <v>2.9766115991319797</v>
      </c>
    </row>
    <row r="38" spans="1:14" ht="12.75">
      <c r="A38" s="27">
        <f t="shared" si="3"/>
        <v>0.6</v>
      </c>
      <c r="B38" s="27">
        <f t="shared" si="3"/>
        <v>0.002334</v>
      </c>
      <c r="C38" s="27">
        <f t="shared" si="3"/>
        <v>0.02975</v>
      </c>
      <c r="D38" s="27">
        <f t="shared" si="3"/>
        <v>0.03209</v>
      </c>
      <c r="E38" s="5">
        <f t="shared" si="4"/>
        <v>0.04479764</v>
      </c>
      <c r="F38" s="5">
        <f t="shared" si="5"/>
        <v>22.3226044943439</v>
      </c>
      <c r="G38" s="5">
        <f t="shared" si="6"/>
        <v>5.154600879090718</v>
      </c>
      <c r="H38" s="5">
        <f>SUM($G$29:G38)</f>
        <v>45.94353307984028</v>
      </c>
      <c r="I38" s="5">
        <f t="shared" si="7"/>
        <v>0.4594353307984028</v>
      </c>
      <c r="J38" s="5">
        <f>Electrons!Q12</f>
        <v>2.847160947359021</v>
      </c>
      <c r="K38" s="5">
        <f t="shared" si="8"/>
        <v>1.308086331686186</v>
      </c>
      <c r="L38" s="5">
        <f t="shared" si="9"/>
        <v>7.819230711467108</v>
      </c>
      <c r="M38" s="5">
        <f>Electrons!R12</f>
        <v>1.6226859976795112</v>
      </c>
      <c r="N38" s="5">
        <f t="shared" si="10"/>
        <v>4.818696114127341</v>
      </c>
    </row>
    <row r="39" spans="1:14" ht="12.75">
      <c r="A39" s="27">
        <f t="shared" si="3"/>
        <v>0.85</v>
      </c>
      <c r="B39" s="27">
        <f t="shared" si="3"/>
        <v>0.002367</v>
      </c>
      <c r="C39" s="27">
        <f t="shared" si="3"/>
        <v>0.04245</v>
      </c>
      <c r="D39" s="27">
        <f t="shared" si="3"/>
        <v>0.04481</v>
      </c>
      <c r="E39" s="5">
        <f t="shared" si="4"/>
        <v>0.06255476</v>
      </c>
      <c r="F39" s="5">
        <f t="shared" si="5"/>
        <v>15.985993711749513</v>
      </c>
      <c r="G39" s="5">
        <f t="shared" si="6"/>
        <v>4.788574775761677</v>
      </c>
      <c r="H39" s="5">
        <f>SUM($G$29:G39)</f>
        <v>50.73210785560195</v>
      </c>
      <c r="I39" s="5">
        <f t="shared" si="7"/>
        <v>0.5073210785560195</v>
      </c>
      <c r="J39" s="5">
        <f>Electrons!Q13</f>
        <v>1.7794755920993885</v>
      </c>
      <c r="K39" s="5">
        <f t="shared" si="8"/>
        <v>0.9027654766479732</v>
      </c>
      <c r="L39" s="5">
        <f t="shared" si="9"/>
        <v>8.095587187508878</v>
      </c>
      <c r="M39" s="5">
        <f>Electrons!R13</f>
        <v>1.04435643024721</v>
      </c>
      <c r="N39" s="5">
        <f t="shared" si="10"/>
        <v>7.751747347016927</v>
      </c>
    </row>
    <row r="40" spans="1:14" ht="12.75">
      <c r="A40" s="27">
        <f t="shared" si="3"/>
        <v>1.2</v>
      </c>
      <c r="B40" s="27">
        <f t="shared" si="3"/>
        <v>0.002398</v>
      </c>
      <c r="C40" s="27">
        <f t="shared" si="3"/>
        <v>0.06025</v>
      </c>
      <c r="D40" s="27">
        <f t="shared" si="3"/>
        <v>0.06265</v>
      </c>
      <c r="E40" s="5">
        <f t="shared" si="4"/>
        <v>0.08745939999999999</v>
      </c>
      <c r="F40" s="5">
        <f t="shared" si="5"/>
        <v>11.433876747382214</v>
      </c>
      <c r="G40" s="5">
        <f t="shared" si="6"/>
        <v>4.798477330348052</v>
      </c>
      <c r="H40" s="5">
        <f>SUM($G$29:G40)</f>
        <v>55.53058518595</v>
      </c>
      <c r="I40" s="5">
        <f t="shared" si="7"/>
        <v>0.5553058518595</v>
      </c>
      <c r="J40" s="5">
        <f>Electrons!Q14</f>
        <v>0.6406112131557798</v>
      </c>
      <c r="K40" s="5">
        <f t="shared" si="8"/>
        <v>0.35573515543221806</v>
      </c>
      <c r="L40" s="5">
        <f t="shared" si="9"/>
        <v>8.315824798122911</v>
      </c>
      <c r="M40" s="5">
        <f>Electrons!R14</f>
        <v>0.6208412393275556</v>
      </c>
      <c r="N40" s="5">
        <f t="shared" si="10"/>
        <v>13.39444655308325</v>
      </c>
    </row>
    <row r="41" spans="1:14" ht="12.75">
      <c r="A41" s="27">
        <f t="shared" si="3"/>
        <v>1.8</v>
      </c>
      <c r="B41" s="27">
        <f t="shared" si="3"/>
        <v>0.002433</v>
      </c>
      <c r="C41" s="27">
        <f t="shared" si="3"/>
        <v>0.09082</v>
      </c>
      <c r="D41" s="27">
        <f t="shared" si="3"/>
        <v>0.09325</v>
      </c>
      <c r="E41" s="5">
        <f t="shared" si="4"/>
        <v>0.130177</v>
      </c>
      <c r="F41" s="5">
        <f t="shared" si="5"/>
        <v>7.681848560037488</v>
      </c>
      <c r="G41" s="5">
        <f t="shared" si="6"/>
        <v>5.734717592225912</v>
      </c>
      <c r="H41" s="5">
        <f>SUM($G$29:G41)</f>
        <v>61.265302778175915</v>
      </c>
      <c r="I41" s="5">
        <f t="shared" si="7"/>
        <v>0.6126530277817591</v>
      </c>
      <c r="J41" s="5">
        <f>Electrons!Q15</f>
        <v>0.2491265828939144</v>
      </c>
      <c r="K41" s="5">
        <f>J41*I41</f>
        <v>0.15262815531088006</v>
      </c>
      <c r="L41" s="5">
        <f t="shared" si="9"/>
        <v>8.46833379134584</v>
      </c>
      <c r="M41" s="5">
        <f>Electrons!R15</f>
        <v>0.3539199005126473</v>
      </c>
      <c r="N41" s="5">
        <f>L41/M41</f>
        <v>23.927260883266506</v>
      </c>
    </row>
    <row r="42" spans="1:14" ht="12.75">
      <c r="A42" s="27">
        <f t="shared" si="3"/>
        <v>2.5</v>
      </c>
      <c r="B42" s="27">
        <f t="shared" si="3"/>
        <v>0.00246</v>
      </c>
      <c r="C42" s="27">
        <f t="shared" si="3"/>
        <v>0.1265</v>
      </c>
      <c r="D42" s="27">
        <f t="shared" si="3"/>
        <v>0.129</v>
      </c>
      <c r="E42" s="5">
        <f t="shared" si="4"/>
        <v>0.180084</v>
      </c>
      <c r="F42" s="5">
        <f t="shared" si="5"/>
        <v>5.552964172275161</v>
      </c>
      <c r="G42" s="5">
        <f t="shared" si="6"/>
        <v>4.632184456309426</v>
      </c>
      <c r="H42" s="5">
        <f>SUM($G$29:G42)</f>
        <v>65.89748723448534</v>
      </c>
      <c r="I42" s="5">
        <f t="shared" si="7"/>
        <v>0.6589748723448534</v>
      </c>
      <c r="J42" s="5">
        <f>Electrons!Q16</f>
        <v>0.15303490092054742</v>
      </c>
      <c r="K42" s="5">
        <f>J42*I42</f>
        <v>0.10084615429842503</v>
      </c>
      <c r="L42" s="5">
        <f t="shared" si="9"/>
        <v>8.557049799709096</v>
      </c>
      <c r="M42" s="5">
        <f>Electrons!R16</f>
        <v>0.2131633811775857</v>
      </c>
      <c r="N42" s="5">
        <f>L42/M42</f>
        <v>40.14315100669306</v>
      </c>
    </row>
    <row r="43" spans="1:14" ht="12.75">
      <c r="A43" s="27">
        <f aca="true" t="shared" si="11" ref="A43:D44">A19/1000</f>
        <v>3.8</v>
      </c>
      <c r="B43" s="27">
        <f t="shared" si="11"/>
        <v>0.002493</v>
      </c>
      <c r="C43" s="27">
        <f t="shared" si="11"/>
        <v>0.19290000000000002</v>
      </c>
      <c r="D43" s="27">
        <f t="shared" si="11"/>
        <v>0.19540000000000002</v>
      </c>
      <c r="E43" s="5">
        <f t="shared" si="4"/>
        <v>0.27277840000000003</v>
      </c>
      <c r="F43" s="5">
        <f t="shared" si="5"/>
        <v>3.665979417725157</v>
      </c>
      <c r="G43" s="5">
        <f t="shared" si="6"/>
        <v>5.992313333500206</v>
      </c>
      <c r="H43" s="5">
        <f>SUM($G$29:G43)</f>
        <v>71.88980056798555</v>
      </c>
      <c r="I43" s="5">
        <f t="shared" si="7"/>
        <v>0.7188980056798555</v>
      </c>
      <c r="J43" s="5">
        <f>Electrons!Q17</f>
        <v>0.02847160947359021</v>
      </c>
      <c r="K43" s="5">
        <f>J43*I43</f>
        <v>0.02046818326905968</v>
      </c>
      <c r="L43" s="5">
        <f t="shared" si="9"/>
        <v>8.63590411912796</v>
      </c>
      <c r="M43" s="5">
        <f>Electrons!R17</f>
        <v>0.09518414942139627</v>
      </c>
      <c r="N43" s="5">
        <f>L43/M43</f>
        <v>90.72838462731181</v>
      </c>
    </row>
    <row r="44" spans="1:14" ht="12.75">
      <c r="A44" s="27">
        <f t="shared" si="11"/>
        <v>7</v>
      </c>
      <c r="B44" s="27">
        <f t="shared" si="11"/>
        <v>0.002538</v>
      </c>
      <c r="C44" s="27">
        <f t="shared" si="11"/>
        <v>0.3564</v>
      </c>
      <c r="D44" s="27">
        <f t="shared" si="11"/>
        <v>0.359</v>
      </c>
      <c r="E44" s="5">
        <f t="shared" si="4"/>
        <v>0.5011639999999999</v>
      </c>
      <c r="F44" s="5">
        <f t="shared" si="5"/>
        <v>1.9953548139930244</v>
      </c>
      <c r="G44" s="5">
        <f t="shared" si="6"/>
        <v>9.05813477074909</v>
      </c>
      <c r="H44" s="5">
        <f>SUM($G$29:G44)</f>
        <v>80.94793533873464</v>
      </c>
      <c r="I44" s="5">
        <f t="shared" si="7"/>
        <v>0.8094793533873464</v>
      </c>
      <c r="J44" s="5">
        <f>Electrons!Q18</f>
        <v>0.0049825316578782875</v>
      </c>
      <c r="K44" s="5">
        <f>J44*I44</f>
        <v>0.0040332565046513</v>
      </c>
      <c r="L44" s="5">
        <f t="shared" si="9"/>
        <v>8.675106422765898</v>
      </c>
      <c r="M44" s="5">
        <f>Electrons!R18</f>
        <v>0.04165752361104668</v>
      </c>
      <c r="N44" s="5">
        <f>L44/M44</f>
        <v>208.24825075452748</v>
      </c>
    </row>
    <row r="45" spans="1:9" ht="12.75">
      <c r="A45" s="28"/>
      <c r="B45" s="28"/>
      <c r="C45" s="28"/>
      <c r="D45" s="28"/>
      <c r="E45" s="29"/>
      <c r="F45" s="29"/>
      <c r="G45" s="29"/>
      <c r="H45" s="29"/>
      <c r="I45" s="29"/>
    </row>
    <row r="46" spans="1:9" ht="12.75">
      <c r="A46" s="30"/>
      <c r="B46" s="28"/>
      <c r="C46" s="28"/>
      <c r="D46" s="28"/>
      <c r="E46" s="29"/>
      <c r="F46" s="29"/>
      <c r="G46" s="29"/>
      <c r="H46" s="29"/>
      <c r="I46" s="29"/>
    </row>
    <row r="47" spans="1:9" ht="12.75">
      <c r="A47" s="30"/>
      <c r="B47" s="28"/>
      <c r="C47" s="28"/>
      <c r="D47" s="28"/>
      <c r="E47" s="29"/>
      <c r="F47" s="29"/>
      <c r="G47" s="29"/>
      <c r="H47" s="29"/>
      <c r="I47" s="29"/>
    </row>
    <row r="48" spans="1:9" ht="12.75">
      <c r="A48" s="30"/>
      <c r="B48" s="28"/>
      <c r="C48" s="28"/>
      <c r="D48" s="28"/>
      <c r="E48" s="29"/>
      <c r="F48" s="29"/>
      <c r="G48" s="29"/>
      <c r="H48" s="29"/>
      <c r="I48" s="29"/>
    </row>
    <row r="49" spans="1:9" ht="12.75">
      <c r="A49" s="30"/>
      <c r="B49" s="28"/>
      <c r="C49" s="28"/>
      <c r="D49" s="28"/>
      <c r="E49" s="29"/>
      <c r="F49" s="29"/>
      <c r="G49" s="29"/>
      <c r="H49" s="29"/>
      <c r="I49" s="29"/>
    </row>
    <row r="50" spans="1:9" ht="12.75">
      <c r="A50" s="30"/>
      <c r="B50" s="28"/>
      <c r="C50" s="28"/>
      <c r="D50" s="28"/>
      <c r="E50" s="29"/>
      <c r="F50" s="29"/>
      <c r="G50" s="29"/>
      <c r="H50" s="29"/>
      <c r="I50" s="29"/>
    </row>
    <row r="51" spans="1:9" ht="12.75">
      <c r="A51" s="30"/>
      <c r="B51" s="28"/>
      <c r="C51" s="28"/>
      <c r="D51" s="28"/>
      <c r="E51" s="29"/>
      <c r="F51" s="29"/>
      <c r="G51" s="29"/>
      <c r="H51" s="29"/>
      <c r="I51" s="29"/>
    </row>
    <row r="52" spans="1:9" ht="12.75">
      <c r="A52" s="30"/>
      <c r="B52" s="28"/>
      <c r="C52" s="28"/>
      <c r="D52" s="28"/>
      <c r="E52" s="29"/>
      <c r="F52" s="29"/>
      <c r="G52" s="29"/>
      <c r="H52" s="29"/>
      <c r="I52" s="29"/>
    </row>
    <row r="53" spans="1:9" ht="12.75">
      <c r="A53" s="30"/>
      <c r="B53" s="30"/>
      <c r="C53" s="30"/>
      <c r="D53" s="30"/>
      <c r="E53" s="29"/>
      <c r="F53" s="31"/>
      <c r="G53" s="31"/>
      <c r="H53" s="31"/>
      <c r="I53" s="31"/>
    </row>
    <row r="54" spans="1:9" ht="12.75">
      <c r="A54" s="30"/>
      <c r="B54" s="30"/>
      <c r="C54" s="30"/>
      <c r="D54" s="30"/>
      <c r="E54" s="29"/>
      <c r="F54" s="31"/>
      <c r="G54" s="31"/>
      <c r="H54" s="31"/>
      <c r="I54" s="31"/>
    </row>
    <row r="55" spans="1:9" ht="12.75">
      <c r="A55" s="30"/>
      <c r="B55" s="30"/>
      <c r="C55" s="30"/>
      <c r="D55" s="30"/>
      <c r="E55" s="29"/>
      <c r="F55" s="31"/>
      <c r="G55" s="31"/>
      <c r="H55" s="31"/>
      <c r="I55" s="31"/>
    </row>
    <row r="56" spans="1:9" ht="12.75">
      <c r="A56" s="30"/>
      <c r="B56" s="30"/>
      <c r="C56" s="30"/>
      <c r="D56" s="30"/>
      <c r="E56" s="29"/>
      <c r="F56" s="31"/>
      <c r="G56" s="31"/>
      <c r="H56" s="31"/>
      <c r="I56" s="31"/>
    </row>
    <row r="57" spans="1:9" ht="12.75">
      <c r="A57" s="30"/>
      <c r="B57" s="30"/>
      <c r="C57" s="30"/>
      <c r="D57" s="30"/>
      <c r="E57" s="29"/>
      <c r="F57" s="31"/>
      <c r="G57" s="31"/>
      <c r="H57" s="31"/>
      <c r="I57" s="31"/>
    </row>
    <row r="58" spans="1:9" ht="12.75">
      <c r="A58" s="30"/>
      <c r="B58" s="30"/>
      <c r="C58" s="30"/>
      <c r="D58" s="30"/>
      <c r="E58" s="29"/>
      <c r="F58" s="31"/>
      <c r="G58" s="31"/>
      <c r="H58" s="31"/>
      <c r="I58" s="31"/>
    </row>
    <row r="59" spans="1:9" ht="12.75">
      <c r="A59" s="30"/>
      <c r="B59" s="30"/>
      <c r="C59" s="30"/>
      <c r="D59" s="30"/>
      <c r="E59" s="29"/>
      <c r="F59" s="31"/>
      <c r="G59" s="31"/>
      <c r="H59" s="31"/>
      <c r="I59" s="31"/>
    </row>
    <row r="60" spans="1:9" ht="12.75">
      <c r="A60" s="30"/>
      <c r="B60" s="30"/>
      <c r="C60" s="30"/>
      <c r="D60" s="30"/>
      <c r="E60" s="29"/>
      <c r="F60" s="31"/>
      <c r="G60" s="31"/>
      <c r="H60" s="31"/>
      <c r="I60" s="31"/>
    </row>
    <row r="61" spans="1:9" ht="12.75">
      <c r="A61" s="30"/>
      <c r="B61" s="30"/>
      <c r="C61" s="30"/>
      <c r="D61" s="30"/>
      <c r="E61" s="29"/>
      <c r="F61" s="31"/>
      <c r="G61" s="31"/>
      <c r="H61" s="31"/>
      <c r="I61" s="31"/>
    </row>
    <row r="62" spans="1:9" ht="12.75">
      <c r="A62" s="30"/>
      <c r="B62" s="30"/>
      <c r="C62" s="30"/>
      <c r="D62" s="30"/>
      <c r="E62" s="29"/>
      <c r="F62" s="31"/>
      <c r="G62" s="31"/>
      <c r="H62" s="31"/>
      <c r="I62" s="31"/>
    </row>
    <row r="63" spans="1:9" ht="12.75">
      <c r="A63" s="30"/>
      <c r="B63" s="30"/>
      <c r="C63" s="30"/>
      <c r="D63" s="30"/>
      <c r="E63" s="29"/>
      <c r="F63" s="31"/>
      <c r="G63" s="31"/>
      <c r="H63" s="31"/>
      <c r="I63" s="31"/>
    </row>
    <row r="64" spans="1:9" ht="12.75">
      <c r="A64" s="30"/>
      <c r="B64" s="30"/>
      <c r="C64" s="30"/>
      <c r="D64" s="30"/>
      <c r="E64" s="29"/>
      <c r="F64" s="31"/>
      <c r="G64" s="31"/>
      <c r="H64" s="31"/>
      <c r="I64" s="31"/>
    </row>
    <row r="65" spans="1:9" ht="12.75">
      <c r="A65" s="30"/>
      <c r="B65" s="30"/>
      <c r="C65" s="30"/>
      <c r="D65" s="30"/>
      <c r="E65" s="29"/>
      <c r="F65" s="31"/>
      <c r="G65" s="31"/>
      <c r="H65" s="31"/>
      <c r="I65" s="31"/>
    </row>
    <row r="66" spans="1:9" ht="12.75">
      <c r="A66" s="30"/>
      <c r="B66" s="30"/>
      <c r="C66" s="30"/>
      <c r="D66" s="30"/>
      <c r="E66" s="29"/>
      <c r="F66" s="31"/>
      <c r="G66" s="31"/>
      <c r="H66" s="31"/>
      <c r="I66" s="31"/>
    </row>
    <row r="67" spans="1:9" ht="12.75">
      <c r="A67" s="30"/>
      <c r="B67" s="30"/>
      <c r="C67" s="30"/>
      <c r="D67" s="30"/>
      <c r="E67" s="29"/>
      <c r="F67" s="31"/>
      <c r="G67" s="31"/>
      <c r="H67" s="31"/>
      <c r="I67" s="31"/>
    </row>
    <row r="68" spans="1:9" ht="12.75">
      <c r="A68" s="30"/>
      <c r="B68" s="30"/>
      <c r="C68" s="30"/>
      <c r="D68" s="30"/>
      <c r="E68" s="29"/>
      <c r="F68" s="31"/>
      <c r="G68" s="31"/>
      <c r="H68" s="31"/>
      <c r="I68" s="31"/>
    </row>
    <row r="69" spans="1:4" ht="12.75">
      <c r="A69" s="18"/>
      <c r="B69" s="17"/>
      <c r="C69" s="17"/>
      <c r="D69" s="17"/>
    </row>
    <row r="70" spans="1:4" ht="12.75">
      <c r="A70" s="18"/>
      <c r="B70" s="17"/>
      <c r="C70" s="17"/>
      <c r="D70" s="17"/>
    </row>
    <row r="71" spans="1:4" ht="12.75">
      <c r="A71" s="18"/>
      <c r="B71" s="17"/>
      <c r="C71" s="17"/>
      <c r="D71" s="17"/>
    </row>
    <row r="72" spans="1:4" ht="12.75">
      <c r="A72" s="18"/>
      <c r="B72" s="17"/>
      <c r="C72" s="17"/>
      <c r="D72" s="17"/>
    </row>
    <row r="73" spans="1:4" ht="12.75">
      <c r="A73" s="18"/>
      <c r="B73" s="17"/>
      <c r="C73" s="17"/>
      <c r="D73" s="17"/>
    </row>
    <row r="74" spans="1:4" ht="12.75">
      <c r="A74" s="18"/>
      <c r="B74" s="17"/>
      <c r="C74" s="17"/>
      <c r="D74" s="17"/>
    </row>
    <row r="75" spans="1:4" ht="12.75">
      <c r="A75" s="18"/>
      <c r="B75" s="17"/>
      <c r="C75" s="17"/>
      <c r="D75" s="17"/>
    </row>
    <row r="76" spans="1:4" ht="12.75">
      <c r="A76" s="18"/>
      <c r="B76" s="17"/>
      <c r="C76" s="17"/>
      <c r="D76" s="17"/>
    </row>
    <row r="77" spans="1:4" ht="12.75">
      <c r="A77" s="18"/>
      <c r="B77" s="17"/>
      <c r="C77" s="17"/>
      <c r="D77" s="17"/>
    </row>
    <row r="78" spans="1:4" ht="12.75">
      <c r="A78" s="18"/>
      <c r="B78" s="17"/>
      <c r="C78" s="17"/>
      <c r="D78" s="17"/>
    </row>
    <row r="79" spans="1:4" ht="12.75">
      <c r="A79" s="18"/>
      <c r="B79" s="17"/>
      <c r="C79" s="17"/>
      <c r="D79" s="17"/>
    </row>
    <row r="80" spans="1:4" ht="12.75">
      <c r="A80" s="18"/>
      <c r="B80" s="17"/>
      <c r="C80" s="17"/>
      <c r="D80" s="17"/>
    </row>
    <row r="81" spans="1:4" ht="12.75">
      <c r="A81" s="18"/>
      <c r="B81" s="17"/>
      <c r="C81" s="17"/>
      <c r="D81" s="17"/>
    </row>
    <row r="82" spans="1:4" ht="12.75">
      <c r="A82" s="18"/>
      <c r="B82" s="17"/>
      <c r="C82" s="17"/>
      <c r="D82" s="17"/>
    </row>
    <row r="83" spans="1:4" ht="12.75">
      <c r="A83" s="18"/>
      <c r="B83" s="17"/>
      <c r="C83" s="17"/>
      <c r="D83" s="17"/>
    </row>
    <row r="84" spans="1:4" ht="12.75">
      <c r="A84" s="18"/>
      <c r="B84" s="17"/>
      <c r="C84" s="17"/>
      <c r="D84" s="17"/>
    </row>
    <row r="85" spans="1:4" ht="12.75">
      <c r="A85" s="18"/>
      <c r="B85" s="17"/>
      <c r="C85" s="17"/>
      <c r="D85" s="17"/>
    </row>
    <row r="86" spans="1:4" ht="12.75">
      <c r="A86" s="18"/>
      <c r="B86" s="17"/>
      <c r="C86" s="17"/>
      <c r="D86" s="17"/>
    </row>
    <row r="87" spans="1:4" ht="12.75">
      <c r="A87" s="18"/>
      <c r="B87" s="17"/>
      <c r="C87" s="17"/>
      <c r="D87" s="17"/>
    </row>
    <row r="88" spans="1:4" ht="12.75">
      <c r="A88" s="18"/>
      <c r="B88" s="17"/>
      <c r="C88" s="17"/>
      <c r="D88" s="17"/>
    </row>
    <row r="89" spans="1:4" ht="12.75">
      <c r="A89" s="18"/>
      <c r="B89" s="17"/>
      <c r="C89" s="17"/>
      <c r="D89" s="17"/>
    </row>
    <row r="90" spans="1:4" ht="12.75">
      <c r="A90" s="18"/>
      <c r="B90" s="17"/>
      <c r="C90" s="17"/>
      <c r="D90" s="17"/>
    </row>
    <row r="91" spans="1:4" ht="12.75">
      <c r="A91" s="18"/>
      <c r="B91" s="17"/>
      <c r="C91" s="17"/>
      <c r="D91" s="17"/>
    </row>
    <row r="92" spans="1:4" ht="12.75">
      <c r="A92" s="18"/>
      <c r="B92" s="17"/>
      <c r="C92" s="17"/>
      <c r="D92" s="17"/>
    </row>
    <row r="93" spans="1:4" ht="12.75">
      <c r="A93" s="18"/>
      <c r="B93" s="17"/>
      <c r="C93" s="17"/>
      <c r="D93" s="17"/>
    </row>
    <row r="94" spans="1:4" ht="12.75">
      <c r="A94" s="18"/>
      <c r="B94" s="17"/>
      <c r="C94" s="17"/>
      <c r="D94" s="17"/>
    </row>
    <row r="95" spans="1:4" ht="12.75">
      <c r="A95" s="18"/>
      <c r="B95" s="17"/>
      <c r="C95" s="17"/>
      <c r="D95" s="17"/>
    </row>
    <row r="96" spans="1:4" ht="12.75">
      <c r="A96" s="18"/>
      <c r="B96" s="17"/>
      <c r="C96" s="17"/>
      <c r="D96" s="17"/>
    </row>
    <row r="97" spans="1:4" ht="12.75">
      <c r="A97" s="18"/>
      <c r="B97" s="17"/>
      <c r="C97" s="17"/>
      <c r="D97" s="17"/>
    </row>
    <row r="98" spans="1:4" ht="12.75">
      <c r="A98" s="18"/>
      <c r="B98" s="17"/>
      <c r="C98" s="17"/>
      <c r="D98" s="17"/>
    </row>
    <row r="99" spans="1:4" ht="12.75">
      <c r="A99" s="18"/>
      <c r="B99" s="17"/>
      <c r="C99" s="17"/>
      <c r="D99" s="17"/>
    </row>
  </sheetData>
  <mergeCells count="18">
    <mergeCell ref="N27:N28"/>
    <mergeCell ref="M27:M28"/>
    <mergeCell ref="I27:I28"/>
    <mergeCell ref="J27:J28"/>
    <mergeCell ref="K27:K28"/>
    <mergeCell ref="L27:L28"/>
    <mergeCell ref="E27:E28"/>
    <mergeCell ref="F27:F28"/>
    <mergeCell ref="E3:E4"/>
    <mergeCell ref="F3:F4"/>
    <mergeCell ref="A3:A4"/>
    <mergeCell ref="B3:D3"/>
    <mergeCell ref="A27:A28"/>
    <mergeCell ref="B27:D27"/>
    <mergeCell ref="G3:G4"/>
    <mergeCell ref="H3:H4"/>
    <mergeCell ref="G27:G28"/>
    <mergeCell ref="H27:H28"/>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2:M116"/>
  <sheetViews>
    <sheetView workbookViewId="0" topLeftCell="A1">
      <selection activeCell="J11" sqref="J11"/>
    </sheetView>
  </sheetViews>
  <sheetFormatPr defaultColWidth="9.140625" defaultRowHeight="12.75"/>
  <cols>
    <col min="3" max="3" width="10.7109375" style="0" customWidth="1"/>
  </cols>
  <sheetData>
    <row r="2" ht="12.75">
      <c r="A2" t="s">
        <v>11</v>
      </c>
    </row>
    <row r="4" spans="1:8" ht="12.75">
      <c r="A4" s="41" t="s">
        <v>109</v>
      </c>
      <c r="B4" s="41"/>
      <c r="C4" s="41"/>
      <c r="D4" s="41"/>
      <c r="E4" s="41"/>
      <c r="F4" s="41"/>
      <c r="G4" s="41"/>
      <c r="H4" s="41"/>
    </row>
    <row r="5" spans="1:10" ht="12.75">
      <c r="A5" s="56" t="s">
        <v>10</v>
      </c>
      <c r="B5" s="56"/>
      <c r="C5" s="56"/>
      <c r="D5" s="56"/>
      <c r="E5" s="1"/>
      <c r="F5" s="56" t="s">
        <v>110</v>
      </c>
      <c r="G5" s="56"/>
      <c r="H5" s="56"/>
      <c r="I5" s="56"/>
      <c r="J5" s="56"/>
    </row>
    <row r="6" spans="1:3" ht="12.75">
      <c r="A6" t="s">
        <v>103</v>
      </c>
      <c r="C6" t="s">
        <v>104</v>
      </c>
    </row>
    <row r="7" spans="1:8" ht="12.75">
      <c r="A7" t="s">
        <v>105</v>
      </c>
      <c r="C7" t="s">
        <v>106</v>
      </c>
      <c r="D7" t="s">
        <v>116</v>
      </c>
      <c r="F7" s="17"/>
      <c r="G7" s="17" t="s">
        <v>112</v>
      </c>
      <c r="H7" s="17" t="s">
        <v>111</v>
      </c>
    </row>
    <row r="8" spans="1:9" ht="12.75">
      <c r="A8" t="s">
        <v>107</v>
      </c>
      <c r="B8" t="s">
        <v>113</v>
      </c>
      <c r="C8" t="s">
        <v>108</v>
      </c>
      <c r="D8" t="s">
        <v>117</v>
      </c>
      <c r="F8" s="17" t="s">
        <v>113</v>
      </c>
      <c r="G8" t="s">
        <v>114</v>
      </c>
      <c r="H8" t="s">
        <v>114</v>
      </c>
      <c r="I8" t="s">
        <v>115</v>
      </c>
    </row>
    <row r="10" spans="1:10" ht="12.75">
      <c r="A10" s="17">
        <v>0.01</v>
      </c>
      <c r="B10" s="17">
        <f>A10*2+$F$10</f>
        <v>2.52</v>
      </c>
      <c r="C10" s="17">
        <v>0.0003921</v>
      </c>
      <c r="D10" s="17">
        <f>C10/1.396</f>
        <v>0.00028087392550143266</v>
      </c>
      <c r="E10" s="17"/>
      <c r="F10" s="17">
        <v>2.5</v>
      </c>
      <c r="G10" s="17">
        <v>0.00169</v>
      </c>
      <c r="H10" s="17">
        <v>1.89E-06</v>
      </c>
      <c r="I10">
        <f>(G10+H10)^-1</f>
        <v>591.0549740231338</v>
      </c>
      <c r="J10">
        <f>I10/1.396</f>
        <v>423.39181520281795</v>
      </c>
    </row>
    <row r="11" spans="1:10" ht="12.75">
      <c r="A11" s="17">
        <v>0.0125</v>
      </c>
      <c r="B11" s="17">
        <f aca="true" t="shared" si="0" ref="B11:B74">A11*2+$F$10</f>
        <v>2.525</v>
      </c>
      <c r="C11" s="17">
        <v>0.000574</v>
      </c>
      <c r="D11" s="17">
        <f aca="true" t="shared" si="1" ref="D11:D74">C11/1.396</f>
        <v>0.00041117478510028653</v>
      </c>
      <c r="E11" s="17"/>
      <c r="F11" s="17">
        <v>3</v>
      </c>
      <c r="G11" s="17">
        <v>0.0025</v>
      </c>
      <c r="H11" s="17">
        <v>1.09E-05</v>
      </c>
      <c r="I11">
        <f aca="true" t="shared" si="2" ref="I11:I74">(G11+H11)^-1</f>
        <v>398.2635708311761</v>
      </c>
      <c r="J11">
        <f aca="true" t="shared" si="3" ref="J11:J74">I11/1.396</f>
        <v>285.289090853278</v>
      </c>
    </row>
    <row r="12" spans="1:10" ht="12.75">
      <c r="A12" s="17">
        <v>0.015</v>
      </c>
      <c r="B12" s="17">
        <f t="shared" si="0"/>
        <v>2.53</v>
      </c>
      <c r="C12" s="17">
        <v>0.0007849</v>
      </c>
      <c r="D12" s="17">
        <f t="shared" si="1"/>
        <v>0.0005622492836676219</v>
      </c>
      <c r="E12" s="17"/>
      <c r="F12" s="17">
        <v>3.5</v>
      </c>
      <c r="G12" s="17">
        <v>0.00328</v>
      </c>
      <c r="H12" s="17">
        <v>2.59E-05</v>
      </c>
      <c r="I12">
        <f t="shared" si="2"/>
        <v>302.48948849027494</v>
      </c>
      <c r="J12">
        <f t="shared" si="3"/>
        <v>216.68301467784738</v>
      </c>
    </row>
    <row r="13" spans="1:10" ht="12.75">
      <c r="A13" s="17">
        <v>0.0175</v>
      </c>
      <c r="B13" s="17">
        <f t="shared" si="0"/>
        <v>2.535</v>
      </c>
      <c r="C13" s="17">
        <v>0.001024</v>
      </c>
      <c r="D13" s="17">
        <f t="shared" si="1"/>
        <v>0.0007335243553008596</v>
      </c>
      <c r="E13" s="17"/>
      <c r="F13" s="17">
        <v>4</v>
      </c>
      <c r="G13" s="17">
        <v>0.00403</v>
      </c>
      <c r="H13" s="17">
        <v>4.47E-05</v>
      </c>
      <c r="I13">
        <f t="shared" si="2"/>
        <v>245.41684050359538</v>
      </c>
      <c r="J13">
        <f t="shared" si="3"/>
        <v>175.80002901403682</v>
      </c>
    </row>
    <row r="14" spans="1:10" ht="12.75">
      <c r="A14" s="17">
        <v>0.02</v>
      </c>
      <c r="B14" s="17">
        <f t="shared" si="0"/>
        <v>2.54</v>
      </c>
      <c r="C14" s="17">
        <v>0.001289</v>
      </c>
      <c r="D14" s="17">
        <f t="shared" si="1"/>
        <v>0.0009233524355300861</v>
      </c>
      <c r="E14" s="17"/>
      <c r="F14" s="17">
        <v>4.5</v>
      </c>
      <c r="G14" s="17">
        <v>0.00472</v>
      </c>
      <c r="H14" s="17">
        <v>6.61E-05</v>
      </c>
      <c r="I14">
        <f t="shared" si="2"/>
        <v>208.93838407053758</v>
      </c>
      <c r="J14">
        <f t="shared" si="3"/>
        <v>149.66932956342234</v>
      </c>
    </row>
    <row r="15" spans="1:10" ht="12.75">
      <c r="A15" s="17">
        <v>0.025</v>
      </c>
      <c r="B15" s="17">
        <f t="shared" si="0"/>
        <v>2.55</v>
      </c>
      <c r="C15" s="17">
        <v>0.001896</v>
      </c>
      <c r="D15" s="17">
        <f t="shared" si="1"/>
        <v>0.0013581661891117478</v>
      </c>
      <c r="E15" s="17"/>
      <c r="F15" s="17">
        <v>5</v>
      </c>
      <c r="G15" s="17">
        <v>0.00538</v>
      </c>
      <c r="H15" s="17">
        <v>8.91E-05</v>
      </c>
      <c r="I15">
        <f t="shared" si="2"/>
        <v>182.84544074893492</v>
      </c>
      <c r="J15">
        <f t="shared" si="3"/>
        <v>130.97810941900784</v>
      </c>
    </row>
    <row r="16" spans="1:10" ht="12.75">
      <c r="A16" s="17">
        <v>0.03</v>
      </c>
      <c r="B16" s="17">
        <f t="shared" si="0"/>
        <v>2.56</v>
      </c>
      <c r="C16" s="17">
        <v>0.002599</v>
      </c>
      <c r="D16" s="17">
        <f t="shared" si="1"/>
        <v>0.0018617478510028656</v>
      </c>
      <c r="E16" s="17"/>
      <c r="F16" s="17">
        <v>5.5</v>
      </c>
      <c r="G16" s="17">
        <v>0.006</v>
      </c>
      <c r="H16" s="17">
        <v>0.000113</v>
      </c>
      <c r="I16">
        <f t="shared" si="2"/>
        <v>163.58580075249466</v>
      </c>
      <c r="J16">
        <f t="shared" si="3"/>
        <v>117.18180569662943</v>
      </c>
    </row>
    <row r="17" spans="1:10" ht="12.75">
      <c r="A17" s="17">
        <v>0.035</v>
      </c>
      <c r="B17" s="17">
        <f t="shared" si="0"/>
        <v>2.57</v>
      </c>
      <c r="C17" s="17">
        <v>0.003394</v>
      </c>
      <c r="D17" s="17">
        <f t="shared" si="1"/>
        <v>0.0024312320916905447</v>
      </c>
      <c r="E17" s="17"/>
      <c r="F17" s="17">
        <v>6</v>
      </c>
      <c r="G17" s="17">
        <v>0.00659</v>
      </c>
      <c r="H17" s="17">
        <v>0.000137</v>
      </c>
      <c r="I17">
        <f t="shared" si="2"/>
        <v>148.65467518953471</v>
      </c>
      <c r="J17">
        <f t="shared" si="3"/>
        <v>106.4861570125607</v>
      </c>
    </row>
    <row r="18" spans="1:10" ht="12.75">
      <c r="A18" s="17">
        <v>0.04</v>
      </c>
      <c r="B18" s="17">
        <f t="shared" si="0"/>
        <v>2.58</v>
      </c>
      <c r="C18" s="17">
        <v>0.004276</v>
      </c>
      <c r="D18" s="17">
        <f t="shared" si="1"/>
        <v>0.003063037249283668</v>
      </c>
      <c r="E18" s="17"/>
      <c r="F18" s="17">
        <v>7</v>
      </c>
      <c r="G18" s="17">
        <v>0.00767</v>
      </c>
      <c r="H18" s="17">
        <v>0.000184</v>
      </c>
      <c r="I18">
        <f t="shared" si="2"/>
        <v>127.32365673542144</v>
      </c>
      <c r="J18">
        <f t="shared" si="3"/>
        <v>91.20605783339646</v>
      </c>
    </row>
    <row r="19" spans="1:10" ht="12.75">
      <c r="A19" s="17">
        <v>0.045</v>
      </c>
      <c r="B19" s="17">
        <f t="shared" si="0"/>
        <v>2.59</v>
      </c>
      <c r="C19" s="17">
        <v>0.00524</v>
      </c>
      <c r="D19" s="17">
        <f t="shared" si="1"/>
        <v>0.0037535816618911176</v>
      </c>
      <c r="E19" s="17"/>
      <c r="F19" s="17">
        <v>8</v>
      </c>
      <c r="G19" s="17">
        <v>0.00864</v>
      </c>
      <c r="H19" s="17">
        <v>0.000231</v>
      </c>
      <c r="I19">
        <f t="shared" si="2"/>
        <v>112.72686281140795</v>
      </c>
      <c r="J19">
        <f t="shared" si="3"/>
        <v>80.7499017273696</v>
      </c>
    </row>
    <row r="20" spans="1:10" ht="12.75">
      <c r="A20" s="17">
        <v>0.05</v>
      </c>
      <c r="B20" s="17">
        <f t="shared" si="0"/>
        <v>2.6</v>
      </c>
      <c r="C20" s="17">
        <v>0.006283</v>
      </c>
      <c r="D20" s="17">
        <f t="shared" si="1"/>
        <v>0.004500716332378224</v>
      </c>
      <c r="E20" s="17"/>
      <c r="F20" s="17">
        <v>9</v>
      </c>
      <c r="G20" s="17">
        <v>0.00951</v>
      </c>
      <c r="H20" s="17">
        <v>0.000275</v>
      </c>
      <c r="I20">
        <f t="shared" si="2"/>
        <v>102.1972406745018</v>
      </c>
      <c r="J20">
        <f t="shared" si="3"/>
        <v>73.20719246024484</v>
      </c>
    </row>
    <row r="21" spans="1:10" ht="12.75">
      <c r="A21" s="17">
        <v>0.055</v>
      </c>
      <c r="B21" s="17">
        <f t="shared" si="0"/>
        <v>2.61</v>
      </c>
      <c r="C21" s="17">
        <v>0.007402</v>
      </c>
      <c r="D21" s="17">
        <f t="shared" si="1"/>
        <v>0.005302292263610315</v>
      </c>
      <c r="E21" s="17"/>
      <c r="F21" s="17">
        <v>10</v>
      </c>
      <c r="G21" s="17">
        <v>0.0103</v>
      </c>
      <c r="H21" s="17">
        <v>0.000317</v>
      </c>
      <c r="I21">
        <f t="shared" si="2"/>
        <v>94.18856550814732</v>
      </c>
      <c r="J21">
        <f t="shared" si="3"/>
        <v>67.4703191319107</v>
      </c>
    </row>
    <row r="22" spans="1:13" ht="12.75">
      <c r="A22" s="17">
        <v>0.06</v>
      </c>
      <c r="B22" s="17">
        <f t="shared" si="0"/>
        <v>2.62</v>
      </c>
      <c r="C22" s="17">
        <v>0.008594</v>
      </c>
      <c r="D22" s="17">
        <f t="shared" si="1"/>
        <v>0.006156160458452722</v>
      </c>
      <c r="E22" s="17"/>
      <c r="F22" s="17">
        <v>11</v>
      </c>
      <c r="G22" s="17">
        <v>0.011</v>
      </c>
      <c r="H22" s="17">
        <v>0.000357</v>
      </c>
      <c r="I22">
        <f t="shared" si="2"/>
        <v>88.0514220304658</v>
      </c>
      <c r="J22">
        <f t="shared" si="3"/>
        <v>63.07408454904427</v>
      </c>
      <c r="L22" s="17"/>
      <c r="M22" s="17"/>
    </row>
    <row r="23" spans="1:10" ht="12.75">
      <c r="A23" s="17">
        <v>0.07</v>
      </c>
      <c r="B23" s="17">
        <f t="shared" si="0"/>
        <v>2.64</v>
      </c>
      <c r="C23" s="17">
        <v>0.01118</v>
      </c>
      <c r="D23" s="17">
        <f t="shared" si="1"/>
        <v>0.008008595988538683</v>
      </c>
      <c r="E23" s="17"/>
      <c r="F23" s="17">
        <v>12</v>
      </c>
      <c r="G23" s="17">
        <v>0.0117</v>
      </c>
      <c r="H23" s="17">
        <v>0.000395</v>
      </c>
      <c r="I23">
        <f t="shared" si="2"/>
        <v>82.67879288962381</v>
      </c>
      <c r="J23">
        <f t="shared" si="3"/>
        <v>59.22549633927207</v>
      </c>
    </row>
    <row r="24" spans="1:13" ht="12.75">
      <c r="A24" s="17">
        <v>0.08</v>
      </c>
      <c r="B24" s="17">
        <f t="shared" si="0"/>
        <v>2.66</v>
      </c>
      <c r="C24" s="17">
        <v>0.01403</v>
      </c>
      <c r="D24" s="17">
        <f t="shared" si="1"/>
        <v>0.010050143266475646</v>
      </c>
      <c r="E24" s="17"/>
      <c r="F24" s="17">
        <v>12.5</v>
      </c>
      <c r="G24" s="17">
        <v>0.012</v>
      </c>
      <c r="H24" s="17">
        <v>0.000413</v>
      </c>
      <c r="I24">
        <f t="shared" si="2"/>
        <v>80.5607024893257</v>
      </c>
      <c r="J24">
        <f t="shared" si="3"/>
        <v>57.708239605534175</v>
      </c>
      <c r="L24" s="17"/>
      <c r="M24" s="17"/>
    </row>
    <row r="25" spans="1:13" ht="12.75">
      <c r="A25" s="17">
        <v>0.09</v>
      </c>
      <c r="B25" s="17">
        <f t="shared" si="0"/>
        <v>2.68</v>
      </c>
      <c r="C25" s="17">
        <v>0.01712</v>
      </c>
      <c r="D25" s="17">
        <f t="shared" si="1"/>
        <v>0.012263610315186246</v>
      </c>
      <c r="E25" s="17"/>
      <c r="F25" s="17">
        <v>13</v>
      </c>
      <c r="G25" s="17">
        <v>0.0123</v>
      </c>
      <c r="H25" s="17">
        <v>0.00043</v>
      </c>
      <c r="I25">
        <f t="shared" si="2"/>
        <v>78.55459544383346</v>
      </c>
      <c r="J25">
        <f t="shared" si="3"/>
        <v>56.27120017466581</v>
      </c>
      <c r="L25" s="17"/>
      <c r="M25" s="17"/>
    </row>
    <row r="26" spans="1:13" ht="12.75">
      <c r="A26" s="17">
        <v>0.1</v>
      </c>
      <c r="B26" s="17">
        <f t="shared" si="0"/>
        <v>2.7</v>
      </c>
      <c r="C26" s="17">
        <v>0.02042</v>
      </c>
      <c r="D26" s="17">
        <f t="shared" si="1"/>
        <v>0.014627507163323783</v>
      </c>
      <c r="E26" s="17"/>
      <c r="F26" s="17">
        <v>14</v>
      </c>
      <c r="G26" s="17">
        <v>0.0129</v>
      </c>
      <c r="H26" s="17">
        <v>0.000464</v>
      </c>
      <c r="I26">
        <f t="shared" si="2"/>
        <v>74.82789583956898</v>
      </c>
      <c r="J26">
        <f t="shared" si="3"/>
        <v>53.60164458421847</v>
      </c>
      <c r="L26" s="17"/>
      <c r="M26" s="17"/>
    </row>
    <row r="27" spans="1:13" ht="12.75">
      <c r="A27" s="17">
        <v>0.125</v>
      </c>
      <c r="B27" s="17">
        <f t="shared" si="0"/>
        <v>2.75</v>
      </c>
      <c r="C27" s="17">
        <v>0.02958</v>
      </c>
      <c r="D27" s="17">
        <f t="shared" si="1"/>
        <v>0.021189111747851003</v>
      </c>
      <c r="E27" s="17"/>
      <c r="F27" s="17">
        <v>15</v>
      </c>
      <c r="G27" s="17">
        <v>0.0134</v>
      </c>
      <c r="H27" s="17">
        <v>0.000497</v>
      </c>
      <c r="I27">
        <f t="shared" si="2"/>
        <v>71.95797654169965</v>
      </c>
      <c r="J27">
        <f t="shared" si="3"/>
        <v>51.54582846826623</v>
      </c>
      <c r="L27" s="17"/>
      <c r="M27" s="17"/>
    </row>
    <row r="28" spans="1:13" ht="12.75">
      <c r="A28" s="17">
        <v>0.15</v>
      </c>
      <c r="B28" s="17">
        <f t="shared" si="0"/>
        <v>2.8</v>
      </c>
      <c r="C28" s="17">
        <v>0.03985</v>
      </c>
      <c r="D28" s="17">
        <f t="shared" si="1"/>
        <v>0.028545845272206303</v>
      </c>
      <c r="E28" s="17"/>
      <c r="F28" s="17">
        <v>16</v>
      </c>
      <c r="G28" s="17">
        <v>0.0139</v>
      </c>
      <c r="H28" s="17">
        <v>0.000527</v>
      </c>
      <c r="I28">
        <f t="shared" si="2"/>
        <v>69.31447979482914</v>
      </c>
      <c r="J28">
        <f t="shared" si="3"/>
        <v>49.6522061567544</v>
      </c>
      <c r="L28" s="17"/>
      <c r="M28" s="17"/>
    </row>
    <row r="29" spans="1:13" ht="12.75">
      <c r="A29" s="17">
        <v>0.175</v>
      </c>
      <c r="B29" s="17">
        <f t="shared" si="0"/>
        <v>2.85</v>
      </c>
      <c r="C29" s="17">
        <v>0.05106</v>
      </c>
      <c r="D29" s="17">
        <f t="shared" si="1"/>
        <v>0.03657593123209169</v>
      </c>
      <c r="E29" s="17"/>
      <c r="F29" s="17">
        <v>17.5</v>
      </c>
      <c r="G29" s="17">
        <v>0.0146</v>
      </c>
      <c r="H29" s="17">
        <v>0.000571</v>
      </c>
      <c r="I29">
        <f t="shared" si="2"/>
        <v>65.91523301034869</v>
      </c>
      <c r="J29">
        <f t="shared" si="3"/>
        <v>47.21721562345895</v>
      </c>
      <c r="L29" s="17"/>
      <c r="M29" s="17"/>
    </row>
    <row r="30" spans="1:13" ht="12.75">
      <c r="A30" s="17">
        <v>0.2</v>
      </c>
      <c r="B30" s="17">
        <f t="shared" si="0"/>
        <v>2.9</v>
      </c>
      <c r="C30" s="17">
        <v>0.06309</v>
      </c>
      <c r="D30" s="17">
        <f t="shared" si="1"/>
        <v>0.04519340974212034</v>
      </c>
      <c r="E30" s="17"/>
      <c r="F30" s="17">
        <v>18</v>
      </c>
      <c r="G30" s="17">
        <v>0.0148</v>
      </c>
      <c r="H30" s="17">
        <v>0.000584</v>
      </c>
      <c r="I30">
        <f t="shared" si="2"/>
        <v>65.00260010400416</v>
      </c>
      <c r="J30">
        <f t="shared" si="3"/>
        <v>46.56346712321215</v>
      </c>
      <c r="L30" s="17"/>
      <c r="M30" s="17"/>
    </row>
    <row r="31" spans="1:13" ht="12.75">
      <c r="A31" s="17">
        <v>0.25</v>
      </c>
      <c r="B31" s="17">
        <f t="shared" si="0"/>
        <v>3</v>
      </c>
      <c r="C31" s="17">
        <v>0.0892</v>
      </c>
      <c r="D31" s="17">
        <f t="shared" si="1"/>
        <v>0.06389684813753582</v>
      </c>
      <c r="E31" s="17"/>
      <c r="F31" s="17">
        <v>20</v>
      </c>
      <c r="G31" s="17">
        <v>0.0156</v>
      </c>
      <c r="H31" s="17">
        <v>0.000636</v>
      </c>
      <c r="I31">
        <f t="shared" si="2"/>
        <v>61.59152500615915</v>
      </c>
      <c r="J31">
        <f t="shared" si="3"/>
        <v>44.12000358607389</v>
      </c>
      <c r="L31" s="17"/>
      <c r="M31" s="17"/>
    </row>
    <row r="32" spans="1:13" ht="12.75">
      <c r="A32" s="17">
        <v>0.3</v>
      </c>
      <c r="B32" s="17">
        <f t="shared" si="0"/>
        <v>3.1</v>
      </c>
      <c r="C32" s="17">
        <v>0.1175</v>
      </c>
      <c r="D32" s="17">
        <f t="shared" si="1"/>
        <v>0.08416905444126074</v>
      </c>
      <c r="E32" s="17"/>
      <c r="F32" s="17">
        <v>22</v>
      </c>
      <c r="G32" s="17">
        <v>0.0164</v>
      </c>
      <c r="H32" s="17">
        <v>0.000684</v>
      </c>
      <c r="I32">
        <f t="shared" si="2"/>
        <v>58.53430110044486</v>
      </c>
      <c r="J32">
        <f t="shared" si="3"/>
        <v>41.93001511493185</v>
      </c>
      <c r="L32" s="17"/>
      <c r="M32" s="17"/>
    </row>
    <row r="33" spans="1:13" ht="12.75">
      <c r="A33" s="17">
        <v>0.35</v>
      </c>
      <c r="B33" s="17">
        <f t="shared" si="0"/>
        <v>3.2</v>
      </c>
      <c r="C33" s="17">
        <v>0.1474</v>
      </c>
      <c r="D33" s="17">
        <f t="shared" si="1"/>
        <v>0.10558739255014328</v>
      </c>
      <c r="E33" s="17"/>
      <c r="F33" s="17">
        <v>24</v>
      </c>
      <c r="G33" s="17">
        <v>0.0171</v>
      </c>
      <c r="H33" s="17">
        <v>0.000728</v>
      </c>
      <c r="I33">
        <f t="shared" si="2"/>
        <v>56.09154139555755</v>
      </c>
      <c r="J33">
        <f t="shared" si="3"/>
        <v>40.1801872461014</v>
      </c>
      <c r="L33" s="17"/>
      <c r="M33" s="17"/>
    </row>
    <row r="34" spans="1:13" ht="12.75">
      <c r="A34" s="17">
        <v>0.4</v>
      </c>
      <c r="B34" s="17">
        <f t="shared" si="0"/>
        <v>3.3</v>
      </c>
      <c r="C34" s="17">
        <v>0.1787</v>
      </c>
      <c r="D34" s="17">
        <f t="shared" si="1"/>
        <v>0.1280085959885387</v>
      </c>
      <c r="E34" s="17"/>
      <c r="F34" s="17">
        <v>25</v>
      </c>
      <c r="G34" s="17">
        <v>0.0174</v>
      </c>
      <c r="H34" s="17">
        <v>0.000749</v>
      </c>
      <c r="I34">
        <f t="shared" si="2"/>
        <v>55.0994545154003</v>
      </c>
      <c r="J34">
        <f t="shared" si="3"/>
        <v>39.46952329183403</v>
      </c>
      <c r="L34" s="17"/>
      <c r="M34" s="17"/>
    </row>
    <row r="35" spans="1:13" ht="12.75">
      <c r="A35" s="17">
        <v>0.45</v>
      </c>
      <c r="B35" s="17">
        <f t="shared" si="0"/>
        <v>3.4</v>
      </c>
      <c r="C35" s="17">
        <v>0.2109</v>
      </c>
      <c r="D35" s="17">
        <f t="shared" si="1"/>
        <v>0.15107449856733526</v>
      </c>
      <c r="E35" s="17"/>
      <c r="F35" s="17">
        <v>26</v>
      </c>
      <c r="G35" s="17">
        <v>0.0177</v>
      </c>
      <c r="H35" s="17">
        <v>0.000769</v>
      </c>
      <c r="I35">
        <f t="shared" si="2"/>
        <v>54.14478315014349</v>
      </c>
      <c r="J35">
        <f t="shared" si="3"/>
        <v>38.78566128233775</v>
      </c>
      <c r="L35" s="17"/>
      <c r="M35" s="17"/>
    </row>
    <row r="36" spans="1:13" ht="12.75">
      <c r="A36" s="17">
        <v>0.5</v>
      </c>
      <c r="B36" s="17">
        <f t="shared" si="0"/>
        <v>3.5</v>
      </c>
      <c r="C36" s="17">
        <v>0.244</v>
      </c>
      <c r="D36" s="17">
        <f t="shared" si="1"/>
        <v>0.17478510028653296</v>
      </c>
      <c r="E36" s="17"/>
      <c r="F36" s="17">
        <v>28</v>
      </c>
      <c r="G36" s="17">
        <v>0.0182</v>
      </c>
      <c r="H36" s="17">
        <v>0.000807</v>
      </c>
      <c r="I36">
        <f t="shared" si="2"/>
        <v>52.6121955069185</v>
      </c>
      <c r="J36">
        <f t="shared" si="3"/>
        <v>37.68781913103045</v>
      </c>
      <c r="L36" s="17"/>
      <c r="M36" s="17"/>
    </row>
    <row r="37" spans="1:13" ht="12.75">
      <c r="A37" s="17">
        <v>0.55</v>
      </c>
      <c r="B37" s="17">
        <f t="shared" si="0"/>
        <v>3.6</v>
      </c>
      <c r="C37" s="17">
        <v>0.2777</v>
      </c>
      <c r="D37" s="17">
        <f t="shared" si="1"/>
        <v>0.19892550143266477</v>
      </c>
      <c r="E37" s="17"/>
      <c r="F37" s="17">
        <v>30</v>
      </c>
      <c r="G37" s="17">
        <v>0.0188</v>
      </c>
      <c r="H37" s="17">
        <v>0.000843</v>
      </c>
      <c r="I37">
        <f t="shared" si="2"/>
        <v>50.908720663849714</v>
      </c>
      <c r="J37">
        <f t="shared" si="3"/>
        <v>36.46756494545109</v>
      </c>
      <c r="L37" s="17"/>
      <c r="M37" s="17"/>
    </row>
    <row r="38" spans="1:13" ht="12.75">
      <c r="A38" s="17">
        <v>0.6</v>
      </c>
      <c r="B38" s="17">
        <f t="shared" si="0"/>
        <v>3.7</v>
      </c>
      <c r="C38" s="17">
        <v>0.3119</v>
      </c>
      <c r="D38" s="17">
        <f t="shared" si="1"/>
        <v>0.22342406876790832</v>
      </c>
      <c r="E38" s="17"/>
      <c r="F38" s="17">
        <v>35</v>
      </c>
      <c r="G38" s="17">
        <v>0.0199</v>
      </c>
      <c r="H38" s="17">
        <v>0.000922</v>
      </c>
      <c r="I38">
        <f t="shared" si="2"/>
        <v>48.02612621265968</v>
      </c>
      <c r="J38">
        <f t="shared" si="3"/>
        <v>34.40266920677628</v>
      </c>
      <c r="L38" s="17"/>
      <c r="M38" s="17"/>
    </row>
    <row r="39" spans="1:13" ht="12.75">
      <c r="A39" s="17">
        <v>0.7</v>
      </c>
      <c r="B39" s="17">
        <f t="shared" si="0"/>
        <v>3.9</v>
      </c>
      <c r="C39" s="17">
        <v>0.3814</v>
      </c>
      <c r="D39" s="17">
        <f t="shared" si="1"/>
        <v>0.2732091690544413</v>
      </c>
      <c r="E39" s="17"/>
      <c r="F39" s="17">
        <v>40</v>
      </c>
      <c r="G39" s="17">
        <v>0.0209</v>
      </c>
      <c r="H39" s="17">
        <v>0.000991</v>
      </c>
      <c r="I39">
        <f t="shared" si="2"/>
        <v>45.68087341829976</v>
      </c>
      <c r="J39">
        <f t="shared" si="3"/>
        <v>32.72268869505714</v>
      </c>
      <c r="L39" s="17"/>
      <c r="M39" s="17"/>
    </row>
    <row r="40" spans="1:13" ht="12.75">
      <c r="A40" s="17">
        <v>0.8</v>
      </c>
      <c r="B40" s="17">
        <f t="shared" si="0"/>
        <v>4.1</v>
      </c>
      <c r="C40" s="17">
        <v>0.4518</v>
      </c>
      <c r="D40" s="17">
        <f t="shared" si="1"/>
        <v>0.32363896848137536</v>
      </c>
      <c r="E40" s="17"/>
      <c r="F40" s="17">
        <v>45</v>
      </c>
      <c r="G40" s="17">
        <v>0.0218</v>
      </c>
      <c r="H40" s="17">
        <v>0.00105</v>
      </c>
      <c r="I40">
        <f t="shared" si="2"/>
        <v>43.7636761487965</v>
      </c>
      <c r="J40">
        <f t="shared" si="3"/>
        <v>31.349338215470272</v>
      </c>
      <c r="L40" s="17"/>
      <c r="M40" s="17"/>
    </row>
    <row r="41" spans="1:13" ht="12.75">
      <c r="A41" s="17">
        <v>0.9</v>
      </c>
      <c r="B41" s="17">
        <f t="shared" si="0"/>
        <v>4.3</v>
      </c>
      <c r="C41" s="17">
        <v>0.5227</v>
      </c>
      <c r="D41" s="17">
        <f t="shared" si="1"/>
        <v>0.3744269340974213</v>
      </c>
      <c r="E41" s="17"/>
      <c r="F41" s="17">
        <v>50</v>
      </c>
      <c r="G41" s="17">
        <v>0.0225</v>
      </c>
      <c r="H41" s="17">
        <v>0.00111</v>
      </c>
      <c r="I41">
        <f t="shared" si="2"/>
        <v>42.35493434985176</v>
      </c>
      <c r="J41">
        <f t="shared" si="3"/>
        <v>30.340210852329342</v>
      </c>
      <c r="L41" s="17"/>
      <c r="M41" s="17"/>
    </row>
    <row r="42" spans="1:13" ht="12.75">
      <c r="A42" s="17">
        <v>1</v>
      </c>
      <c r="B42" s="17">
        <f t="shared" si="0"/>
        <v>4.5</v>
      </c>
      <c r="C42" s="17">
        <v>0.5939</v>
      </c>
      <c r="D42" s="17">
        <f t="shared" si="1"/>
        <v>0.4254297994269341</v>
      </c>
      <c r="E42" s="17"/>
      <c r="F42" s="17">
        <v>55</v>
      </c>
      <c r="G42" s="17">
        <v>0.0232</v>
      </c>
      <c r="H42" s="17">
        <v>0.00115</v>
      </c>
      <c r="I42">
        <f t="shared" si="2"/>
        <v>41.06776180698152</v>
      </c>
      <c r="J42">
        <f t="shared" si="3"/>
        <v>29.41816748351112</v>
      </c>
      <c r="L42" s="17"/>
      <c r="M42" s="17"/>
    </row>
    <row r="43" spans="1:13" ht="12.75">
      <c r="A43" s="17">
        <v>1.25</v>
      </c>
      <c r="B43" s="17">
        <f t="shared" si="0"/>
        <v>5</v>
      </c>
      <c r="C43" s="17">
        <v>0.7718</v>
      </c>
      <c r="D43" s="17">
        <f t="shared" si="1"/>
        <v>0.552865329512894</v>
      </c>
      <c r="E43" s="17"/>
      <c r="F43" s="17">
        <v>60</v>
      </c>
      <c r="G43" s="17">
        <v>0.0238</v>
      </c>
      <c r="H43" s="17">
        <v>0.0012</v>
      </c>
      <c r="I43">
        <f t="shared" si="2"/>
        <v>40</v>
      </c>
      <c r="J43">
        <f t="shared" si="3"/>
        <v>28.65329512893983</v>
      </c>
      <c r="L43" s="17"/>
      <c r="M43" s="17"/>
    </row>
    <row r="44" spans="1:13" ht="12.75">
      <c r="A44" s="17">
        <v>1.5</v>
      </c>
      <c r="B44" s="17">
        <f t="shared" si="0"/>
        <v>5.5</v>
      </c>
      <c r="C44" s="17">
        <v>0.9483</v>
      </c>
      <c r="D44" s="17">
        <f t="shared" si="1"/>
        <v>0.679297994269341</v>
      </c>
      <c r="E44" s="17"/>
      <c r="F44" s="17">
        <v>70</v>
      </c>
      <c r="G44" s="17">
        <v>0.0248</v>
      </c>
      <c r="H44" s="17">
        <v>0.00127</v>
      </c>
      <c r="I44">
        <f t="shared" si="2"/>
        <v>38.358266206367475</v>
      </c>
      <c r="J44">
        <f t="shared" si="3"/>
        <v>27.477268056137163</v>
      </c>
      <c r="L44" s="17"/>
      <c r="M44" s="17"/>
    </row>
    <row r="45" spans="1:13" ht="12.75">
      <c r="A45" s="17">
        <v>1.75</v>
      </c>
      <c r="B45" s="17">
        <f t="shared" si="0"/>
        <v>6</v>
      </c>
      <c r="C45" s="17">
        <v>1.123</v>
      </c>
      <c r="D45" s="17">
        <f t="shared" si="1"/>
        <v>0.8044412607449857</v>
      </c>
      <c r="E45" s="17"/>
      <c r="F45" s="17">
        <v>80</v>
      </c>
      <c r="G45" s="17">
        <v>0.0257</v>
      </c>
      <c r="H45" s="17">
        <v>0.00134</v>
      </c>
      <c r="I45">
        <f t="shared" si="2"/>
        <v>36.98224852071006</v>
      </c>
      <c r="J45">
        <f t="shared" si="3"/>
        <v>26.491582034892595</v>
      </c>
      <c r="L45" s="17"/>
      <c r="M45" s="17"/>
    </row>
    <row r="46" spans="1:13" ht="12.75">
      <c r="A46" s="17">
        <v>2</v>
      </c>
      <c r="B46" s="17">
        <f t="shared" si="0"/>
        <v>6.5</v>
      </c>
      <c r="C46" s="17">
        <v>1.295</v>
      </c>
      <c r="D46" s="17">
        <f t="shared" si="1"/>
        <v>0.9276504297994269</v>
      </c>
      <c r="E46" s="17"/>
      <c r="F46" s="17">
        <v>90</v>
      </c>
      <c r="G46" s="17">
        <v>0.0264</v>
      </c>
      <c r="H46" s="17">
        <v>0.00139</v>
      </c>
      <c r="I46">
        <f t="shared" si="2"/>
        <v>35.98416696653473</v>
      </c>
      <c r="J46">
        <f t="shared" si="3"/>
        <v>25.776623901529177</v>
      </c>
      <c r="L46" s="17"/>
      <c r="M46" s="17"/>
    </row>
    <row r="47" spans="1:13" ht="12.75">
      <c r="A47" s="17">
        <v>2.5</v>
      </c>
      <c r="B47" s="17">
        <f t="shared" si="0"/>
        <v>7.5</v>
      </c>
      <c r="C47" s="17">
        <v>1.632</v>
      </c>
      <c r="D47" s="17">
        <f t="shared" si="1"/>
        <v>1.169054441260745</v>
      </c>
      <c r="E47" s="17"/>
      <c r="F47" s="17">
        <v>100</v>
      </c>
      <c r="G47" s="17">
        <v>0.027</v>
      </c>
      <c r="H47" s="17">
        <v>0.00144</v>
      </c>
      <c r="I47">
        <f t="shared" si="2"/>
        <v>35.16174402250352</v>
      </c>
      <c r="J47">
        <f t="shared" si="3"/>
        <v>25.18749571812573</v>
      </c>
      <c r="L47" s="17"/>
      <c r="M47" s="17"/>
    </row>
    <row r="48" spans="1:13" ht="12.75">
      <c r="A48" s="17">
        <v>3</v>
      </c>
      <c r="B48" s="17">
        <f t="shared" si="0"/>
        <v>8.5</v>
      </c>
      <c r="C48" s="17">
        <v>1.959</v>
      </c>
      <c r="D48" s="17">
        <f t="shared" si="1"/>
        <v>1.4032951289398283</v>
      </c>
      <c r="E48" s="17"/>
      <c r="F48" s="17">
        <v>125</v>
      </c>
      <c r="G48" s="17">
        <v>0.0282</v>
      </c>
      <c r="H48" s="17">
        <v>0.00154</v>
      </c>
      <c r="I48">
        <f t="shared" si="2"/>
        <v>33.62474781439139</v>
      </c>
      <c r="J48">
        <f t="shared" si="3"/>
        <v>24.086495569048274</v>
      </c>
      <c r="L48" s="17"/>
      <c r="M48" s="17"/>
    </row>
    <row r="49" spans="1:13" ht="12.75">
      <c r="A49" s="17">
        <v>3.5</v>
      </c>
      <c r="B49" s="17">
        <f t="shared" si="0"/>
        <v>9.5</v>
      </c>
      <c r="C49" s="17">
        <v>2.278</v>
      </c>
      <c r="D49" s="17">
        <f t="shared" si="1"/>
        <v>1.6318051575931234</v>
      </c>
      <c r="E49" s="17"/>
      <c r="F49" s="17">
        <v>150</v>
      </c>
      <c r="G49" s="17">
        <v>0.0292</v>
      </c>
      <c r="H49" s="17">
        <v>0.00162</v>
      </c>
      <c r="I49">
        <f t="shared" si="2"/>
        <v>32.44646333549643</v>
      </c>
      <c r="J49">
        <f t="shared" si="3"/>
        <v>23.242452246057617</v>
      </c>
      <c r="L49" s="17"/>
      <c r="M49" s="17"/>
    </row>
    <row r="50" spans="1:13" ht="12.75">
      <c r="A50" s="17">
        <v>4</v>
      </c>
      <c r="B50" s="17">
        <f t="shared" si="0"/>
        <v>10.5</v>
      </c>
      <c r="C50" s="17">
        <v>2.589</v>
      </c>
      <c r="D50" s="17">
        <f t="shared" si="1"/>
        <v>1.8545845272206305</v>
      </c>
      <c r="E50" s="17"/>
      <c r="F50" s="17">
        <v>175</v>
      </c>
      <c r="G50" s="17">
        <v>0.0299</v>
      </c>
      <c r="H50" s="17">
        <v>0.00168</v>
      </c>
      <c r="I50">
        <f t="shared" si="2"/>
        <v>31.665611146295127</v>
      </c>
      <c r="J50">
        <f t="shared" si="3"/>
        <v>22.683102540326026</v>
      </c>
      <c r="L50" s="17"/>
      <c r="M50" s="17"/>
    </row>
    <row r="51" spans="1:13" ht="12.75">
      <c r="A51" s="17">
        <v>4.5</v>
      </c>
      <c r="B51" s="17">
        <f t="shared" si="0"/>
        <v>11.5</v>
      </c>
      <c r="C51" s="17">
        <v>2.892</v>
      </c>
      <c r="D51" s="17">
        <f t="shared" si="1"/>
        <v>2.0716332378223496</v>
      </c>
      <c r="E51" s="17"/>
      <c r="F51" s="17">
        <v>200</v>
      </c>
      <c r="G51" s="17">
        <v>0.0305</v>
      </c>
      <c r="H51" s="17">
        <v>0.00173</v>
      </c>
      <c r="I51">
        <f t="shared" si="2"/>
        <v>31.026993484331367</v>
      </c>
      <c r="J51">
        <f t="shared" si="3"/>
        <v>22.225640031755994</v>
      </c>
      <c r="L51" s="17"/>
      <c r="M51" s="17"/>
    </row>
    <row r="52" spans="1:13" ht="12.75">
      <c r="A52" s="17">
        <v>5</v>
      </c>
      <c r="B52" s="17">
        <f t="shared" si="0"/>
        <v>12.5</v>
      </c>
      <c r="C52" s="17">
        <v>3.189</v>
      </c>
      <c r="D52" s="17">
        <f t="shared" si="1"/>
        <v>2.284383954154728</v>
      </c>
      <c r="E52" s="17"/>
      <c r="F52" s="17">
        <v>250</v>
      </c>
      <c r="G52" s="17">
        <v>0.0314</v>
      </c>
      <c r="H52" s="17">
        <v>0.00182</v>
      </c>
      <c r="I52">
        <f t="shared" si="2"/>
        <v>30.102347983142685</v>
      </c>
      <c r="J52">
        <f t="shared" si="3"/>
        <v>21.56328652087585</v>
      </c>
      <c r="L52" s="17"/>
      <c r="M52" s="17"/>
    </row>
    <row r="53" spans="1:13" ht="12.75">
      <c r="A53" s="17">
        <v>5.5</v>
      </c>
      <c r="B53" s="17">
        <f t="shared" si="0"/>
        <v>13.5</v>
      </c>
      <c r="C53" s="17">
        <v>3.479</v>
      </c>
      <c r="D53" s="17">
        <f t="shared" si="1"/>
        <v>2.4921203438395416</v>
      </c>
      <c r="E53" s="17"/>
      <c r="F53" s="17">
        <v>300</v>
      </c>
      <c r="G53" s="17">
        <v>0.0321</v>
      </c>
      <c r="H53" s="17">
        <v>0.00188</v>
      </c>
      <c r="I53">
        <f t="shared" si="2"/>
        <v>29.429075927015894</v>
      </c>
      <c r="J53">
        <f t="shared" si="3"/>
        <v>21.080999947719125</v>
      </c>
      <c r="L53" s="17"/>
      <c r="M53" s="17"/>
    </row>
    <row r="54" spans="1:13" ht="12.75">
      <c r="A54" s="17">
        <v>6</v>
      </c>
      <c r="B54" s="17">
        <f t="shared" si="0"/>
        <v>14.5</v>
      </c>
      <c r="C54" s="17">
        <v>3.763</v>
      </c>
      <c r="D54" s="17">
        <f t="shared" si="1"/>
        <v>2.695558739255014</v>
      </c>
      <c r="E54" s="17"/>
      <c r="F54" s="17">
        <v>350</v>
      </c>
      <c r="G54" s="17">
        <v>0.0326</v>
      </c>
      <c r="H54" s="17">
        <v>0.00192</v>
      </c>
      <c r="I54">
        <f t="shared" si="2"/>
        <v>28.968713789107767</v>
      </c>
      <c r="J54">
        <f t="shared" si="3"/>
        <v>20.75122764262734</v>
      </c>
      <c r="L54" s="17"/>
      <c r="M54" s="17"/>
    </row>
    <row r="55" spans="1:13" ht="12.75">
      <c r="A55" s="17">
        <v>7</v>
      </c>
      <c r="B55" s="17">
        <f t="shared" si="0"/>
        <v>16.5</v>
      </c>
      <c r="C55" s="17">
        <v>4.315</v>
      </c>
      <c r="D55" s="17">
        <f t="shared" si="1"/>
        <v>3.0909742120343844</v>
      </c>
      <c r="E55" s="17"/>
      <c r="F55" s="17">
        <v>400</v>
      </c>
      <c r="G55" s="17">
        <v>0.033</v>
      </c>
      <c r="H55" s="17">
        <v>0.00196</v>
      </c>
      <c r="I55">
        <f t="shared" si="2"/>
        <v>28.604118993135007</v>
      </c>
      <c r="J55">
        <f t="shared" si="3"/>
        <v>20.490056585340263</v>
      </c>
      <c r="L55" s="17"/>
      <c r="M55" s="17"/>
    </row>
    <row r="56" spans="1:13" ht="12.75">
      <c r="A56" s="17">
        <v>8</v>
      </c>
      <c r="B56" s="17">
        <f t="shared" si="0"/>
        <v>18.5</v>
      </c>
      <c r="C56" s="17">
        <v>4.848</v>
      </c>
      <c r="D56" s="17">
        <f t="shared" si="1"/>
        <v>3.4727793696275073</v>
      </c>
      <c r="E56" s="17"/>
      <c r="F56" s="17">
        <v>450</v>
      </c>
      <c r="G56" s="17">
        <v>0.0333</v>
      </c>
      <c r="H56" s="17">
        <v>0.002</v>
      </c>
      <c r="I56">
        <f t="shared" si="2"/>
        <v>28.328611898016995</v>
      </c>
      <c r="J56">
        <f t="shared" si="3"/>
        <v>20.29270193267693</v>
      </c>
      <c r="L56" s="17"/>
      <c r="M56" s="17"/>
    </row>
    <row r="57" spans="1:13" ht="12.75">
      <c r="A57" s="17">
        <v>9</v>
      </c>
      <c r="B57" s="17">
        <f t="shared" si="0"/>
        <v>20.5</v>
      </c>
      <c r="C57" s="17">
        <v>5.363</v>
      </c>
      <c r="D57" s="17">
        <f t="shared" si="1"/>
        <v>3.841690544412608</v>
      </c>
      <c r="E57" s="17"/>
      <c r="F57" s="17">
        <v>500</v>
      </c>
      <c r="G57" s="17">
        <v>0.0336</v>
      </c>
      <c r="H57" s="17">
        <v>0.00202</v>
      </c>
      <c r="I57">
        <f t="shared" si="2"/>
        <v>28.07411566535654</v>
      </c>
      <c r="J57">
        <f t="shared" si="3"/>
        <v>20.11039804108635</v>
      </c>
      <c r="L57" s="17"/>
      <c r="M57" s="17"/>
    </row>
    <row r="58" spans="1:13" ht="12.75">
      <c r="A58" s="17">
        <v>10</v>
      </c>
      <c r="B58" s="17">
        <f t="shared" si="0"/>
        <v>22.5</v>
      </c>
      <c r="C58" s="17">
        <v>5.861</v>
      </c>
      <c r="D58" s="17">
        <f t="shared" si="1"/>
        <v>4.198424068767909</v>
      </c>
      <c r="E58" s="17"/>
      <c r="F58" s="17">
        <v>550</v>
      </c>
      <c r="G58" s="17">
        <v>0.0339</v>
      </c>
      <c r="H58" s="17">
        <v>0.00205</v>
      </c>
      <c r="I58">
        <f t="shared" si="2"/>
        <v>27.816411682892905</v>
      </c>
      <c r="J58">
        <f t="shared" si="3"/>
        <v>19.925796334450506</v>
      </c>
      <c r="L58" s="17"/>
      <c r="M58" s="17"/>
    </row>
    <row r="59" spans="1:13" ht="12.75">
      <c r="A59" s="17">
        <v>12.5</v>
      </c>
      <c r="B59" s="17">
        <f t="shared" si="0"/>
        <v>27.5</v>
      </c>
      <c r="C59" s="17">
        <v>7.045</v>
      </c>
      <c r="D59" s="17">
        <f t="shared" si="1"/>
        <v>5.046561604584528</v>
      </c>
      <c r="E59" s="17"/>
      <c r="F59" s="17">
        <v>600</v>
      </c>
      <c r="G59" s="17">
        <v>0.0341</v>
      </c>
      <c r="H59" s="17">
        <v>0.00207</v>
      </c>
      <c r="I59">
        <f t="shared" si="2"/>
        <v>27.647221454243848</v>
      </c>
      <c r="J59">
        <f t="shared" si="3"/>
        <v>19.80459989559015</v>
      </c>
      <c r="L59" s="17"/>
      <c r="M59" s="17"/>
    </row>
    <row r="60" spans="1:13" ht="12.75">
      <c r="A60" s="17">
        <v>15</v>
      </c>
      <c r="B60" s="17">
        <f t="shared" si="0"/>
        <v>32.5</v>
      </c>
      <c r="C60" s="17">
        <v>8.151</v>
      </c>
      <c r="D60" s="17">
        <f t="shared" si="1"/>
        <v>5.838825214899714</v>
      </c>
      <c r="E60" s="17"/>
      <c r="F60" s="17">
        <v>700</v>
      </c>
      <c r="G60" s="17">
        <v>0.0344</v>
      </c>
      <c r="H60" s="17">
        <v>0.0021</v>
      </c>
      <c r="I60">
        <f t="shared" si="2"/>
        <v>27.397260273972606</v>
      </c>
      <c r="J60">
        <f t="shared" si="3"/>
        <v>19.6255446088629</v>
      </c>
      <c r="L60" s="17"/>
      <c r="M60" s="17"/>
    </row>
    <row r="61" spans="1:13" ht="12.75">
      <c r="A61" s="17">
        <v>17.5</v>
      </c>
      <c r="B61" s="17">
        <f t="shared" si="0"/>
        <v>37.5</v>
      </c>
      <c r="C61" s="17">
        <v>9.192</v>
      </c>
      <c r="D61" s="17">
        <f t="shared" si="1"/>
        <v>6.584527220630373</v>
      </c>
      <c r="E61" s="17"/>
      <c r="F61" s="17">
        <v>800</v>
      </c>
      <c r="G61" s="17">
        <v>0.0346</v>
      </c>
      <c r="H61" s="17">
        <v>0.00213</v>
      </c>
      <c r="I61">
        <f t="shared" si="2"/>
        <v>27.225701061802344</v>
      </c>
      <c r="J61">
        <f t="shared" si="3"/>
        <v>19.502651190402826</v>
      </c>
      <c r="L61" s="17"/>
      <c r="M61" s="17"/>
    </row>
    <row r="62" spans="1:13" ht="12.75">
      <c r="A62" s="17">
        <v>20</v>
      </c>
      <c r="B62" s="17">
        <f t="shared" si="0"/>
        <v>42.5</v>
      </c>
      <c r="C62" s="17">
        <v>10.18</v>
      </c>
      <c r="D62" s="17">
        <f t="shared" si="1"/>
        <v>7.292263610315186</v>
      </c>
      <c r="E62" s="17"/>
      <c r="F62" s="17">
        <v>900</v>
      </c>
      <c r="G62" s="17">
        <v>0.0348</v>
      </c>
      <c r="H62" s="17">
        <v>0.00215</v>
      </c>
      <c r="I62">
        <f t="shared" si="2"/>
        <v>27.063599458728014</v>
      </c>
      <c r="J62">
        <f t="shared" si="3"/>
        <v>19.38653256355875</v>
      </c>
      <c r="L62" s="17"/>
      <c r="M62" s="17"/>
    </row>
    <row r="63" spans="1:13" ht="12.75">
      <c r="A63" s="17">
        <v>25</v>
      </c>
      <c r="B63" s="17">
        <f t="shared" si="0"/>
        <v>52.5</v>
      </c>
      <c r="C63" s="17">
        <v>12</v>
      </c>
      <c r="D63" s="17">
        <f t="shared" si="1"/>
        <v>8.595988538681949</v>
      </c>
      <c r="E63" s="17"/>
      <c r="F63" s="17">
        <v>1000</v>
      </c>
      <c r="G63" s="17">
        <v>0.035</v>
      </c>
      <c r="H63" s="17">
        <v>0.00217</v>
      </c>
      <c r="I63">
        <f t="shared" si="2"/>
        <v>26.90341673392521</v>
      </c>
      <c r="J63">
        <f t="shared" si="3"/>
        <v>19.27178849135044</v>
      </c>
      <c r="L63" s="17"/>
      <c r="M63" s="17"/>
    </row>
    <row r="64" spans="1:13" ht="12.75">
      <c r="A64" s="17">
        <v>30</v>
      </c>
      <c r="B64" s="17">
        <f t="shared" si="0"/>
        <v>62.5</v>
      </c>
      <c r="C64" s="17">
        <v>13.65</v>
      </c>
      <c r="D64" s="17">
        <f t="shared" si="1"/>
        <v>9.777936962750717</v>
      </c>
      <c r="E64" s="17"/>
      <c r="F64" s="17">
        <v>1500</v>
      </c>
      <c r="G64" s="17">
        <v>0.0356</v>
      </c>
      <c r="H64" s="17">
        <v>0.00223</v>
      </c>
      <c r="I64">
        <f t="shared" si="2"/>
        <v>26.434047052603752</v>
      </c>
      <c r="J64">
        <f t="shared" si="3"/>
        <v>18.935563791263434</v>
      </c>
      <c r="L64" s="17"/>
      <c r="M64" s="17"/>
    </row>
    <row r="65" spans="1:13" ht="12.75">
      <c r="A65" s="17">
        <v>35</v>
      </c>
      <c r="B65" s="17">
        <f t="shared" si="0"/>
        <v>72.5</v>
      </c>
      <c r="C65" s="17">
        <v>15.18</v>
      </c>
      <c r="D65" s="17">
        <f t="shared" si="1"/>
        <v>10.873925501432666</v>
      </c>
      <c r="E65" s="17"/>
      <c r="F65" s="17">
        <v>2000</v>
      </c>
      <c r="G65" s="17">
        <v>0.0359</v>
      </c>
      <c r="H65" s="17">
        <v>0.00227</v>
      </c>
      <c r="I65">
        <f t="shared" si="2"/>
        <v>26.19858527639507</v>
      </c>
      <c r="J65">
        <f t="shared" si="3"/>
        <v>18.76689489713114</v>
      </c>
      <c r="L65" s="17"/>
      <c r="M65" s="17"/>
    </row>
    <row r="66" spans="1:13" ht="12.75">
      <c r="A66" s="17">
        <v>40</v>
      </c>
      <c r="B66" s="17">
        <f t="shared" si="0"/>
        <v>82.5</v>
      </c>
      <c r="C66" s="17">
        <v>16.59</v>
      </c>
      <c r="D66" s="17">
        <f t="shared" si="1"/>
        <v>11.883954154727794</v>
      </c>
      <c r="E66" s="17"/>
      <c r="F66" s="17">
        <v>3000</v>
      </c>
      <c r="G66" s="17">
        <v>0.0362</v>
      </c>
      <c r="H66" s="17">
        <v>0.0023</v>
      </c>
      <c r="I66">
        <f t="shared" si="2"/>
        <v>25.97402597402597</v>
      </c>
      <c r="J66">
        <f t="shared" si="3"/>
        <v>18.606035798012876</v>
      </c>
      <c r="L66" s="17"/>
      <c r="M66" s="17"/>
    </row>
    <row r="67" spans="1:13" ht="12.75">
      <c r="A67" s="17">
        <v>45</v>
      </c>
      <c r="B67" s="17">
        <f t="shared" si="0"/>
        <v>92.5</v>
      </c>
      <c r="C67" s="17">
        <v>17.9</v>
      </c>
      <c r="D67" s="17">
        <f t="shared" si="1"/>
        <v>12.822349570200572</v>
      </c>
      <c r="E67" s="17"/>
      <c r="F67" s="17">
        <v>4000</v>
      </c>
      <c r="G67" s="17">
        <v>0.0364</v>
      </c>
      <c r="H67" s="17">
        <v>0.00233</v>
      </c>
      <c r="I67">
        <f t="shared" si="2"/>
        <v>25.819777949909632</v>
      </c>
      <c r="J67">
        <f t="shared" si="3"/>
        <v>18.49554294406134</v>
      </c>
      <c r="L67" s="17"/>
      <c r="M67" s="17"/>
    </row>
    <row r="68" spans="1:13" ht="12.75">
      <c r="A68" s="17">
        <v>50</v>
      </c>
      <c r="B68" s="17">
        <f t="shared" si="0"/>
        <v>102.5</v>
      </c>
      <c r="C68" s="17">
        <v>19.13</v>
      </c>
      <c r="D68" s="17">
        <f t="shared" si="1"/>
        <v>13.703438395415473</v>
      </c>
      <c r="E68" s="17"/>
      <c r="F68" s="17">
        <v>5000</v>
      </c>
      <c r="G68" s="17">
        <v>0.0365</v>
      </c>
      <c r="H68" s="17">
        <v>0.00234</v>
      </c>
      <c r="I68">
        <f t="shared" si="2"/>
        <v>25.746652935118433</v>
      </c>
      <c r="J68">
        <f t="shared" si="3"/>
        <v>18.443161128308336</v>
      </c>
      <c r="L68" s="17"/>
      <c r="M68" s="17"/>
    </row>
    <row r="69" spans="1:13" ht="12.75">
      <c r="A69" s="17">
        <v>55</v>
      </c>
      <c r="B69" s="17">
        <f t="shared" si="0"/>
        <v>112.5</v>
      </c>
      <c r="C69" s="17">
        <v>20.29</v>
      </c>
      <c r="D69" s="17">
        <f t="shared" si="1"/>
        <v>14.534383954154729</v>
      </c>
      <c r="E69" s="17"/>
      <c r="F69" s="17">
        <v>6000</v>
      </c>
      <c r="G69" s="17">
        <v>0.0366</v>
      </c>
      <c r="H69" s="17">
        <v>0.00235</v>
      </c>
      <c r="I69">
        <f t="shared" si="2"/>
        <v>25.673940949935815</v>
      </c>
      <c r="J69">
        <f t="shared" si="3"/>
        <v>18.391075179037117</v>
      </c>
      <c r="L69" s="17"/>
      <c r="M69" s="17"/>
    </row>
    <row r="70" spans="1:13" ht="12.75">
      <c r="A70" s="17">
        <v>60</v>
      </c>
      <c r="B70" s="17">
        <f t="shared" si="0"/>
        <v>122.5</v>
      </c>
      <c r="C70" s="17">
        <v>21.39</v>
      </c>
      <c r="D70" s="17">
        <f t="shared" si="1"/>
        <v>15.322349570200574</v>
      </c>
      <c r="E70" s="17"/>
      <c r="F70" s="17">
        <v>8000</v>
      </c>
      <c r="G70" s="17">
        <v>0.0367</v>
      </c>
      <c r="H70" s="17">
        <v>0.00236</v>
      </c>
      <c r="I70">
        <f t="shared" si="2"/>
        <v>25.601638504864308</v>
      </c>
      <c r="J70">
        <f t="shared" si="3"/>
        <v>18.33928259660767</v>
      </c>
      <c r="L70" s="17"/>
      <c r="M70" s="17"/>
    </row>
    <row r="71" spans="1:13" ht="12.75">
      <c r="A71" s="17">
        <v>70</v>
      </c>
      <c r="B71" s="17">
        <f t="shared" si="0"/>
        <v>142.5</v>
      </c>
      <c r="C71" s="17">
        <v>23.41</v>
      </c>
      <c r="D71" s="17">
        <f t="shared" si="1"/>
        <v>16.769340974212035</v>
      </c>
      <c r="E71" s="17"/>
      <c r="F71" s="17">
        <v>10000</v>
      </c>
      <c r="G71" s="17">
        <v>0.0367</v>
      </c>
      <c r="H71" s="17">
        <v>0.00237</v>
      </c>
      <c r="I71">
        <f t="shared" si="2"/>
        <v>25.59508574353724</v>
      </c>
      <c r="J71">
        <f t="shared" si="3"/>
        <v>18.33458864150232</v>
      </c>
      <c r="L71" s="17"/>
      <c r="M71" s="17"/>
    </row>
    <row r="72" spans="1:13" ht="12.75">
      <c r="A72" s="17">
        <v>80</v>
      </c>
      <c r="B72" s="17">
        <f t="shared" si="0"/>
        <v>162.5</v>
      </c>
      <c r="C72" s="17">
        <v>25.25</v>
      </c>
      <c r="D72" s="17">
        <f t="shared" si="1"/>
        <v>18.087392550143267</v>
      </c>
      <c r="E72" s="17"/>
      <c r="F72" s="17">
        <v>15000</v>
      </c>
      <c r="G72" s="17">
        <v>0.0368</v>
      </c>
      <c r="H72" s="17">
        <v>0.00238</v>
      </c>
      <c r="I72">
        <f t="shared" si="2"/>
        <v>25.523226135783563</v>
      </c>
      <c r="J72">
        <f t="shared" si="3"/>
        <v>18.283113277781922</v>
      </c>
      <c r="L72" s="17"/>
      <c r="M72" s="17"/>
    </row>
    <row r="73" spans="1:13" ht="12.75">
      <c r="A73" s="17">
        <v>90</v>
      </c>
      <c r="B73" s="17">
        <f t="shared" si="0"/>
        <v>182.5</v>
      </c>
      <c r="C73" s="17">
        <v>26.92</v>
      </c>
      <c r="D73" s="17">
        <f t="shared" si="1"/>
        <v>19.283667621776505</v>
      </c>
      <c r="E73" s="17"/>
      <c r="F73" s="17">
        <v>20000</v>
      </c>
      <c r="G73" s="17">
        <v>0.0369</v>
      </c>
      <c r="H73" s="17">
        <v>0.00239</v>
      </c>
      <c r="I73">
        <f t="shared" si="2"/>
        <v>25.451768897938404</v>
      </c>
      <c r="J73">
        <f t="shared" si="3"/>
        <v>18.23192614465502</v>
      </c>
      <c r="L73" s="17"/>
      <c r="M73" s="17"/>
    </row>
    <row r="74" spans="1:13" ht="12.75">
      <c r="A74" s="17">
        <v>100</v>
      </c>
      <c r="B74" s="17">
        <f t="shared" si="0"/>
        <v>202.5</v>
      </c>
      <c r="C74" s="17">
        <v>28.47</v>
      </c>
      <c r="D74" s="17">
        <f t="shared" si="1"/>
        <v>20.393982808022923</v>
      </c>
      <c r="E74" s="17"/>
      <c r="F74" s="17">
        <v>30000</v>
      </c>
      <c r="G74" s="17">
        <v>0.0369</v>
      </c>
      <c r="H74" s="17">
        <v>0.0024</v>
      </c>
      <c r="I74">
        <f t="shared" si="2"/>
        <v>25.44529262086514</v>
      </c>
      <c r="J74">
        <f t="shared" si="3"/>
        <v>18.22728697769709</v>
      </c>
      <c r="L74" s="17"/>
      <c r="M74" s="17"/>
    </row>
    <row r="75" spans="1:13" ht="12.75">
      <c r="A75" s="17">
        <v>125</v>
      </c>
      <c r="B75" s="17">
        <f aca="true" t="shared" si="4" ref="B75:B90">A75*2+$F$10</f>
        <v>252.5</v>
      </c>
      <c r="C75" s="17">
        <v>31.88</v>
      </c>
      <c r="D75" s="17">
        <f aca="true" t="shared" si="5" ref="D75:D90">C75/1.396</f>
        <v>22.836676217765042</v>
      </c>
      <c r="E75" s="17"/>
      <c r="F75" s="17">
        <v>40000</v>
      </c>
      <c r="G75" s="17">
        <v>0.037</v>
      </c>
      <c r="H75" s="17">
        <v>0.0024</v>
      </c>
      <c r="I75">
        <f>(G75+H75)^-1</f>
        <v>25.38071065989848</v>
      </c>
      <c r="J75">
        <f>I75/1.396</f>
        <v>18.18102482800751</v>
      </c>
      <c r="L75" s="17"/>
      <c r="M75" s="17"/>
    </row>
    <row r="76" spans="1:13" ht="12.75">
      <c r="A76" s="17">
        <v>150</v>
      </c>
      <c r="B76" s="17">
        <f t="shared" si="4"/>
        <v>302.5</v>
      </c>
      <c r="C76" s="17">
        <v>34.79</v>
      </c>
      <c r="D76" s="17">
        <f t="shared" si="5"/>
        <v>24.921203438395416</v>
      </c>
      <c r="E76" s="17"/>
      <c r="F76" s="17">
        <v>50000</v>
      </c>
      <c r="G76" s="17">
        <v>0.037</v>
      </c>
      <c r="H76" s="17">
        <v>0.0024</v>
      </c>
      <c r="I76">
        <f>(G76+H76)^-1</f>
        <v>25.38071065989848</v>
      </c>
      <c r="J76">
        <f>I76/1.396</f>
        <v>18.18102482800751</v>
      </c>
      <c r="L76" s="17"/>
      <c r="M76" s="17"/>
    </row>
    <row r="77" spans="1:13" ht="12.75">
      <c r="A77" s="17">
        <v>175</v>
      </c>
      <c r="B77" s="17">
        <f t="shared" si="4"/>
        <v>352.5</v>
      </c>
      <c r="C77" s="17">
        <v>37.32</v>
      </c>
      <c r="D77" s="17">
        <f t="shared" si="5"/>
        <v>26.73352435530086</v>
      </c>
      <c r="E77" s="17"/>
      <c r="F77" s="17">
        <v>60000</v>
      </c>
      <c r="G77" s="17">
        <v>0.037</v>
      </c>
      <c r="H77" s="17">
        <v>0.0024</v>
      </c>
      <c r="I77">
        <f>(G77+H77)^-1</f>
        <v>25.38071065989848</v>
      </c>
      <c r="J77">
        <f>I77/1.396</f>
        <v>18.18102482800751</v>
      </c>
      <c r="L77" s="17"/>
      <c r="M77" s="17"/>
    </row>
    <row r="78" spans="1:13" ht="12.75">
      <c r="A78" s="17">
        <v>200</v>
      </c>
      <c r="B78" s="17">
        <f t="shared" si="4"/>
        <v>402.5</v>
      </c>
      <c r="C78" s="17">
        <v>39.57</v>
      </c>
      <c r="D78" s="17">
        <f t="shared" si="5"/>
        <v>28.345272206303726</v>
      </c>
      <c r="E78" s="17"/>
      <c r="F78" s="17">
        <v>80000</v>
      </c>
      <c r="G78" s="17">
        <v>0.037</v>
      </c>
      <c r="H78" s="17">
        <v>0.0024</v>
      </c>
      <c r="I78">
        <f>(G78+H78)^-1</f>
        <v>25.38071065989848</v>
      </c>
      <c r="J78">
        <f>I78/1.396</f>
        <v>18.18102482800751</v>
      </c>
      <c r="L78" s="17"/>
      <c r="M78" s="17"/>
    </row>
    <row r="79" spans="1:13" ht="12.75">
      <c r="A79" s="17">
        <v>250</v>
      </c>
      <c r="B79" s="17">
        <f t="shared" si="4"/>
        <v>502.5</v>
      </c>
      <c r="C79" s="17">
        <v>43.41</v>
      </c>
      <c r="D79" s="17">
        <f t="shared" si="5"/>
        <v>31.095988538681947</v>
      </c>
      <c r="E79" s="17"/>
      <c r="F79" s="17">
        <v>100000</v>
      </c>
      <c r="G79" s="17">
        <v>0.037</v>
      </c>
      <c r="H79" s="17">
        <v>0.00241</v>
      </c>
      <c r="I79">
        <f>(G79+H79)^-1</f>
        <v>25.37427048972342</v>
      </c>
      <c r="J79">
        <f>I79/1.396</f>
        <v>18.17641152558984</v>
      </c>
      <c r="L79" s="17"/>
      <c r="M79" s="17"/>
    </row>
    <row r="80" spans="1:13" ht="12.75">
      <c r="A80" s="17">
        <v>300</v>
      </c>
      <c r="B80" s="17">
        <f t="shared" si="4"/>
        <v>602.5</v>
      </c>
      <c r="C80" s="17">
        <v>46.63</v>
      </c>
      <c r="D80" s="17">
        <f t="shared" si="5"/>
        <v>33.402578796561606</v>
      </c>
      <c r="E80" s="17"/>
      <c r="I80" s="17"/>
      <c r="L80" s="17"/>
      <c r="M80" s="17"/>
    </row>
    <row r="81" spans="1:13" ht="12.75">
      <c r="A81" s="17">
        <v>350</v>
      </c>
      <c r="B81" s="17">
        <f t="shared" si="4"/>
        <v>702.5</v>
      </c>
      <c r="C81" s="17">
        <v>49.4</v>
      </c>
      <c r="D81" s="17">
        <f t="shared" si="5"/>
        <v>35.38681948424069</v>
      </c>
      <c r="E81" s="17"/>
      <c r="I81" s="17"/>
      <c r="L81" s="17"/>
      <c r="M81" s="17"/>
    </row>
    <row r="82" spans="1:13" ht="12.75">
      <c r="A82" s="17">
        <v>400</v>
      </c>
      <c r="B82" s="17">
        <f t="shared" si="4"/>
        <v>802.5</v>
      </c>
      <c r="C82" s="17">
        <v>51.82</v>
      </c>
      <c r="D82" s="17">
        <f t="shared" si="5"/>
        <v>37.12034383954155</v>
      </c>
      <c r="E82" s="17"/>
      <c r="I82" s="17"/>
      <c r="L82" s="17"/>
      <c r="M82" s="17"/>
    </row>
    <row r="83" spans="1:13" ht="12.75">
      <c r="A83" s="17">
        <v>450</v>
      </c>
      <c r="B83" s="17">
        <f t="shared" si="4"/>
        <v>902.5</v>
      </c>
      <c r="C83" s="17">
        <v>53.98</v>
      </c>
      <c r="D83" s="17">
        <f t="shared" si="5"/>
        <v>38.6676217765043</v>
      </c>
      <c r="E83" s="17"/>
      <c r="I83" s="17"/>
      <c r="L83" s="17"/>
      <c r="M83" s="17"/>
    </row>
    <row r="84" spans="1:13" ht="12.75">
      <c r="A84" s="17">
        <v>500</v>
      </c>
      <c r="B84" s="17">
        <f t="shared" si="4"/>
        <v>1002.5</v>
      </c>
      <c r="C84" s="17">
        <v>55.92</v>
      </c>
      <c r="D84" s="17">
        <f t="shared" si="5"/>
        <v>40.05730659025788</v>
      </c>
      <c r="E84" s="17"/>
      <c r="I84" s="17"/>
      <c r="L84" s="17"/>
      <c r="M84" s="17"/>
    </row>
    <row r="85" spans="1:13" ht="12.75">
      <c r="A85" s="17">
        <v>550</v>
      </c>
      <c r="B85" s="17">
        <f t="shared" si="4"/>
        <v>1102.5</v>
      </c>
      <c r="C85" s="17">
        <v>57.69</v>
      </c>
      <c r="D85" s="17">
        <f t="shared" si="5"/>
        <v>41.325214899713465</v>
      </c>
      <c r="E85" s="17"/>
      <c r="I85" s="17"/>
      <c r="L85" s="17"/>
      <c r="M85" s="17"/>
    </row>
    <row r="86" spans="1:13" ht="12.75">
      <c r="A86" s="17">
        <v>600</v>
      </c>
      <c r="B86" s="17">
        <f t="shared" si="4"/>
        <v>1202.5</v>
      </c>
      <c r="C86" s="17">
        <v>59.32</v>
      </c>
      <c r="D86" s="17">
        <f t="shared" si="5"/>
        <v>42.49283667621777</v>
      </c>
      <c r="E86" s="17"/>
      <c r="I86" s="17"/>
      <c r="L86" s="17"/>
      <c r="M86" s="17"/>
    </row>
    <row r="87" spans="1:13" ht="12.75">
      <c r="A87" s="17">
        <v>700</v>
      </c>
      <c r="B87" s="17">
        <f t="shared" si="4"/>
        <v>1402.5</v>
      </c>
      <c r="C87" s="17">
        <v>62.21</v>
      </c>
      <c r="D87" s="17">
        <f t="shared" si="5"/>
        <v>44.563037249283674</v>
      </c>
      <c r="E87" s="17"/>
      <c r="I87" s="17"/>
      <c r="L87" s="17"/>
      <c r="M87" s="17"/>
    </row>
    <row r="88" spans="1:13" ht="12.75">
      <c r="A88" s="17">
        <v>800</v>
      </c>
      <c r="B88" s="17">
        <f t="shared" si="4"/>
        <v>1602.5</v>
      </c>
      <c r="C88" s="17">
        <v>64.73</v>
      </c>
      <c r="D88" s="17">
        <f t="shared" si="5"/>
        <v>46.36819484240688</v>
      </c>
      <c r="E88" s="17"/>
      <c r="I88" s="17"/>
      <c r="L88" s="17"/>
      <c r="M88" s="17"/>
    </row>
    <row r="89" spans="1:13" ht="12.75">
      <c r="A89" s="17">
        <v>900</v>
      </c>
      <c r="B89" s="17">
        <f t="shared" si="4"/>
        <v>1802.5</v>
      </c>
      <c r="C89" s="17">
        <v>66.96</v>
      </c>
      <c r="D89" s="17">
        <f t="shared" si="5"/>
        <v>47.96561604584527</v>
      </c>
      <c r="E89" s="17"/>
      <c r="I89" s="17"/>
      <c r="L89" s="17"/>
      <c r="M89" s="17"/>
    </row>
    <row r="90" spans="1:13" ht="12.75">
      <c r="A90" s="17">
        <v>1000</v>
      </c>
      <c r="B90" s="17">
        <f t="shared" si="4"/>
        <v>2002.5</v>
      </c>
      <c r="C90" s="17">
        <v>68.97</v>
      </c>
      <c r="D90" s="17">
        <f t="shared" si="5"/>
        <v>49.4054441260745</v>
      </c>
      <c r="E90" s="17"/>
      <c r="I90" s="17"/>
      <c r="L90" s="17"/>
      <c r="M90" s="17"/>
    </row>
    <row r="91" spans="9:13" ht="12.75">
      <c r="I91" s="17"/>
      <c r="L91" s="17"/>
      <c r="M91" s="17"/>
    </row>
    <row r="92" spans="9:13" ht="12.75">
      <c r="I92" s="17"/>
      <c r="L92" s="17"/>
      <c r="M92" s="17"/>
    </row>
    <row r="93" spans="9:13" ht="12.75">
      <c r="I93" s="17"/>
      <c r="L93" s="17"/>
      <c r="M93" s="17"/>
    </row>
    <row r="94" spans="9:13" ht="12.75">
      <c r="I94" s="17"/>
      <c r="L94" s="17"/>
      <c r="M94" s="17"/>
    </row>
    <row r="95" spans="9:13" ht="12.75">
      <c r="I95" s="17"/>
      <c r="L95" s="17"/>
      <c r="M95" s="17"/>
    </row>
    <row r="96" spans="9:13" ht="12.75">
      <c r="I96" s="17"/>
      <c r="L96" s="17"/>
      <c r="M96" s="17"/>
    </row>
    <row r="97" spans="9:13" ht="12.75">
      <c r="I97" s="17"/>
      <c r="L97" s="17"/>
      <c r="M97" s="17"/>
    </row>
    <row r="98" spans="9:13" ht="12.75">
      <c r="I98" s="17"/>
      <c r="L98" s="17"/>
      <c r="M98" s="17"/>
    </row>
    <row r="99" spans="9:13" ht="12.75">
      <c r="I99" s="17"/>
      <c r="L99" s="17"/>
      <c r="M99" s="17"/>
    </row>
    <row r="100" spans="9:13" ht="12.75">
      <c r="I100" s="17"/>
      <c r="L100" s="17"/>
      <c r="M100" s="17"/>
    </row>
    <row r="101" spans="9:13" ht="12.75">
      <c r="I101" s="17"/>
      <c r="L101" s="17"/>
      <c r="M101" s="17"/>
    </row>
    <row r="102" spans="9:13" ht="12.75">
      <c r="I102" s="17"/>
      <c r="L102" s="17"/>
      <c r="M102" s="17"/>
    </row>
    <row r="103" spans="9:13" ht="12.75">
      <c r="I103" s="17"/>
      <c r="L103" s="17"/>
      <c r="M103" s="17"/>
    </row>
    <row r="104" spans="9:13" ht="12.75">
      <c r="I104" s="17"/>
      <c r="L104" s="17"/>
      <c r="M104" s="17"/>
    </row>
    <row r="105" spans="9:13" ht="12.75">
      <c r="I105" s="17"/>
      <c r="L105" s="17"/>
      <c r="M105" s="17"/>
    </row>
    <row r="106" spans="9:13" ht="12.75">
      <c r="I106" s="17"/>
      <c r="L106" s="17"/>
      <c r="M106" s="17"/>
    </row>
    <row r="107" spans="9:13" ht="12.75">
      <c r="I107" s="17"/>
      <c r="L107" s="17"/>
      <c r="M107" s="17"/>
    </row>
    <row r="108" spans="9:13" ht="12.75">
      <c r="I108" s="17"/>
      <c r="L108" s="17"/>
      <c r="M108" s="17"/>
    </row>
    <row r="109" spans="9:13" ht="12.75">
      <c r="I109" s="17"/>
      <c r="L109" s="17"/>
      <c r="M109" s="17"/>
    </row>
    <row r="110" spans="9:13" ht="12.75">
      <c r="I110" s="17"/>
      <c r="L110" s="17"/>
      <c r="M110" s="17"/>
    </row>
    <row r="111" spans="9:13" ht="12.75">
      <c r="I111" s="17"/>
      <c r="L111" s="17"/>
      <c r="M111" s="17"/>
    </row>
    <row r="112" spans="9:13" ht="12.75">
      <c r="I112" s="17"/>
      <c r="L112" s="17"/>
      <c r="M112" s="17"/>
    </row>
    <row r="113" spans="9:13" ht="12.75">
      <c r="I113" s="17"/>
      <c r="L113" s="17"/>
      <c r="M113" s="17"/>
    </row>
    <row r="114" spans="9:13" ht="12.75">
      <c r="I114" s="17"/>
      <c r="L114" s="17"/>
      <c r="M114" s="17"/>
    </row>
    <row r="115" spans="9:13" ht="12.75">
      <c r="I115" s="17"/>
      <c r="L115" s="17"/>
      <c r="M115" s="17"/>
    </row>
    <row r="116" spans="9:13" ht="12.75">
      <c r="I116" s="17"/>
      <c r="L116" s="17"/>
      <c r="M116" s="17"/>
    </row>
  </sheetData>
  <mergeCells count="2">
    <mergeCell ref="F5:J5"/>
    <mergeCell ref="A5:D5"/>
  </mergeCells>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dimension ref="A1:G11"/>
  <sheetViews>
    <sheetView tabSelected="1" workbookViewId="0" topLeftCell="A1">
      <selection activeCell="G6" sqref="G6"/>
    </sheetView>
  </sheetViews>
  <sheetFormatPr defaultColWidth="9.140625" defaultRowHeight="12.75"/>
  <cols>
    <col min="1" max="1" width="8.00390625" style="13" customWidth="1"/>
    <col min="2" max="2" width="1.57421875" style="13" bestFit="1" customWidth="1"/>
    <col min="3" max="3" width="5.8515625" style="13" customWidth="1"/>
    <col min="4" max="7" width="15.7109375" style="13" customWidth="1"/>
    <col min="8" max="16384" width="9.140625" style="13" customWidth="1"/>
  </cols>
  <sheetData>
    <row r="1" spans="1:6" ht="25.5">
      <c r="A1" s="58" t="s">
        <v>29</v>
      </c>
      <c r="B1" s="58"/>
      <c r="C1" s="58"/>
      <c r="D1" s="58"/>
      <c r="E1" s="58"/>
      <c r="F1" s="58"/>
    </row>
    <row r="2" spans="1:7" ht="13.5" customHeight="1">
      <c r="A2" s="57" t="s">
        <v>99</v>
      </c>
      <c r="B2" s="57"/>
      <c r="C2" s="57"/>
      <c r="D2" s="59" t="s">
        <v>98</v>
      </c>
      <c r="E2" s="59"/>
      <c r="F2" s="59" t="s">
        <v>102</v>
      </c>
      <c r="G2" s="59"/>
    </row>
    <row r="3" spans="1:7" ht="13.5" customHeight="1">
      <c r="A3" s="57"/>
      <c r="B3" s="57"/>
      <c r="C3" s="57"/>
      <c r="D3" s="36" t="s">
        <v>10</v>
      </c>
      <c r="E3" s="36" t="s">
        <v>4</v>
      </c>
      <c r="F3" s="36" t="s">
        <v>10</v>
      </c>
      <c r="G3" s="36" t="s">
        <v>4</v>
      </c>
    </row>
    <row r="4" spans="1:7" ht="13.5" customHeight="1">
      <c r="A4" s="36">
        <v>7</v>
      </c>
      <c r="B4" s="36" t="s">
        <v>100</v>
      </c>
      <c r="C4" s="36">
        <v>60</v>
      </c>
      <c r="D4" s="37">
        <f>Electrons!R18</f>
        <v>0.04165752361104668</v>
      </c>
      <c r="E4" s="37">
        <f aca="true" t="shared" si="0" ref="E4:E9">D4*1.5</f>
        <v>0.06248628541657002</v>
      </c>
      <c r="F4" s="38">
        <f>'e -dE'!H20*0.01</f>
        <v>0.8094793533873464</v>
      </c>
      <c r="G4" s="38">
        <f>'photon -dE'!M20</f>
        <v>0.18386354677194447</v>
      </c>
    </row>
    <row r="5" spans="1:7" ht="13.5" customHeight="1">
      <c r="A5" s="36">
        <v>2.5</v>
      </c>
      <c r="B5" s="36" t="s">
        <v>100</v>
      </c>
      <c r="C5" s="36">
        <v>60</v>
      </c>
      <c r="D5" s="38">
        <f>Electrons!R16</f>
        <v>0.2131633811775857</v>
      </c>
      <c r="E5" s="38">
        <f t="shared" si="0"/>
        <v>0.31974507176637856</v>
      </c>
      <c r="F5" s="38">
        <f>'e -dE'!H18*0.01</f>
        <v>0.6589748723448534</v>
      </c>
      <c r="G5" s="38">
        <f>'photon -dE'!M18</f>
        <v>0.18659348221502886</v>
      </c>
    </row>
    <row r="6" spans="1:7" ht="13.5" customHeight="1">
      <c r="A6" s="36">
        <v>1.2</v>
      </c>
      <c r="B6" s="36" t="s">
        <v>100</v>
      </c>
      <c r="C6" s="36">
        <v>60</v>
      </c>
      <c r="D6" s="38">
        <f>Electrons!R14</f>
        <v>0.6208412393275556</v>
      </c>
      <c r="E6" s="38">
        <f t="shared" si="0"/>
        <v>0.9312618589913335</v>
      </c>
      <c r="F6" s="38">
        <f>'e -dE'!H16*0.01</f>
        <v>0.5553058518595</v>
      </c>
      <c r="G6" s="38">
        <f>'photon -dE'!M16</f>
        <v>0.19102196752626555</v>
      </c>
    </row>
    <row r="7" spans="1:7" ht="13.5" customHeight="1">
      <c r="A7" s="36">
        <v>0.3</v>
      </c>
      <c r="B7" s="36" t="s">
        <v>100</v>
      </c>
      <c r="C7" s="36">
        <v>60</v>
      </c>
      <c r="D7" s="39">
        <f>Electrons!R12</f>
        <v>1.6226859976795112</v>
      </c>
      <c r="E7" s="39">
        <f t="shared" si="0"/>
        <v>2.4340289965192667</v>
      </c>
      <c r="F7" s="38">
        <f>'e -dE'!H14*0.01</f>
        <v>0.4594353307984028</v>
      </c>
      <c r="G7" s="38">
        <f>'photon -dE'!M14</f>
        <v>0.1980459989559015</v>
      </c>
    </row>
    <row r="8" spans="1:7" ht="13.5" customHeight="1">
      <c r="A8" s="36">
        <v>0.6</v>
      </c>
      <c r="B8" s="36" t="s">
        <v>100</v>
      </c>
      <c r="C8" s="36">
        <v>60</v>
      </c>
      <c r="D8" s="39">
        <f>Electrons!R10</f>
        <v>3.2455677376741536</v>
      </c>
      <c r="E8" s="39">
        <f t="shared" si="0"/>
        <v>4.86835160651123</v>
      </c>
      <c r="F8" s="38">
        <f>'e -dE'!H12*0.01</f>
        <v>0.36694255931514874</v>
      </c>
      <c r="G8" s="38">
        <f>'photon -dE'!M12</f>
        <v>0.21080999947719123</v>
      </c>
    </row>
    <row r="9" spans="1:7" ht="13.5" customHeight="1">
      <c r="A9" s="36">
        <v>0.17</v>
      </c>
      <c r="B9" s="36" t="s">
        <v>100</v>
      </c>
      <c r="C9" s="36">
        <v>60</v>
      </c>
      <c r="D9" s="39">
        <f>Electrons!R8</f>
        <v>5.38093844819342</v>
      </c>
      <c r="E9" s="39">
        <f t="shared" si="0"/>
        <v>8.07140767229013</v>
      </c>
      <c r="F9" s="38">
        <f>'e -dE'!H10*0.01</f>
        <v>0.29601228423858506</v>
      </c>
      <c r="G9" s="38">
        <f>'photon -dE'!M10</f>
        <v>0.2276238888539866</v>
      </c>
    </row>
    <row r="10" spans="1:7" ht="13.5" customHeight="1">
      <c r="A10" s="36">
        <v>0.09</v>
      </c>
      <c r="B10" s="36" t="s">
        <v>100</v>
      </c>
      <c r="C10" s="36">
        <v>60</v>
      </c>
      <c r="D10" s="40">
        <f>Electrons!R6+3</f>
        <v>12.153426703444124</v>
      </c>
      <c r="E10" s="40">
        <f>D10*1.5+5</f>
        <v>23.230140055166185</v>
      </c>
      <c r="F10" s="38">
        <f>'e -dE'!H8*0.01</f>
        <v>0.22387514555493407</v>
      </c>
      <c r="G10" s="38">
        <f>'photon -dE'!M8</f>
        <v>0.2577662390152917</v>
      </c>
    </row>
    <row r="11" spans="1:7" ht="13.5" customHeight="1">
      <c r="A11" s="36">
        <v>0.02</v>
      </c>
      <c r="B11" s="36" t="s">
        <v>100</v>
      </c>
      <c r="C11" s="36">
        <v>60</v>
      </c>
      <c r="D11" s="40">
        <f>Electrons!R4</f>
        <v>34.77787522967532</v>
      </c>
      <c r="E11" s="40">
        <f>D11*1.5+1</f>
        <v>53.166812844512975</v>
      </c>
      <c r="F11" s="38">
        <f>'e -dE'!H6*0.01</f>
        <v>0.0960429215936874</v>
      </c>
      <c r="G11" s="38">
        <f>'photon -dE'!M6</f>
        <v>0.44120003586073886</v>
      </c>
    </row>
  </sheetData>
  <mergeCells count="4">
    <mergeCell ref="A2:C3"/>
    <mergeCell ref="A1:F1"/>
    <mergeCell ref="D2:E2"/>
    <mergeCell ref="F2:G2"/>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Gerstle</dc:creator>
  <cp:keywords/>
  <dc:description/>
  <cp:lastModifiedBy>David Gerstle</cp:lastModifiedBy>
  <cp:lastPrinted>2006-06-23T21:19:50Z</cp:lastPrinted>
  <dcterms:created xsi:type="dcterms:W3CDTF">2006-06-19T17:56:41Z</dcterms:created>
  <dcterms:modified xsi:type="dcterms:W3CDTF">2006-07-27T19:44:55Z</dcterms:modified>
  <cp:category/>
  <cp:version/>
  <cp:contentType/>
  <cp:contentStatus/>
</cp:coreProperties>
</file>