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890" windowHeight="6150" tabRatio="599" firstSheet="1" activeTab="4"/>
  </bookViews>
  <sheets>
    <sheet name="TABLE I-1" sheetId="1" r:id="rId1"/>
    <sheet name="TABLE I-2" sheetId="2" r:id="rId2"/>
    <sheet name="TABLE I-3" sheetId="3" r:id="rId3"/>
    <sheet name="Table I-4" sheetId="4" r:id="rId4"/>
    <sheet name="TABLE I-5" sheetId="5" r:id="rId5"/>
    <sheet name="TABLE I-6" sheetId="6" r:id="rId6"/>
    <sheet name="TABLE I-7" sheetId="7" r:id="rId7"/>
    <sheet name="TABLE I-8" sheetId="8" r:id="rId8"/>
    <sheet name="Table I-9" sheetId="9" r:id="rId9"/>
    <sheet name="TABLE I-10" sheetId="10" r:id="rId10"/>
  </sheets>
  <definedNames/>
  <calcPr fullCalcOnLoad="1"/>
</workbook>
</file>

<file path=xl/sharedStrings.xml><?xml version="1.0" encoding="utf-8"?>
<sst xmlns="http://schemas.openxmlformats.org/spreadsheetml/2006/main" count="459" uniqueCount="207">
  <si>
    <t>TABLE I-1</t>
  </si>
  <si>
    <t>HISTORICAL</t>
  </si>
  <si>
    <t>FORECAST</t>
  </si>
  <si>
    <t>PERCENT AVERAGE ANNUAL GROWTH</t>
  </si>
  <si>
    <t>ECONOMIC VARIABLE</t>
  </si>
  <si>
    <t>Gross Domestic Product--</t>
  </si>
  <si>
    <t>Consumer Price Index</t>
  </si>
  <si>
    <t xml:space="preserve">     (1982-84 = 100)</t>
  </si>
  <si>
    <t>Gross Domestic Product</t>
  </si>
  <si>
    <t xml:space="preserve">  World</t>
  </si>
  <si>
    <t xml:space="preserve">  Canada</t>
  </si>
  <si>
    <t xml:space="preserve">  Europe*</t>
  </si>
  <si>
    <t xml:space="preserve">  Latin America/Mexico</t>
  </si>
  <si>
    <t xml:space="preserve">  Pacific**</t>
  </si>
  <si>
    <t>(U.S.$/Local Currency)</t>
  </si>
  <si>
    <t xml:space="preserve">  United Kingdom</t>
  </si>
  <si>
    <t xml:space="preserve">  Japan***</t>
  </si>
  <si>
    <t>*  Sum of GDP for Europe, Africa, and Middle East</t>
  </si>
  <si>
    <t>** Sum of GDP for Japan, Pacific Basin, China, Other Asia, Australia, and New Zealand</t>
  </si>
  <si>
    <t>*** U.S.$ per 1,000 Yen</t>
  </si>
  <si>
    <t>TABLE I-2</t>
  </si>
  <si>
    <t>AVIATION ACTIVITY FORECASTS</t>
  </si>
  <si>
    <t>AVIATION ACTIVITY</t>
  </si>
  <si>
    <r>
      <t xml:space="preserve">  </t>
    </r>
    <r>
      <rPr>
        <u val="single"/>
        <sz val="9"/>
        <rFont val="Arial"/>
        <family val="2"/>
      </rPr>
      <t>Total Passengers to/from</t>
    </r>
  </si>
  <si>
    <r>
      <t xml:space="preserve">     </t>
    </r>
    <r>
      <rPr>
        <u val="single"/>
        <sz val="9"/>
        <rFont val="Arial"/>
        <family val="2"/>
      </rPr>
      <t>United States (Millions)</t>
    </r>
  </si>
  <si>
    <t xml:space="preserve">        Atlantic</t>
  </si>
  <si>
    <t xml:space="preserve">        Latin America</t>
  </si>
  <si>
    <t xml:space="preserve">        Pacific</t>
  </si>
  <si>
    <t xml:space="preserve">        Canadian Transborder</t>
  </si>
  <si>
    <t>U.S. Air Carriers</t>
  </si>
  <si>
    <r>
      <t xml:space="preserve">  </t>
    </r>
    <r>
      <rPr>
        <u val="single"/>
        <sz val="9"/>
        <rFont val="Arial"/>
        <family val="2"/>
      </rPr>
      <t>Enplanements (Millions)</t>
    </r>
  </si>
  <si>
    <t xml:space="preserve">     Domestic</t>
  </si>
  <si>
    <t xml:space="preserve">     International</t>
  </si>
  <si>
    <t xml:space="preserve">     System</t>
  </si>
  <si>
    <r>
      <t xml:space="preserve">  </t>
    </r>
    <r>
      <rPr>
        <u val="single"/>
        <sz val="9"/>
        <rFont val="Arial"/>
        <family val="2"/>
      </rPr>
      <t>RPMs (Billions)</t>
    </r>
  </si>
  <si>
    <t>TABLE I-3</t>
  </si>
  <si>
    <t>REGIONAL/COMMUTERS</t>
  </si>
  <si>
    <t>GENERAL AVIATION</t>
  </si>
  <si>
    <t xml:space="preserve">      Pistons</t>
  </si>
  <si>
    <t xml:space="preserve">      Rotorcraft</t>
  </si>
  <si>
    <t xml:space="preserve">  Total Active Pilots (000)</t>
  </si>
  <si>
    <t xml:space="preserve">  Instrument Rated Pilots (000)</t>
  </si>
  <si>
    <t>TABLE I-4</t>
  </si>
  <si>
    <t>COMBINED FAA AND CONTRACT TOWERS</t>
  </si>
  <si>
    <t>ACTIVITY MEASURES</t>
  </si>
  <si>
    <t>(In Millions)</t>
  </si>
  <si>
    <t>NUMBER OF TOWERS</t>
  </si>
  <si>
    <t xml:space="preserve">  FAA Towers</t>
  </si>
  <si>
    <t xml:space="preserve">  FAA Contract Towers</t>
  </si>
  <si>
    <t xml:space="preserve">      TOTAL</t>
  </si>
  <si>
    <t>AIRCRAFT OPERATIONS</t>
  </si>
  <si>
    <t xml:space="preserve">  Air Carrier</t>
  </si>
  <si>
    <t xml:space="preserve">  Commuter/Air Taxi</t>
  </si>
  <si>
    <t xml:space="preserve">  General Aviation</t>
  </si>
  <si>
    <t xml:space="preserve">       Itinerant GA</t>
  </si>
  <si>
    <t xml:space="preserve">       Local GA</t>
  </si>
  <si>
    <t xml:space="preserve">  Military</t>
  </si>
  <si>
    <t xml:space="preserve">       Itinerant MIL</t>
  </si>
  <si>
    <t xml:space="preserve">       Local MIL</t>
  </si>
  <si>
    <t xml:space="preserve">     TOTAL</t>
  </si>
  <si>
    <t>INSTRUMENT OPERATIONS</t>
  </si>
  <si>
    <t>TABLE I-5</t>
  </si>
  <si>
    <t>FAA FACILITIES</t>
  </si>
  <si>
    <t>IFR AIRCRAFT HANDLED</t>
  </si>
  <si>
    <t>FLIGHT SERVICES</t>
  </si>
  <si>
    <t xml:space="preserve">  Pilot Briefs</t>
  </si>
  <si>
    <t xml:space="preserve">  Flight Plans Originated </t>
  </si>
  <si>
    <t xml:space="preserve">  Aircraft Contacted</t>
  </si>
  <si>
    <t xml:space="preserve">  DUATS</t>
  </si>
  <si>
    <t xml:space="preserve">      TOTAL (w/DUATS)</t>
  </si>
  <si>
    <t xml:space="preserve">     Passenger</t>
  </si>
  <si>
    <t>AVIATION DEMAND FORECASTS</t>
  </si>
  <si>
    <t xml:space="preserve">       Jets</t>
  </si>
  <si>
    <t>* Includes both passenger (excluding regional jets) and cargo aircraft.</t>
  </si>
  <si>
    <t>AVIATION FORECAST ASSUMPTIONS</t>
  </si>
  <si>
    <r>
      <t xml:space="preserve">  </t>
    </r>
    <r>
      <rPr>
        <u val="single"/>
        <sz val="9"/>
        <rFont val="Arial"/>
        <family val="2"/>
      </rPr>
      <t>Passenger Yields (Cents/RPM)</t>
    </r>
  </si>
  <si>
    <t>TABLE I-6</t>
  </si>
  <si>
    <t xml:space="preserve">      (In Current Dollars)</t>
  </si>
  <si>
    <t>PERCENT/POINT* AVERAGE ANNUAL GROWTH</t>
  </si>
  <si>
    <t xml:space="preserve">ECONOMIC FORECASTS </t>
  </si>
  <si>
    <t xml:space="preserve">UNITED STATES AND WORLD </t>
  </si>
  <si>
    <t>AVIATION DEMAND FORECASTS AND ASSUMPTIONS</t>
  </si>
  <si>
    <t>REGIONALS/COMMUTERS</t>
  </si>
  <si>
    <t>TABLE I-7</t>
  </si>
  <si>
    <t xml:space="preserve">      Turbine</t>
  </si>
  <si>
    <t xml:space="preserve">         Turboprops</t>
  </si>
  <si>
    <t xml:space="preserve">         Turbojets</t>
  </si>
  <si>
    <t xml:space="preserve">      Other</t>
  </si>
  <si>
    <t xml:space="preserve">      Experimental</t>
  </si>
  <si>
    <t xml:space="preserve">         Single Engine</t>
  </si>
  <si>
    <t xml:space="preserve">         Multi-Engine</t>
  </si>
  <si>
    <t>* Passenger Yield, annual percent change; all other series, annual absolute change.</t>
  </si>
  <si>
    <t xml:space="preserve">  Euro</t>
  </si>
  <si>
    <t>NA</t>
  </si>
  <si>
    <r>
      <t xml:space="preserve">  </t>
    </r>
    <r>
      <rPr>
        <u val="single"/>
        <sz val="9"/>
        <rFont val="Arial"/>
        <family val="2"/>
      </rPr>
      <t>Average Trip Length (Miles)</t>
    </r>
  </si>
  <si>
    <r>
      <t xml:space="preserve">  </t>
    </r>
    <r>
      <rPr>
        <u val="single"/>
        <sz val="9"/>
        <rFont val="Arial"/>
        <family val="2"/>
      </rPr>
      <t>Average Load Factor (Percent)</t>
    </r>
  </si>
  <si>
    <t xml:space="preserve">   Domestic</t>
  </si>
  <si>
    <t xml:space="preserve">   International</t>
  </si>
  <si>
    <t xml:space="preserve">   System</t>
  </si>
  <si>
    <t>TABLE I-8</t>
  </si>
  <si>
    <t>Total Cargo RTMs (Millions)</t>
  </si>
  <si>
    <t>03-04</t>
  </si>
  <si>
    <t>FAA AVIATION  FORECASTS</t>
  </si>
  <si>
    <t>TABLE I-9</t>
  </si>
  <si>
    <t>SELECTED AVIATION DEMAND MEASURES</t>
  </si>
  <si>
    <t>SELECTED FORECASTS</t>
  </si>
  <si>
    <t>U.S. Economy</t>
  </si>
  <si>
    <t xml:space="preserve">  Domestic</t>
  </si>
  <si>
    <t xml:space="preserve">  International</t>
  </si>
  <si>
    <t xml:space="preserve">  System</t>
  </si>
  <si>
    <t xml:space="preserve">  Commercial</t>
  </si>
  <si>
    <t xml:space="preserve">  Non-Commercial </t>
  </si>
  <si>
    <t xml:space="preserve">      Domestic</t>
  </si>
  <si>
    <t xml:space="preserve">      International</t>
  </si>
  <si>
    <t xml:space="preserve">  Total Aircraft Handled</t>
  </si>
  <si>
    <t>IFR Aircraft Handled (Mil)</t>
  </si>
  <si>
    <t>(In Billions of  U.S. 2000$)</t>
  </si>
  <si>
    <t xml:space="preserve">    System</t>
  </si>
  <si>
    <t xml:space="preserve">    Domestic</t>
  </si>
  <si>
    <t xml:space="preserve">    International  </t>
  </si>
  <si>
    <t xml:space="preserve">      Sport Aircraft</t>
  </si>
  <si>
    <t xml:space="preserve">      System</t>
  </si>
  <si>
    <t xml:space="preserve">       Turboprops/Pistons</t>
  </si>
  <si>
    <t xml:space="preserve">       Total</t>
  </si>
  <si>
    <t>U. S./Foreign Flag Carriers 1/</t>
  </si>
  <si>
    <r>
      <t xml:space="preserve">  </t>
    </r>
    <r>
      <rPr>
        <u val="single"/>
        <sz val="9"/>
        <rFont val="Arial"/>
        <family val="2"/>
      </rPr>
      <t>Fleet (Large Jets Only) 1/</t>
    </r>
  </si>
  <si>
    <t xml:space="preserve">  Hours Flown (Millions)* 1/</t>
  </si>
  <si>
    <t>1/  Historical and forecast on a calendar year basis</t>
  </si>
  <si>
    <r>
      <t xml:space="preserve"> </t>
    </r>
    <r>
      <rPr>
        <u val="single"/>
        <sz val="9"/>
        <rFont val="Arial"/>
        <family val="2"/>
      </rPr>
      <t xml:space="preserve"> Fleet (As of December 31) 1/   </t>
    </r>
  </si>
  <si>
    <t>1/ Historical and forecast data on a calendar year basis</t>
  </si>
  <si>
    <t>Cargo Aircraft 1/</t>
  </si>
  <si>
    <t xml:space="preserve">  Block to Block Hours (000) 1/</t>
  </si>
  <si>
    <t>04-05</t>
  </si>
  <si>
    <t>TABLE I-10</t>
  </si>
  <si>
    <t>TOTAL U.S. COMMERCIAL CARRIERS 1/</t>
  </si>
  <si>
    <t xml:space="preserve">      Regionals/Commuters</t>
  </si>
  <si>
    <t xml:space="preserve">Total U.S. Commercial </t>
  </si>
  <si>
    <t>Total U.S. Commercial</t>
  </si>
  <si>
    <t xml:space="preserve">  ASMs (Billions)</t>
  </si>
  <si>
    <t>Total RTMs--Passenger Airlines</t>
  </si>
  <si>
    <t>% RTMs--Passenger Airlines</t>
  </si>
  <si>
    <t>Total RTMs--All-Cargo Airlines</t>
  </si>
  <si>
    <t>% RTMs--All-Cargo Airlines</t>
  </si>
  <si>
    <t>Enplanements (Mil)</t>
  </si>
  <si>
    <t xml:space="preserve"> RPMs (Bil)</t>
  </si>
  <si>
    <t>Air Cargo RTMs (Bil)</t>
  </si>
  <si>
    <r>
      <t xml:space="preserve">  </t>
    </r>
    <r>
      <rPr>
        <u val="single"/>
        <sz val="9"/>
        <rFont val="Arial"/>
        <family val="2"/>
      </rPr>
      <t>Total Active Fleet</t>
    </r>
    <r>
      <rPr>
        <sz val="9"/>
        <rFont val="Arial"/>
        <family val="2"/>
      </rPr>
      <t xml:space="preserve"> (000)</t>
    </r>
  </si>
  <si>
    <r>
      <t xml:space="preserve">  </t>
    </r>
    <r>
      <rPr>
        <u val="single"/>
        <sz val="9"/>
        <rFont val="Arial"/>
        <family val="2"/>
      </rPr>
      <t>Total Hours Flown</t>
    </r>
    <r>
      <rPr>
        <sz val="9"/>
        <rFont val="Arial"/>
        <family val="2"/>
      </rPr>
      <t xml:space="preserve"> (Mil) </t>
    </r>
  </si>
  <si>
    <t xml:space="preserve">  Total less Sport Aircraft (000)</t>
  </si>
  <si>
    <t xml:space="preserve">  Total less Sport Aircraft (Mil)</t>
  </si>
  <si>
    <r>
      <t xml:space="preserve">  </t>
    </r>
    <r>
      <rPr>
        <u val="single"/>
        <sz val="9"/>
        <rFont val="Arial"/>
        <family val="2"/>
      </rPr>
      <t>Total Aircraft Utilization</t>
    </r>
    <r>
      <rPr>
        <sz val="9"/>
        <rFont val="Arial"/>
        <family val="2"/>
      </rPr>
      <t xml:space="preserve"> (Hrs)</t>
    </r>
    <r>
      <rPr>
        <u val="single"/>
        <sz val="9"/>
        <rFont val="Arial"/>
        <family val="2"/>
      </rPr>
      <t xml:space="preserve"> </t>
    </r>
  </si>
  <si>
    <t xml:space="preserve">  Total less Sport Aircraft (Hrs)</t>
  </si>
  <si>
    <t xml:space="preserve">      Total less Sport Pilots (000)</t>
  </si>
  <si>
    <t>* Enplanements, RPMs, Fleet, and Hours Flown: annual percent change; all other series, annual absolute change.</t>
  </si>
  <si>
    <t>FISCAL YEARS 2005-2016</t>
  </si>
  <si>
    <t>05-06</t>
  </si>
  <si>
    <t>04-16</t>
  </si>
  <si>
    <t>Chain Weighted (BIL 2000$)</t>
  </si>
  <si>
    <t>CALENDAR YEARS 2005-2016</t>
  </si>
  <si>
    <t>CALENDAR YEAR 2005-2016</t>
  </si>
  <si>
    <t xml:space="preserve">              2005-2016; FAA Forecasts</t>
  </si>
  <si>
    <t xml:space="preserve">              2005-2016 FAA Forecasts</t>
  </si>
  <si>
    <t>00-04</t>
  </si>
  <si>
    <t xml:space="preserve">  GDP (Bil 2000$)</t>
  </si>
  <si>
    <r>
      <t xml:space="preserve">Source: </t>
    </r>
    <r>
      <rPr>
        <u val="single"/>
        <sz val="9"/>
        <rFont val="Arial"/>
        <family val="2"/>
      </rPr>
      <t>United States</t>
    </r>
    <r>
      <rPr>
        <sz val="9"/>
        <rFont val="Arial"/>
        <family val="2"/>
      </rPr>
      <t>: FY 2000-2015; Executive Office of the President, Office of Management and Budget</t>
    </r>
  </si>
  <si>
    <t xml:space="preserve">                                          FY 2016; Consensus growth rate of Global Insight</t>
  </si>
  <si>
    <r>
      <t xml:space="preserve">                </t>
    </r>
    <r>
      <rPr>
        <u val="single"/>
        <sz val="9"/>
        <rFont val="Arial"/>
        <family val="2"/>
      </rPr>
      <t>International</t>
    </r>
    <r>
      <rPr>
        <sz val="9"/>
        <rFont val="Arial"/>
        <family val="2"/>
      </rPr>
      <t>:  CY-2000-2016, Global Insight</t>
    </r>
  </si>
  <si>
    <t>Source:2000-2004 U.S. Air Carriers, Form 41, U. S. Department of Transportation</t>
  </si>
  <si>
    <t>Source:2000-2004; U.S. Air Carriers, Form 41, U. S. Department of Transportation; Total Passengers, INS Form I-92, U.S. Department of Commerce</t>
  </si>
  <si>
    <t xml:space="preserve">Source:2000-2004; U.S. Air Carriers, Form 41, U. S. Department of Transportation. </t>
  </si>
  <si>
    <t>Source: Regionals/Commuters; 2000-2004, Forms 298-C and 41, U.S. Department of Transportation; 2005-2016, FAA Forecasts</t>
  </si>
  <si>
    <t>Source:2000-2004; U.S. Air Carriers, Form 41, U. S. Department of Transportation.</t>
  </si>
  <si>
    <t xml:space="preserve">Source: FY 2000-2016, FAA Data and Forecasts </t>
  </si>
  <si>
    <t xml:space="preserve">Source: CY 2000-2004, Economic data, OMB; Air Carrier/Regional data, DOT; FAA Workload, FAA. </t>
  </si>
  <si>
    <t xml:space="preserve">               CY 2005-2016, FAA Forecasts</t>
  </si>
  <si>
    <t>Oil &amp; Gas Deflator (2000 = 100)</t>
  </si>
  <si>
    <r>
      <t xml:space="preserve">  </t>
    </r>
    <r>
      <rPr>
        <u val="single"/>
        <sz val="9"/>
        <rFont val="Arial"/>
        <family val="2"/>
      </rPr>
      <t>ASMs (Billions)</t>
    </r>
  </si>
  <si>
    <t xml:space="preserve">  Enplanements (millions)</t>
  </si>
  <si>
    <t xml:space="preserve">  Load Factor (Percent)</t>
  </si>
  <si>
    <t>FISCAL/CALENDAR YEARS 2005-2016</t>
  </si>
  <si>
    <t>UNITED STATES--Fiscal Year</t>
  </si>
  <si>
    <t>INTERNATIONAL--Calendar Year</t>
  </si>
  <si>
    <t>EXCHANGE RATES--Calendar Year</t>
  </si>
  <si>
    <t xml:space="preserve">   United States</t>
  </si>
  <si>
    <t>MAINLINE AIR CARRIERS--PASSENGERS</t>
  </si>
  <si>
    <t>MAINLINE AIR CARRIERS--AIR CARGO</t>
  </si>
  <si>
    <t>Mainline Air Carriers</t>
  </si>
  <si>
    <r>
      <t xml:space="preserve">  </t>
    </r>
    <r>
      <rPr>
        <u val="single"/>
        <sz val="9"/>
        <rFont val="Arial"/>
        <family val="2"/>
      </rPr>
      <t>Average Aircraft Size</t>
    </r>
  </si>
  <si>
    <r>
      <t xml:space="preserve">  </t>
    </r>
    <r>
      <rPr>
        <u val="single"/>
        <sz val="9"/>
        <rFont val="Arial"/>
        <family val="2"/>
      </rPr>
      <t xml:space="preserve">Average Aircraft Size </t>
    </r>
  </si>
  <si>
    <t xml:space="preserve">  (Seats per Aircraft Mile)</t>
  </si>
  <si>
    <t xml:space="preserve">      Mainline Air Carriers</t>
  </si>
  <si>
    <t xml:space="preserve">  Oil &amp; Gas Deflator (2000 = 100)</t>
  </si>
  <si>
    <t>1/  Sum of U.S. Mainline Air Carriers and Regionals/Commuters</t>
  </si>
  <si>
    <t>Sum of U.S. Mainline Air Carriers</t>
  </si>
  <si>
    <t>&amp; Regionals/Commuters</t>
  </si>
  <si>
    <t xml:space="preserve">                Pilots: 1995-2004, FAA Aeronautical Center; 2005-2016, FAA Forecasts</t>
  </si>
  <si>
    <t xml:space="preserve"> Source: Fleet and Hours: 2000-2003, FAA General Aviation and Air Taxi Activity Survey; 2004-2016, FAA Forecasts</t>
  </si>
  <si>
    <t>I - 20</t>
  </si>
  <si>
    <t>I - 23</t>
  </si>
  <si>
    <t>I - 26</t>
  </si>
  <si>
    <t>I - 27</t>
  </si>
  <si>
    <t>I - 30</t>
  </si>
  <si>
    <t>I - 32</t>
  </si>
  <si>
    <t>I - 38</t>
  </si>
  <si>
    <t>I - 39</t>
  </si>
  <si>
    <t>I - 37</t>
  </si>
  <si>
    <t>I - 41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</si>
</sst>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#,##0.0_);\(#,##0.0\)"/>
    <numFmt numFmtId="167" formatCode="#,##0.000_);\(#,##0.000\)"/>
    <numFmt numFmtId="168" formatCode="#,##0.0"/>
    <numFmt numFmtId="169" formatCode="0.0000"/>
    <numFmt numFmtId="170" formatCode="0.0%"/>
    <numFmt numFmtId="171" formatCode="\(0.0\)%"/>
    <numFmt numFmtId="172" formatCode="0.0_)%;\(0.0\)%"/>
    <numFmt numFmtId="173" formatCode="#,##0.0\);\(#,##0.0\)"/>
    <numFmt numFmtId="174" formatCode="0.0_);\(0.0\)"/>
    <numFmt numFmtId="175" formatCode="#,##0.00000_);\(#,##0.00000\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2"/>
      <name val="Arial"/>
      <family val="0"/>
    </font>
    <font>
      <b/>
      <sz val="14"/>
      <name val="Arial"/>
      <family val="0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1" xfId="0" applyBorder="1" applyAlignment="1">
      <alignment/>
    </xf>
    <xf numFmtId="0" fontId="6" fillId="0" borderId="0" xfId="0" applyFont="1" applyAlignment="1">
      <alignment horizontal="centerContinuous"/>
    </xf>
    <xf numFmtId="166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166" fontId="4" fillId="0" borderId="0" xfId="0" applyNumberFormat="1" applyFont="1" applyAlignment="1">
      <alignment/>
    </xf>
    <xf numFmtId="166" fontId="4" fillId="0" borderId="3" xfId="0" applyNumberFormat="1" applyFont="1" applyBorder="1" applyAlignment="1">
      <alignment/>
    </xf>
    <xf numFmtId="166" fontId="4" fillId="0" borderId="3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3" xfId="0" applyNumberFormat="1" applyFont="1" applyBorder="1" applyAlignment="1">
      <alignment/>
    </xf>
    <xf numFmtId="166" fontId="4" fillId="0" borderId="3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166" fontId="4" fillId="0" borderId="6" xfId="0" applyNumberFormat="1" applyFont="1" applyBorder="1" applyAlignment="1">
      <alignment horizontal="center"/>
    </xf>
    <xf numFmtId="166" fontId="4" fillId="0" borderId="7" xfId="0" applyNumberFormat="1" applyFont="1" applyBorder="1" applyAlignment="1">
      <alignment horizontal="center"/>
    </xf>
    <xf numFmtId="166" fontId="4" fillId="0" borderId="8" xfId="0" applyNumberFormat="1" applyFont="1" applyBorder="1" applyAlignment="1">
      <alignment horizontal="center"/>
    </xf>
    <xf numFmtId="166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0" xfId="0" applyNumberFormat="1" applyFont="1" applyBorder="1" applyAlignment="1">
      <alignment/>
    </xf>
    <xf numFmtId="166" fontId="4" fillId="0" borderId="7" xfId="0" applyNumberFormat="1" applyFont="1" applyBorder="1" applyAlignment="1">
      <alignment/>
    </xf>
    <xf numFmtId="166" fontId="4" fillId="0" borderId="8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right"/>
    </xf>
    <xf numFmtId="166" fontId="4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Continuous"/>
    </xf>
    <xf numFmtId="0" fontId="9" fillId="0" borderId="13" xfId="0" applyFont="1" applyBorder="1" applyAlignment="1">
      <alignment horizontal="centerContinuous"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14" xfId="0" applyFont="1" applyBorder="1" applyAlignment="1">
      <alignment/>
    </xf>
    <xf numFmtId="166" fontId="11" fillId="0" borderId="3" xfId="0" applyNumberFormat="1" applyFont="1" applyBorder="1" applyAlignment="1">
      <alignment/>
    </xf>
    <xf numFmtId="166" fontId="11" fillId="0" borderId="0" xfId="0" applyNumberFormat="1" applyFont="1" applyBorder="1" applyAlignment="1">
      <alignment/>
    </xf>
    <xf numFmtId="0" fontId="9" fillId="0" borderId="15" xfId="0" applyFont="1" applyBorder="1" applyAlignment="1">
      <alignment horizontal="centerContinuous"/>
    </xf>
    <xf numFmtId="16" fontId="9" fillId="0" borderId="16" xfId="0" applyNumberFormat="1" applyFont="1" applyBorder="1" applyAlignment="1" quotePrefix="1">
      <alignment horizontal="centerContinuous"/>
    </xf>
    <xf numFmtId="174" fontId="4" fillId="0" borderId="0" xfId="0" applyNumberFormat="1" applyFont="1" applyBorder="1" applyAlignment="1">
      <alignment horizontal="center"/>
    </xf>
    <xf numFmtId="174" fontId="4" fillId="0" borderId="3" xfId="0" applyNumberFormat="1" applyFont="1" applyBorder="1" applyAlignment="1">
      <alignment horizontal="center"/>
    </xf>
    <xf numFmtId="174" fontId="4" fillId="0" borderId="7" xfId="0" applyNumberFormat="1" applyFont="1" applyBorder="1" applyAlignment="1">
      <alignment horizontal="center"/>
    </xf>
    <xf numFmtId="174" fontId="4" fillId="0" borderId="8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/>
    </xf>
    <xf numFmtId="166" fontId="4" fillId="0" borderId="3" xfId="0" applyNumberFormat="1" applyFont="1" applyBorder="1" applyAlignment="1">
      <alignment/>
    </xf>
    <xf numFmtId="166" fontId="12" fillId="0" borderId="0" xfId="0" applyNumberFormat="1" applyFont="1" applyBorder="1" applyAlignment="1">
      <alignment horizontal="center"/>
    </xf>
    <xf numFmtId="166" fontId="12" fillId="0" borderId="3" xfId="0" applyNumberFormat="1" applyFont="1" applyBorder="1" applyAlignment="1">
      <alignment horizontal="center"/>
    </xf>
    <xf numFmtId="3" fontId="12" fillId="0" borderId="3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66" fontId="12" fillId="0" borderId="0" xfId="0" applyNumberFormat="1" applyFont="1" applyBorder="1" applyAlignment="1">
      <alignment/>
    </xf>
    <xf numFmtId="37" fontId="4" fillId="0" borderId="3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9" fillId="0" borderId="16" xfId="0" applyFont="1" applyBorder="1" applyAlignment="1" quotePrefix="1">
      <alignment horizontal="centerContinuous"/>
    </xf>
    <xf numFmtId="0" fontId="9" fillId="0" borderId="17" xfId="0" applyFont="1" applyBorder="1" applyAlignment="1">
      <alignment horizontal="centerContinuous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8" xfId="0" applyFont="1" applyBorder="1" applyAlignment="1">
      <alignment horizontal="centerContinuous"/>
    </xf>
    <xf numFmtId="0" fontId="9" fillId="0" borderId="19" xfId="0" applyFont="1" applyBorder="1" applyAlignment="1">
      <alignment horizontal="centerContinuous"/>
    </xf>
    <xf numFmtId="166" fontId="4" fillId="0" borderId="10" xfId="0" applyNumberFormat="1" applyFont="1" applyBorder="1" applyAlignment="1">
      <alignment/>
    </xf>
    <xf numFmtId="166" fontId="4" fillId="0" borderId="6" xfId="0" applyNumberFormat="1" applyFont="1" applyBorder="1" applyAlignment="1">
      <alignment/>
    </xf>
    <xf numFmtId="166" fontId="4" fillId="0" borderId="5" xfId="0" applyNumberFormat="1" applyFont="1" applyBorder="1" applyAlignment="1">
      <alignment/>
    </xf>
    <xf numFmtId="166" fontId="4" fillId="0" borderId="9" xfId="0" applyNumberFormat="1" applyFont="1" applyBorder="1" applyAlignment="1">
      <alignment/>
    </xf>
    <xf numFmtId="166" fontId="4" fillId="0" borderId="10" xfId="0" applyNumberFormat="1" applyFont="1" applyBorder="1" applyAlignment="1">
      <alignment horizontal="right"/>
    </xf>
    <xf numFmtId="166" fontId="4" fillId="0" borderId="14" xfId="0" applyNumberFormat="1" applyFont="1" applyBorder="1" applyAlignment="1">
      <alignment/>
    </xf>
    <xf numFmtId="166" fontId="4" fillId="0" borderId="11" xfId="0" applyNumberFormat="1" applyFont="1" applyBorder="1" applyAlignment="1">
      <alignment/>
    </xf>
    <xf numFmtId="0" fontId="4" fillId="0" borderId="9" xfId="0" applyFont="1" applyBorder="1" applyAlignment="1">
      <alignment/>
    </xf>
    <xf numFmtId="166" fontId="12" fillId="0" borderId="9" xfId="0" applyNumberFormat="1" applyFont="1" applyBorder="1" applyAlignment="1">
      <alignment/>
    </xf>
    <xf numFmtId="166" fontId="4" fillId="0" borderId="2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/>
    </xf>
    <xf numFmtId="166" fontId="4" fillId="0" borderId="21" xfId="0" applyNumberFormat="1" applyFont="1" applyBorder="1" applyAlignment="1">
      <alignment/>
    </xf>
    <xf numFmtId="0" fontId="9" fillId="0" borderId="22" xfId="0" applyFont="1" applyBorder="1" applyAlignment="1">
      <alignment/>
    </xf>
    <xf numFmtId="166" fontId="4" fillId="0" borderId="10" xfId="0" applyNumberFormat="1" applyFont="1" applyBorder="1" applyAlignment="1">
      <alignment/>
    </xf>
    <xf numFmtId="166" fontId="4" fillId="0" borderId="6" xfId="0" applyNumberFormat="1" applyFont="1" applyBorder="1" applyAlignment="1">
      <alignment/>
    </xf>
    <xf numFmtId="166" fontId="11" fillId="0" borderId="6" xfId="0" applyNumberFormat="1" applyFont="1" applyBorder="1" applyAlignment="1">
      <alignment/>
    </xf>
    <xf numFmtId="166" fontId="11" fillId="0" borderId="9" xfId="0" applyNumberFormat="1" applyFont="1" applyBorder="1" applyAlignment="1">
      <alignment/>
    </xf>
    <xf numFmtId="166" fontId="4" fillId="0" borderId="5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4" fillId="0" borderId="9" xfId="0" applyNumberFormat="1" applyFont="1" applyBorder="1" applyAlignment="1">
      <alignment/>
    </xf>
    <xf numFmtId="166" fontId="11" fillId="0" borderId="5" xfId="0" applyNumberFormat="1" applyFont="1" applyBorder="1" applyAlignment="1">
      <alignment/>
    </xf>
    <xf numFmtId="166" fontId="11" fillId="0" borderId="10" xfId="0" applyNumberFormat="1" applyFont="1" applyBorder="1" applyAlignment="1">
      <alignment/>
    </xf>
    <xf numFmtId="166" fontId="4" fillId="0" borderId="6" xfId="0" applyNumberFormat="1" applyFont="1" applyBorder="1" applyAlignment="1">
      <alignment horizontal="right"/>
    </xf>
    <xf numFmtId="166" fontId="4" fillId="0" borderId="9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12" fillId="0" borderId="6" xfId="0" applyNumberFormat="1" applyFont="1" applyBorder="1" applyAlignment="1">
      <alignment/>
    </xf>
    <xf numFmtId="37" fontId="4" fillId="0" borderId="10" xfId="0" applyNumberFormat="1" applyFont="1" applyBorder="1" applyAlignment="1">
      <alignment horizontal="right"/>
    </xf>
    <xf numFmtId="37" fontId="4" fillId="0" borderId="6" xfId="0" applyNumberFormat="1" applyFont="1" applyBorder="1" applyAlignment="1">
      <alignment/>
    </xf>
    <xf numFmtId="166" fontId="4" fillId="0" borderId="5" xfId="0" applyNumberFormat="1" applyFont="1" applyBorder="1" applyAlignment="1">
      <alignment horizontal="right"/>
    </xf>
    <xf numFmtId="166" fontId="4" fillId="0" borderId="2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Continuous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0" borderId="9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4" fillId="0" borderId="21" xfId="0" applyNumberFormat="1" applyFont="1" applyBorder="1" applyAlignment="1">
      <alignment horizontal="right"/>
    </xf>
    <xf numFmtId="164" fontId="4" fillId="0" borderId="20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8" fontId="4" fillId="0" borderId="5" xfId="0" applyNumberFormat="1" applyFont="1" applyBorder="1" applyAlignment="1">
      <alignment horizontal="right"/>
    </xf>
    <xf numFmtId="168" fontId="4" fillId="0" borderId="9" xfId="0" applyNumberFormat="1" applyFont="1" applyBorder="1" applyAlignment="1">
      <alignment horizontal="right"/>
    </xf>
    <xf numFmtId="168" fontId="4" fillId="0" borderId="10" xfId="0" applyNumberFormat="1" applyFont="1" applyBorder="1" applyAlignment="1">
      <alignment horizontal="right"/>
    </xf>
    <xf numFmtId="168" fontId="4" fillId="0" borderId="3" xfId="0" applyNumberFormat="1" applyFont="1" applyBorder="1" applyAlignment="1">
      <alignment horizontal="right"/>
    </xf>
    <xf numFmtId="168" fontId="4" fillId="0" borderId="6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 horizontal="right"/>
    </xf>
    <xf numFmtId="168" fontId="4" fillId="0" borderId="3" xfId="0" applyNumberFormat="1" applyFont="1" applyFill="1" applyBorder="1" applyAlignment="1">
      <alignment horizontal="right"/>
    </xf>
    <xf numFmtId="168" fontId="4" fillId="0" borderId="6" xfId="0" applyNumberFormat="1" applyFont="1" applyFill="1" applyBorder="1" applyAlignment="1">
      <alignment horizontal="right"/>
    </xf>
    <xf numFmtId="168" fontId="4" fillId="0" borderId="5" xfId="0" applyNumberFormat="1" applyFont="1" applyFill="1" applyBorder="1" applyAlignment="1">
      <alignment horizontal="right"/>
    </xf>
    <xf numFmtId="168" fontId="4" fillId="0" borderId="0" xfId="0" applyNumberFormat="1" applyFont="1" applyFill="1" applyBorder="1" applyAlignment="1">
      <alignment horizontal="right"/>
    </xf>
    <xf numFmtId="168" fontId="4" fillId="0" borderId="9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166" fontId="4" fillId="0" borderId="14" xfId="0" applyNumberFormat="1" applyFont="1" applyBorder="1" applyAlignment="1">
      <alignment horizontal="right"/>
    </xf>
    <xf numFmtId="166" fontId="4" fillId="0" borderId="8" xfId="0" applyNumberFormat="1" applyFont="1" applyBorder="1" applyAlignment="1">
      <alignment horizontal="right"/>
    </xf>
    <xf numFmtId="166" fontId="4" fillId="0" borderId="21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174" fontId="4" fillId="0" borderId="10" xfId="0" applyNumberFormat="1" applyFont="1" applyBorder="1" applyAlignment="1">
      <alignment horizontal="right"/>
    </xf>
    <xf numFmtId="174" fontId="4" fillId="0" borderId="3" xfId="0" applyNumberFormat="1" applyFont="1" applyBorder="1" applyAlignment="1">
      <alignment horizontal="right"/>
    </xf>
    <xf numFmtId="174" fontId="4" fillId="0" borderId="6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 horizontal="right"/>
    </xf>
    <xf numFmtId="174" fontId="4" fillId="0" borderId="14" xfId="0" applyNumberFormat="1" applyFont="1" applyBorder="1" applyAlignment="1">
      <alignment horizontal="right"/>
    </xf>
    <xf numFmtId="174" fontId="4" fillId="0" borderId="7" xfId="0" applyNumberFormat="1" applyFont="1" applyBorder="1" applyAlignment="1">
      <alignment horizontal="right"/>
    </xf>
    <xf numFmtId="168" fontId="4" fillId="0" borderId="3" xfId="0" applyNumberFormat="1" applyFont="1" applyBorder="1" applyAlignment="1">
      <alignment/>
    </xf>
    <xf numFmtId="168" fontId="4" fillId="0" borderId="3" xfId="0" applyNumberFormat="1" applyFont="1" applyBorder="1" applyAlignment="1">
      <alignment/>
    </xf>
    <xf numFmtId="166" fontId="4" fillId="0" borderId="10" xfId="0" applyNumberFormat="1" applyFont="1" applyFill="1" applyBorder="1" applyAlignment="1">
      <alignment/>
    </xf>
    <xf numFmtId="166" fontId="4" fillId="0" borderId="3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166" fontId="4" fillId="0" borderId="9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 horizontal="center"/>
    </xf>
    <xf numFmtId="166" fontId="4" fillId="0" borderId="3" xfId="0" applyNumberFormat="1" applyFont="1" applyFill="1" applyBorder="1" applyAlignment="1">
      <alignment horizontal="center"/>
    </xf>
    <xf numFmtId="166" fontId="4" fillId="0" borderId="8" xfId="0" applyNumberFormat="1" applyFont="1" applyFill="1" applyBorder="1" applyAlignment="1">
      <alignment horizontal="center"/>
    </xf>
    <xf numFmtId="166" fontId="4" fillId="0" borderId="21" xfId="0" applyNumberFormat="1" applyFont="1" applyBorder="1" applyAlignment="1">
      <alignment horizontal="center"/>
    </xf>
    <xf numFmtId="16" fontId="9" fillId="0" borderId="23" xfId="0" applyNumberFormat="1" applyFont="1" applyBorder="1" applyAlignment="1" quotePrefix="1">
      <alignment horizontal="centerContinuous"/>
    </xf>
    <xf numFmtId="166" fontId="12" fillId="0" borderId="9" xfId="0" applyNumberFormat="1" applyFont="1" applyBorder="1" applyAlignment="1">
      <alignment horizontal="center"/>
    </xf>
    <xf numFmtId="168" fontId="4" fillId="0" borderId="2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12" fillId="0" borderId="8" xfId="0" applyNumberFormat="1" applyFont="1" applyBorder="1" applyAlignment="1">
      <alignment horizontal="right"/>
    </xf>
    <xf numFmtId="3" fontId="12" fillId="0" borderId="21" xfId="0" applyNumberFormat="1" applyFont="1" applyBorder="1" applyAlignment="1">
      <alignment horizontal="right"/>
    </xf>
    <xf numFmtId="166" fontId="12" fillId="0" borderId="7" xfId="0" applyNumberFormat="1" applyFont="1" applyBorder="1" applyAlignment="1">
      <alignment horizontal="center"/>
    </xf>
    <xf numFmtId="166" fontId="12" fillId="0" borderId="8" xfId="0" applyNumberFormat="1" applyFont="1" applyBorder="1" applyAlignment="1">
      <alignment horizontal="center"/>
    </xf>
    <xf numFmtId="166" fontId="12" fillId="0" borderId="11" xfId="0" applyNumberFormat="1" applyFont="1" applyBorder="1" applyAlignment="1">
      <alignment horizontal="center"/>
    </xf>
    <xf numFmtId="3" fontId="12" fillId="0" borderId="14" xfId="0" applyNumberFormat="1" applyFont="1" applyBorder="1" applyAlignment="1">
      <alignment horizontal="right"/>
    </xf>
    <xf numFmtId="0" fontId="9" fillId="0" borderId="24" xfId="0" applyFont="1" applyBorder="1" applyAlignment="1">
      <alignment horizontal="centerContinuous"/>
    </xf>
    <xf numFmtId="0" fontId="9" fillId="0" borderId="13" xfId="0" applyFont="1" applyBorder="1" applyAlignment="1">
      <alignment horizontal="center"/>
    </xf>
    <xf numFmtId="166" fontId="4" fillId="0" borderId="7" xfId="0" applyNumberFormat="1" applyFont="1" applyFill="1" applyBorder="1" applyAlignment="1">
      <alignment horizontal="center"/>
    </xf>
    <xf numFmtId="0" fontId="4" fillId="0" borderId="25" xfId="0" applyFont="1" applyBorder="1" applyAlignment="1">
      <alignment/>
    </xf>
    <xf numFmtId="0" fontId="8" fillId="0" borderId="10" xfId="0" applyFont="1" applyBorder="1" applyAlignment="1">
      <alignment/>
    </xf>
    <xf numFmtId="166" fontId="4" fillId="0" borderId="5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 horizontal="right"/>
    </xf>
    <xf numFmtId="0" fontId="4" fillId="0" borderId="26" xfId="0" applyFont="1" applyBorder="1" applyAlignment="1">
      <alignment/>
    </xf>
    <xf numFmtId="3" fontId="4" fillId="0" borderId="2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12" fillId="0" borderId="10" xfId="0" applyNumberFormat="1" applyFont="1" applyBorder="1" applyAlignment="1">
      <alignment/>
    </xf>
    <xf numFmtId="37" fontId="4" fillId="0" borderId="10" xfId="0" applyNumberFormat="1" applyFont="1" applyBorder="1" applyAlignment="1">
      <alignment/>
    </xf>
    <xf numFmtId="166" fontId="4" fillId="0" borderId="20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/>
    </xf>
    <xf numFmtId="166" fontId="4" fillId="0" borderId="11" xfId="0" applyNumberFormat="1" applyFont="1" applyBorder="1" applyAlignment="1">
      <alignment horizontal="right"/>
    </xf>
    <xf numFmtId="166" fontId="4" fillId="0" borderId="10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right"/>
    </xf>
    <xf numFmtId="166" fontId="12" fillId="0" borderId="10" xfId="0" applyNumberFormat="1" applyFont="1" applyBorder="1" applyAlignment="1">
      <alignment/>
    </xf>
    <xf numFmtId="166" fontId="12" fillId="0" borderId="3" xfId="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8" xfId="0" applyFont="1" applyBorder="1" applyAlignment="1">
      <alignment/>
    </xf>
    <xf numFmtId="166" fontId="12" fillId="0" borderId="5" xfId="0" applyNumberFormat="1" applyFont="1" applyBorder="1" applyAlignment="1">
      <alignment/>
    </xf>
    <xf numFmtId="166" fontId="4" fillId="0" borderId="5" xfId="0" applyNumberFormat="1" applyFont="1" applyFill="1" applyBorder="1" applyAlignment="1">
      <alignment/>
    </xf>
    <xf numFmtId="166" fontId="4" fillId="0" borderId="4" xfId="0" applyNumberFormat="1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 horizontal="centerContinuous"/>
    </xf>
    <xf numFmtId="0" fontId="4" fillId="0" borderId="29" xfId="0" applyFont="1" applyBorder="1" applyAlignment="1">
      <alignment/>
    </xf>
    <xf numFmtId="0" fontId="7" fillId="0" borderId="29" xfId="0" applyFont="1" applyBorder="1" applyAlignment="1">
      <alignment/>
    </xf>
    <xf numFmtId="165" fontId="4" fillId="0" borderId="10" xfId="0" applyNumberFormat="1" applyFont="1" applyFill="1" applyBorder="1" applyAlignment="1">
      <alignment/>
    </xf>
    <xf numFmtId="165" fontId="4" fillId="0" borderId="3" xfId="0" applyNumberFormat="1" applyFont="1" applyFill="1" applyBorder="1" applyAlignment="1">
      <alignment/>
    </xf>
    <xf numFmtId="165" fontId="4" fillId="0" borderId="4" xfId="0" applyNumberFormat="1" applyFont="1" applyFill="1" applyBorder="1" applyAlignment="1">
      <alignment/>
    </xf>
    <xf numFmtId="165" fontId="4" fillId="0" borderId="9" xfId="0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horizontal="right"/>
    </xf>
    <xf numFmtId="165" fontId="4" fillId="0" borderId="14" xfId="0" applyNumberFormat="1" applyFont="1" applyFill="1" applyBorder="1" applyAlignment="1">
      <alignment/>
    </xf>
    <xf numFmtId="165" fontId="4" fillId="0" borderId="8" xfId="0" applyNumberFormat="1" applyFont="1" applyFill="1" applyBorder="1" applyAlignment="1">
      <alignment/>
    </xf>
    <xf numFmtId="165" fontId="4" fillId="0" borderId="11" xfId="0" applyNumberFormat="1" applyFont="1" applyFill="1" applyBorder="1" applyAlignment="1">
      <alignment horizontal="right"/>
    </xf>
    <xf numFmtId="165" fontId="4" fillId="0" borderId="0" xfId="0" applyNumberFormat="1" applyFont="1" applyAlignment="1">
      <alignment/>
    </xf>
    <xf numFmtId="0" fontId="9" fillId="0" borderId="30" xfId="0" applyFont="1" applyBorder="1" applyAlignment="1">
      <alignment horizontal="centerContinuous"/>
    </xf>
    <xf numFmtId="0" fontId="9" fillId="0" borderId="16" xfId="0" applyFont="1" applyBorder="1" applyAlignment="1">
      <alignment horizontal="centerContinuous"/>
    </xf>
    <xf numFmtId="0" fontId="9" fillId="0" borderId="19" xfId="0" applyFont="1" applyBorder="1" applyAlignment="1">
      <alignment horizontal="center"/>
    </xf>
    <xf numFmtId="16" fontId="9" fillId="0" borderId="31" xfId="0" applyNumberFormat="1" applyFont="1" applyBorder="1" applyAlignment="1" quotePrefix="1">
      <alignment horizontal="centerContinuous"/>
    </xf>
    <xf numFmtId="0" fontId="9" fillId="0" borderId="32" xfId="0" applyFont="1" applyBorder="1" applyAlignment="1">
      <alignment horizontal="centerContinuous"/>
    </xf>
    <xf numFmtId="0" fontId="9" fillId="0" borderId="33" xfId="0" applyFont="1" applyBorder="1" applyAlignment="1">
      <alignment horizontal="centerContinuous"/>
    </xf>
    <xf numFmtId="0" fontId="9" fillId="0" borderId="34" xfId="0" applyFont="1" applyBorder="1" applyAlignment="1">
      <alignment horizontal="centerContinuous"/>
    </xf>
    <xf numFmtId="3" fontId="4" fillId="0" borderId="4" xfId="0" applyNumberFormat="1" applyFont="1" applyBorder="1" applyAlignment="1">
      <alignment horizontal="right"/>
    </xf>
    <xf numFmtId="168" fontId="4" fillId="0" borderId="4" xfId="0" applyNumberFormat="1" applyFont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3" fontId="12" fillId="0" borderId="7" xfId="0" applyNumberFormat="1" applyFont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174" fontId="4" fillId="0" borderId="8" xfId="0" applyNumberFormat="1" applyFont="1" applyBorder="1" applyAlignment="1">
      <alignment horizontal="right"/>
    </xf>
    <xf numFmtId="174" fontId="4" fillId="0" borderId="21" xfId="0" applyNumberFormat="1" applyFont="1" applyBorder="1" applyAlignment="1">
      <alignment horizontal="right"/>
    </xf>
    <xf numFmtId="166" fontId="4" fillId="0" borderId="3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8" width="9.7109375" style="0" customWidth="1"/>
    <col min="9" max="12" width="8.7109375" style="0" customWidth="1"/>
  </cols>
  <sheetData>
    <row r="1" spans="1:12" ht="15.75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35" t="s">
        <v>79</v>
      </c>
      <c r="B3" s="34"/>
      <c r="C3" s="34"/>
      <c r="D3" s="34"/>
      <c r="E3" s="34"/>
      <c r="F3" s="34"/>
      <c r="G3" s="34"/>
      <c r="H3" s="34"/>
      <c r="I3" s="1"/>
      <c r="J3" s="1"/>
      <c r="K3" s="1"/>
      <c r="L3" s="1"/>
    </row>
    <row r="4" spans="1:12" ht="18">
      <c r="A4" s="35" t="s">
        <v>80</v>
      </c>
      <c r="B4" s="34"/>
      <c r="C4" s="34"/>
      <c r="D4" s="34"/>
      <c r="E4" s="34"/>
      <c r="F4" s="34"/>
      <c r="G4" s="34"/>
      <c r="H4" s="34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8">
      <c r="A6" s="5" t="s">
        <v>179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3.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32" customFormat="1" ht="12.75" thickBot="1">
      <c r="A8" s="74"/>
      <c r="B8" s="214" t="s">
        <v>1</v>
      </c>
      <c r="C8" s="215"/>
      <c r="D8" s="216"/>
      <c r="E8" s="214" t="s">
        <v>2</v>
      </c>
      <c r="F8" s="215"/>
      <c r="G8" s="216"/>
      <c r="H8" s="215" t="s">
        <v>3</v>
      </c>
      <c r="I8" s="215"/>
      <c r="J8" s="215"/>
      <c r="K8" s="215"/>
      <c r="L8" s="216"/>
    </row>
    <row r="9" spans="1:12" s="32" customFormat="1" ht="12">
      <c r="A9" s="55" t="s">
        <v>4</v>
      </c>
      <c r="B9" s="55">
        <v>2000</v>
      </c>
      <c r="C9" s="211">
        <v>2003</v>
      </c>
      <c r="D9" s="60">
        <v>2004</v>
      </c>
      <c r="E9" s="55">
        <v>2005</v>
      </c>
      <c r="F9" s="211">
        <v>2006</v>
      </c>
      <c r="G9" s="212">
        <f>D9+12</f>
        <v>2016</v>
      </c>
      <c r="H9" s="33" t="s">
        <v>162</v>
      </c>
      <c r="I9" s="40" t="s">
        <v>101</v>
      </c>
      <c r="J9" s="54" t="s">
        <v>132</v>
      </c>
      <c r="K9" s="40" t="s">
        <v>155</v>
      </c>
      <c r="L9" s="213" t="s">
        <v>156</v>
      </c>
    </row>
    <row r="10" spans="1:12" s="7" customFormat="1" ht="12">
      <c r="A10" s="24"/>
      <c r="B10" s="24"/>
      <c r="C10" s="8"/>
      <c r="D10" s="19"/>
      <c r="E10" s="18"/>
      <c r="F10" s="14"/>
      <c r="G10" s="68"/>
      <c r="H10" s="14"/>
      <c r="I10" s="8"/>
      <c r="J10" s="14"/>
      <c r="K10" s="8"/>
      <c r="L10" s="19"/>
    </row>
    <row r="11" spans="1:12" s="7" customFormat="1" ht="12">
      <c r="A11" s="56" t="s">
        <v>180</v>
      </c>
      <c r="B11" s="24"/>
      <c r="C11" s="8"/>
      <c r="D11" s="19"/>
      <c r="E11" s="18"/>
      <c r="F11" s="14"/>
      <c r="G11" s="68"/>
      <c r="H11" s="14"/>
      <c r="I11" s="8"/>
      <c r="J11" s="14"/>
      <c r="K11" s="8"/>
      <c r="L11" s="19"/>
    </row>
    <row r="12" spans="1:14" s="7" customFormat="1" ht="12">
      <c r="A12" s="24" t="s">
        <v>5</v>
      </c>
      <c r="B12" s="65">
        <v>9762.8</v>
      </c>
      <c r="C12" s="16">
        <v>10270.125</v>
      </c>
      <c r="D12" s="84">
        <v>10738.15</v>
      </c>
      <c r="E12" s="91">
        <v>11136.6</v>
      </c>
      <c r="F12" s="28">
        <v>11528.175</v>
      </c>
      <c r="G12" s="85">
        <v>15646.058</v>
      </c>
      <c r="H12" s="12">
        <f>+((EXP((LN(D12)-LN(B12))/4))-1)*(100)</f>
        <v>2.409151640619256</v>
      </c>
      <c r="I12" s="11">
        <f>((D12/C12)-1)*100</f>
        <v>4.557149986003095</v>
      </c>
      <c r="J12" s="12">
        <f>((E12/D12)-1)*100</f>
        <v>3.7106019193250406</v>
      </c>
      <c r="K12" s="11">
        <f>((F12/E12)-1)*100</f>
        <v>3.516109045848803</v>
      </c>
      <c r="L12" s="20">
        <f>+((EXP((LN(G12)-LN(D12))/12))-1)*(100)</f>
        <v>3.1865175821325087</v>
      </c>
      <c r="N12" s="209"/>
    </row>
    <row r="13" spans="1:12" s="7" customFormat="1" ht="12">
      <c r="A13" s="93" t="s">
        <v>157</v>
      </c>
      <c r="B13" s="65"/>
      <c r="C13" s="16"/>
      <c r="D13" s="84"/>
      <c r="E13" s="91"/>
      <c r="F13" s="28"/>
      <c r="G13" s="85"/>
      <c r="H13" s="12"/>
      <c r="I13" s="11"/>
      <c r="J13" s="12"/>
      <c r="K13" s="11"/>
      <c r="L13" s="20"/>
    </row>
    <row r="14" spans="1:12" s="7" customFormat="1" ht="12">
      <c r="A14" s="94"/>
      <c r="B14" s="65"/>
      <c r="C14" s="16"/>
      <c r="D14" s="84"/>
      <c r="E14" s="91"/>
      <c r="F14" s="28"/>
      <c r="G14" s="85"/>
      <c r="H14" s="12"/>
      <c r="I14" s="11"/>
      <c r="J14" s="12"/>
      <c r="K14" s="11"/>
      <c r="L14" s="20"/>
    </row>
    <row r="15" spans="1:12" s="7" customFormat="1" ht="12">
      <c r="A15" s="24" t="s">
        <v>6</v>
      </c>
      <c r="B15" s="65">
        <v>170.733</v>
      </c>
      <c r="C15" s="16">
        <v>183.1</v>
      </c>
      <c r="D15" s="84">
        <v>187.325</v>
      </c>
      <c r="E15" s="91">
        <v>192.473</v>
      </c>
      <c r="F15" s="28">
        <v>196.675</v>
      </c>
      <c r="G15" s="85">
        <v>250.602</v>
      </c>
      <c r="H15" s="12">
        <f>+((EXP((LN(D15)-LN(B15))/4))-1)*(100)</f>
        <v>2.345692154608403</v>
      </c>
      <c r="I15" s="11">
        <f aca="true" t="shared" si="0" ref="I15:K18">((D15/C15)-1)*100</f>
        <v>2.3074822501365277</v>
      </c>
      <c r="J15" s="12">
        <f t="shared" si="0"/>
        <v>2.748164953957044</v>
      </c>
      <c r="K15" s="11">
        <f t="shared" si="0"/>
        <v>2.183163352781947</v>
      </c>
      <c r="L15" s="20">
        <f>+((EXP((LN(G15)-LN(D15))/12))-1)*(100)</f>
        <v>2.454821091675008</v>
      </c>
    </row>
    <row r="16" spans="1:12" s="7" customFormat="1" ht="12">
      <c r="A16" s="95" t="s">
        <v>7</v>
      </c>
      <c r="B16" s="65"/>
      <c r="C16" s="16"/>
      <c r="D16" s="84"/>
      <c r="E16" s="91"/>
      <c r="F16" s="28"/>
      <c r="G16" s="85"/>
      <c r="H16" s="12"/>
      <c r="I16" s="11"/>
      <c r="J16" s="12"/>
      <c r="K16" s="11"/>
      <c r="L16" s="20"/>
    </row>
    <row r="17" spans="1:12" s="7" customFormat="1" ht="12">
      <c r="A17" s="24"/>
      <c r="B17" s="65"/>
      <c r="C17" s="16"/>
      <c r="D17" s="84"/>
      <c r="E17" s="91"/>
      <c r="F17" s="28"/>
      <c r="G17" s="85"/>
      <c r="H17" s="12"/>
      <c r="I17" s="11"/>
      <c r="J17" s="12"/>
      <c r="K17" s="11"/>
      <c r="L17" s="20"/>
    </row>
    <row r="18" spans="1:12" s="7" customFormat="1" ht="12">
      <c r="A18" s="24" t="s">
        <v>175</v>
      </c>
      <c r="B18" s="65">
        <v>96.024</v>
      </c>
      <c r="C18" s="16">
        <v>103.305</v>
      </c>
      <c r="D18" s="84">
        <v>116.75</v>
      </c>
      <c r="E18" s="91">
        <v>141.578</v>
      </c>
      <c r="F18" s="28">
        <v>127.943</v>
      </c>
      <c r="G18" s="85">
        <v>139.414</v>
      </c>
      <c r="H18" s="12">
        <f>+((EXP((LN(D18)-LN(B18))/4))-1)*(100)</f>
        <v>5.0072473408687035</v>
      </c>
      <c r="I18" s="11">
        <f t="shared" si="0"/>
        <v>13.014858912927728</v>
      </c>
      <c r="J18" s="12">
        <f t="shared" si="0"/>
        <v>21.265952890792295</v>
      </c>
      <c r="K18" s="11">
        <f t="shared" si="0"/>
        <v>-9.630733588551898</v>
      </c>
      <c r="L18" s="20">
        <f>+((EXP((LN(G18)-LN(D18))/12))-1)*(100)</f>
        <v>1.489424904138592</v>
      </c>
    </row>
    <row r="19" spans="1:12" s="7" customFormat="1" ht="12">
      <c r="A19" s="24"/>
      <c r="B19" s="65"/>
      <c r="C19" s="16"/>
      <c r="D19" s="84"/>
      <c r="E19" s="91"/>
      <c r="F19" s="28"/>
      <c r="G19" s="85"/>
      <c r="H19" s="12"/>
      <c r="I19" s="11"/>
      <c r="J19" s="12"/>
      <c r="K19" s="11"/>
      <c r="L19" s="20"/>
    </row>
    <row r="20" spans="1:12" s="7" customFormat="1" ht="12">
      <c r="A20" s="56" t="s">
        <v>181</v>
      </c>
      <c r="B20" s="65"/>
      <c r="C20" s="16"/>
      <c r="D20" s="84"/>
      <c r="E20" s="91"/>
      <c r="F20" s="28"/>
      <c r="G20" s="85"/>
      <c r="H20" s="12"/>
      <c r="I20" s="11"/>
      <c r="J20" s="12"/>
      <c r="K20" s="11"/>
      <c r="L20" s="20"/>
    </row>
    <row r="21" spans="1:12" s="7" customFormat="1" ht="12">
      <c r="A21" s="24" t="s">
        <v>8</v>
      </c>
      <c r="B21" s="65"/>
      <c r="C21" s="16"/>
      <c r="D21" s="84"/>
      <c r="E21" s="91"/>
      <c r="F21" s="28"/>
      <c r="G21" s="85"/>
      <c r="H21" s="12"/>
      <c r="I21" s="11"/>
      <c r="J21" s="12"/>
      <c r="K21" s="11"/>
      <c r="L21" s="20"/>
    </row>
    <row r="22" spans="1:12" s="7" customFormat="1" ht="12">
      <c r="A22" s="24" t="s">
        <v>116</v>
      </c>
      <c r="B22" s="65"/>
      <c r="C22" s="16"/>
      <c r="D22" s="84"/>
      <c r="E22" s="91"/>
      <c r="F22" s="28"/>
      <c r="G22" s="85"/>
      <c r="H22" s="12"/>
      <c r="I22" s="11"/>
      <c r="J22" s="12"/>
      <c r="K22" s="11"/>
      <c r="L22" s="20"/>
    </row>
    <row r="23" spans="1:14" s="7" customFormat="1" ht="12">
      <c r="A23" s="24" t="s">
        <v>9</v>
      </c>
      <c r="B23" s="65">
        <v>31512.972</v>
      </c>
      <c r="C23" s="16">
        <v>33423.759</v>
      </c>
      <c r="D23" s="84">
        <v>34830.874</v>
      </c>
      <c r="E23" s="91">
        <v>35980.486</v>
      </c>
      <c r="F23" s="28">
        <v>37141.639</v>
      </c>
      <c r="G23" s="85">
        <v>50825.174</v>
      </c>
      <c r="H23" s="12">
        <f aca="true" t="shared" si="1" ref="H23:H28">+((EXP((LN(D23)-LN(B23))/4))-1)*(100)</f>
        <v>2.5342011506134465</v>
      </c>
      <c r="I23" s="11">
        <f aca="true" t="shared" si="2" ref="I23:K28">((D23/C23)-1)*100</f>
        <v>4.209924443268043</v>
      </c>
      <c r="J23" s="12">
        <f t="shared" si="2"/>
        <v>3.300554559727664</v>
      </c>
      <c r="K23" s="11">
        <f t="shared" si="2"/>
        <v>3.2271743077622927</v>
      </c>
      <c r="L23" s="20">
        <f aca="true" t="shared" si="3" ref="L23:L28">+((EXP((LN(G23)-LN(D23))/12))-1)*(100)</f>
        <v>3.1991709713683703</v>
      </c>
      <c r="N23" s="209"/>
    </row>
    <row r="24" spans="1:14" s="7" customFormat="1" ht="12">
      <c r="A24" s="24" t="s">
        <v>183</v>
      </c>
      <c r="B24" s="65">
        <v>9816.975</v>
      </c>
      <c r="C24" s="16">
        <v>10381.351</v>
      </c>
      <c r="D24" s="84">
        <v>10836.578</v>
      </c>
      <c r="E24" s="91">
        <v>11186.823</v>
      </c>
      <c r="F24" s="28">
        <v>11524.089</v>
      </c>
      <c r="G24" s="85">
        <v>15829.043</v>
      </c>
      <c r="H24" s="12">
        <f t="shared" si="1"/>
        <v>2.501121946812379</v>
      </c>
      <c r="I24" s="11">
        <f>((D24/C24)-1)*100</f>
        <v>4.385045838446255</v>
      </c>
      <c r="J24" s="12">
        <f>((E24/D24)-1)*100</f>
        <v>3.232062741577657</v>
      </c>
      <c r="K24" s="11">
        <f>((F24/E24)-1)*100</f>
        <v>3.0148505969925576</v>
      </c>
      <c r="L24" s="20">
        <f t="shared" si="3"/>
        <v>3.208042594806293</v>
      </c>
      <c r="N24" s="209"/>
    </row>
    <row r="25" spans="1:14" s="7" customFormat="1" ht="12">
      <c r="A25" s="24" t="s">
        <v>10</v>
      </c>
      <c r="B25" s="65">
        <v>724.777</v>
      </c>
      <c r="C25" s="16">
        <v>778.662</v>
      </c>
      <c r="D25" s="84">
        <v>801.68</v>
      </c>
      <c r="E25" s="91">
        <v>826.498</v>
      </c>
      <c r="F25" s="28">
        <v>848.701</v>
      </c>
      <c r="G25" s="85">
        <v>1119.164</v>
      </c>
      <c r="H25" s="12">
        <f t="shared" si="1"/>
        <v>2.5531870547220947</v>
      </c>
      <c r="I25" s="11">
        <f t="shared" si="2"/>
        <v>2.9560964834549397</v>
      </c>
      <c r="J25" s="12">
        <f t="shared" si="2"/>
        <v>3.0957489272527727</v>
      </c>
      <c r="K25" s="11">
        <f t="shared" si="2"/>
        <v>2.686394885408072</v>
      </c>
      <c r="L25" s="20">
        <f t="shared" si="3"/>
        <v>2.8192401936813383</v>
      </c>
      <c r="N25" s="209"/>
    </row>
    <row r="26" spans="1:14" s="7" customFormat="1" ht="12">
      <c r="A26" s="24" t="s">
        <v>11</v>
      </c>
      <c r="B26" s="65">
        <v>10366.711</v>
      </c>
      <c r="C26" s="16">
        <v>10858.415</v>
      </c>
      <c r="D26" s="84">
        <v>11188.932</v>
      </c>
      <c r="E26" s="91">
        <v>11500.105</v>
      </c>
      <c r="F26" s="28">
        <v>11824.472</v>
      </c>
      <c r="G26" s="85">
        <v>15353.133</v>
      </c>
      <c r="H26" s="12">
        <f t="shared" si="1"/>
        <v>1.9264528876671294</v>
      </c>
      <c r="I26" s="11">
        <f t="shared" si="2"/>
        <v>3.0438788718242904</v>
      </c>
      <c r="J26" s="12">
        <f t="shared" si="2"/>
        <v>2.781078658803171</v>
      </c>
      <c r="K26" s="11">
        <f t="shared" si="2"/>
        <v>2.820556855785239</v>
      </c>
      <c r="L26" s="20">
        <f t="shared" si="3"/>
        <v>2.671687037319148</v>
      </c>
      <c r="N26" s="209"/>
    </row>
    <row r="27" spans="1:14" s="7" customFormat="1" ht="12">
      <c r="A27" s="24" t="s">
        <v>12</v>
      </c>
      <c r="B27" s="65">
        <v>1836.495</v>
      </c>
      <c r="C27" s="16">
        <v>1843.801</v>
      </c>
      <c r="D27" s="84">
        <v>1940.765</v>
      </c>
      <c r="E27" s="91">
        <v>2013.352</v>
      </c>
      <c r="F27" s="28">
        <v>2086.268</v>
      </c>
      <c r="G27" s="85">
        <v>3077.753</v>
      </c>
      <c r="H27" s="12">
        <f t="shared" si="1"/>
        <v>1.3901581085810522</v>
      </c>
      <c r="I27" s="11">
        <f t="shared" si="2"/>
        <v>5.258918939733737</v>
      </c>
      <c r="J27" s="12">
        <f t="shared" si="2"/>
        <v>3.7401230957895493</v>
      </c>
      <c r="K27" s="11">
        <f t="shared" si="2"/>
        <v>3.6216220511862796</v>
      </c>
      <c r="L27" s="20">
        <f t="shared" si="3"/>
        <v>3.9174308136811886</v>
      </c>
      <c r="N27" s="209"/>
    </row>
    <row r="28" spans="1:14" s="7" customFormat="1" ht="12">
      <c r="A28" s="24" t="s">
        <v>13</v>
      </c>
      <c r="B28" s="65">
        <v>8268.585</v>
      </c>
      <c r="C28" s="16">
        <v>8965.988</v>
      </c>
      <c r="D28" s="84">
        <v>9435.226</v>
      </c>
      <c r="E28" s="91">
        <v>9791.364</v>
      </c>
      <c r="F28" s="28">
        <v>10160.733</v>
      </c>
      <c r="G28" s="85">
        <v>14379.092</v>
      </c>
      <c r="H28" s="12">
        <f t="shared" si="1"/>
        <v>3.354711247535813</v>
      </c>
      <c r="I28" s="11">
        <f t="shared" si="2"/>
        <v>5.233533660763334</v>
      </c>
      <c r="J28" s="12">
        <f t="shared" si="2"/>
        <v>3.774557175418991</v>
      </c>
      <c r="K28" s="11">
        <f t="shared" si="2"/>
        <v>3.7723957560969135</v>
      </c>
      <c r="L28" s="20">
        <f t="shared" si="3"/>
        <v>3.573407127502959</v>
      </c>
      <c r="N28" s="209"/>
    </row>
    <row r="29" spans="1:12" s="7" customFormat="1" ht="12">
      <c r="A29" s="24"/>
      <c r="B29" s="65"/>
      <c r="C29" s="16"/>
      <c r="D29" s="84"/>
      <c r="E29" s="91"/>
      <c r="F29" s="28"/>
      <c r="G29" s="85"/>
      <c r="H29" s="12"/>
      <c r="I29" s="11"/>
      <c r="J29" s="12"/>
      <c r="K29" s="11"/>
      <c r="L29" s="20"/>
    </row>
    <row r="30" spans="1:12" s="7" customFormat="1" ht="12">
      <c r="A30" s="56" t="s">
        <v>182</v>
      </c>
      <c r="B30" s="65"/>
      <c r="C30" s="16"/>
      <c r="D30" s="84"/>
      <c r="E30" s="91"/>
      <c r="F30" s="28"/>
      <c r="G30" s="85"/>
      <c r="H30" s="12"/>
      <c r="I30" s="11"/>
      <c r="J30" s="12"/>
      <c r="K30" s="11"/>
      <c r="L30" s="20"/>
    </row>
    <row r="31" spans="1:12" s="7" customFormat="1" ht="12">
      <c r="A31" s="24" t="s">
        <v>14</v>
      </c>
      <c r="B31" s="65"/>
      <c r="C31" s="16"/>
      <c r="D31" s="84"/>
      <c r="E31" s="91"/>
      <c r="F31" s="28"/>
      <c r="G31" s="85"/>
      <c r="H31" s="12"/>
      <c r="I31" s="11"/>
      <c r="J31" s="12"/>
      <c r="K31" s="11"/>
      <c r="L31" s="20"/>
    </row>
    <row r="32" spans="1:12" s="7" customFormat="1" ht="12">
      <c r="A32" s="24" t="s">
        <v>10</v>
      </c>
      <c r="B32" s="96">
        <v>0.67322</v>
      </c>
      <c r="C32" s="97">
        <v>0.71377</v>
      </c>
      <c r="D32" s="98">
        <v>0.76729</v>
      </c>
      <c r="E32" s="99">
        <v>0.82711</v>
      </c>
      <c r="F32" s="100">
        <v>0.8226</v>
      </c>
      <c r="G32" s="101">
        <v>0.88326</v>
      </c>
      <c r="H32" s="12">
        <f>+((EXP((LN(D32)-LN(B32))/4))-1)*(100)</f>
        <v>3.3238623468459405</v>
      </c>
      <c r="I32" s="11">
        <f aca="true" t="shared" si="4" ref="I32:K35">((D32/C32)-1)*100</f>
        <v>7.49821371029884</v>
      </c>
      <c r="J32" s="12">
        <f t="shared" si="4"/>
        <v>7.7962699891827025</v>
      </c>
      <c r="K32" s="11">
        <f t="shared" si="4"/>
        <v>-0.545272091982929</v>
      </c>
      <c r="L32" s="20">
        <f>+((EXP((LN(G32)-LN(D32))/12))-1)*(100)</f>
        <v>1.1798626238167742</v>
      </c>
    </row>
    <row r="33" spans="1:12" s="7" customFormat="1" ht="12">
      <c r="A33" s="24" t="s">
        <v>92</v>
      </c>
      <c r="B33" s="96" t="s">
        <v>93</v>
      </c>
      <c r="C33" s="97">
        <v>1.12892</v>
      </c>
      <c r="D33" s="98">
        <v>1.23701</v>
      </c>
      <c r="E33" s="99">
        <v>1.32714</v>
      </c>
      <c r="F33" s="100">
        <v>1.33976</v>
      </c>
      <c r="G33" s="101">
        <v>1.37931</v>
      </c>
      <c r="H33" s="12" t="s">
        <v>93</v>
      </c>
      <c r="I33" s="11">
        <f t="shared" si="4"/>
        <v>9.574637706834842</v>
      </c>
      <c r="J33" s="12">
        <f t="shared" si="4"/>
        <v>7.286117331306952</v>
      </c>
      <c r="K33" s="11">
        <f t="shared" si="4"/>
        <v>0.9509170095091779</v>
      </c>
      <c r="L33" s="20">
        <f>+((EXP((LN(G33)-LN(D33))/12))-1)*(100)</f>
        <v>0.9115141895841061</v>
      </c>
    </row>
    <row r="34" spans="1:12" s="7" customFormat="1" ht="12">
      <c r="A34" s="24" t="s">
        <v>15</v>
      </c>
      <c r="B34" s="96">
        <v>1.514</v>
      </c>
      <c r="C34" s="97">
        <v>1.637</v>
      </c>
      <c r="D34" s="98">
        <v>1.82415</v>
      </c>
      <c r="E34" s="99">
        <v>1.90367</v>
      </c>
      <c r="F34" s="100">
        <v>1.88893</v>
      </c>
      <c r="G34" s="101">
        <v>1.88964</v>
      </c>
      <c r="H34" s="12">
        <f>+((EXP((LN(D34)-LN(B34))/4))-1)*(100)</f>
        <v>4.769209738339586</v>
      </c>
      <c r="I34" s="11">
        <f t="shared" si="4"/>
        <v>11.432498472816132</v>
      </c>
      <c r="J34" s="12">
        <f t="shared" si="4"/>
        <v>4.359290628511903</v>
      </c>
      <c r="K34" s="11">
        <f t="shared" si="4"/>
        <v>-0.7742938639575092</v>
      </c>
      <c r="L34" s="20">
        <f>+((EXP((LN(G34)-LN(D34))/12))-1)*(100)</f>
        <v>0.294367492933989</v>
      </c>
    </row>
    <row r="35" spans="1:12" s="7" customFormat="1" ht="12.75" thickBot="1">
      <c r="A35" s="36" t="s">
        <v>16</v>
      </c>
      <c r="B35" s="102">
        <v>9.27898</v>
      </c>
      <c r="C35" s="103">
        <v>8.6249</v>
      </c>
      <c r="D35" s="104">
        <v>9.21384</v>
      </c>
      <c r="E35" s="105">
        <v>9.84636</v>
      </c>
      <c r="F35" s="106">
        <v>10.18177</v>
      </c>
      <c r="G35" s="107">
        <v>11.71653</v>
      </c>
      <c r="H35" s="92">
        <f>+((EXP((LN(D35)-LN(B35))/4))-1)*(100)</f>
        <v>-0.1759681312322292</v>
      </c>
      <c r="I35" s="22">
        <f t="shared" si="4"/>
        <v>6.8283690245683815</v>
      </c>
      <c r="J35" s="21">
        <f t="shared" si="4"/>
        <v>6.864890208642671</v>
      </c>
      <c r="K35" s="22">
        <f t="shared" si="4"/>
        <v>3.4064364902359756</v>
      </c>
      <c r="L35" s="159">
        <f>+((EXP((LN(G35)-LN(D35))/12))-1)*(100)</f>
        <v>2.0226332183098217</v>
      </c>
    </row>
    <row r="36" s="7" customFormat="1" ht="12"/>
    <row r="37" s="7" customFormat="1" ht="12">
      <c r="A37" s="7" t="s">
        <v>164</v>
      </c>
    </row>
    <row r="38" s="7" customFormat="1" ht="12">
      <c r="A38" s="7" t="s">
        <v>165</v>
      </c>
    </row>
    <row r="39" s="7" customFormat="1" ht="12">
      <c r="A39" s="7" t="s">
        <v>166</v>
      </c>
    </row>
    <row r="40" s="7" customFormat="1" ht="12"/>
    <row r="41" s="7" customFormat="1" ht="12">
      <c r="A41" s="7" t="s">
        <v>17</v>
      </c>
    </row>
    <row r="42" s="7" customFormat="1" ht="12">
      <c r="A42" s="7" t="s">
        <v>18</v>
      </c>
    </row>
    <row r="43" spans="1:11" ht="12.75">
      <c r="A43" s="7" t="s">
        <v>19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2" ht="12.75">
      <c r="A45" s="226" t="s">
        <v>197</v>
      </c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</sheetData>
  <mergeCells count="1">
    <mergeCell ref="A45:L45"/>
  </mergeCells>
  <printOptions horizontalCentered="1"/>
  <pageMargins left="1" right="0.75" top="0.65" bottom="0.65" header="0.5" footer="0.5"/>
  <pageSetup fitToHeight="1" fitToWidth="1" horizontalDpi="300" verticalDpi="300" orientation="landscape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12" width="8.7109375" style="0" customWidth="1"/>
  </cols>
  <sheetData>
    <row r="1" spans="1:12" ht="15.75">
      <c r="A1" s="3" t="s">
        <v>133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5" t="s">
        <v>102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5" t="s">
        <v>104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8">
      <c r="A6" s="5" t="s">
        <v>159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3.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32" customFormat="1" ht="12.75" thickBot="1">
      <c r="A8" s="197"/>
      <c r="B8" s="30" t="s">
        <v>1</v>
      </c>
      <c r="C8" s="30"/>
      <c r="D8" s="30"/>
      <c r="E8" s="59" t="s">
        <v>2</v>
      </c>
      <c r="F8" s="30"/>
      <c r="G8" s="31"/>
      <c r="H8" s="30" t="s">
        <v>3</v>
      </c>
      <c r="I8" s="30"/>
      <c r="J8" s="30"/>
      <c r="K8" s="30"/>
      <c r="L8" s="31"/>
    </row>
    <row r="9" spans="1:12" s="32" customFormat="1" ht="12">
      <c r="A9" s="198" t="s">
        <v>105</v>
      </c>
      <c r="B9" s="55">
        <v>2000</v>
      </c>
      <c r="C9" s="39">
        <v>2003</v>
      </c>
      <c r="D9" s="60">
        <v>2004</v>
      </c>
      <c r="E9" s="59">
        <v>2005</v>
      </c>
      <c r="F9" s="170">
        <v>2006</v>
      </c>
      <c r="G9" s="171">
        <f>D9+12</f>
        <v>2016</v>
      </c>
      <c r="H9" s="33" t="s">
        <v>162</v>
      </c>
      <c r="I9" s="40" t="s">
        <v>101</v>
      </c>
      <c r="J9" s="54" t="s">
        <v>132</v>
      </c>
      <c r="K9" s="40" t="s">
        <v>155</v>
      </c>
      <c r="L9" s="160" t="s">
        <v>156</v>
      </c>
    </row>
    <row r="10" spans="1:12" s="7" customFormat="1" ht="12">
      <c r="A10" s="199"/>
      <c r="B10" s="14"/>
      <c r="C10" s="8"/>
      <c r="D10" s="14"/>
      <c r="E10" s="18"/>
      <c r="F10" s="14"/>
      <c r="G10" s="68"/>
      <c r="H10" s="14"/>
      <c r="I10" s="8"/>
      <c r="J10" s="14"/>
      <c r="K10" s="8"/>
      <c r="L10" s="68"/>
    </row>
    <row r="11" spans="1:12" s="7" customFormat="1" ht="12">
      <c r="A11" s="200" t="s">
        <v>106</v>
      </c>
      <c r="B11" s="14"/>
      <c r="C11" s="150"/>
      <c r="D11" s="14"/>
      <c r="E11" s="18"/>
      <c r="F11" s="14"/>
      <c r="G11" s="68"/>
      <c r="H11" s="14"/>
      <c r="I11" s="8"/>
      <c r="J11" s="14"/>
      <c r="K11" s="8"/>
      <c r="L11" s="68"/>
    </row>
    <row r="12" spans="1:12" s="7" customFormat="1" ht="12">
      <c r="A12" s="199" t="s">
        <v>163</v>
      </c>
      <c r="B12" s="17">
        <v>9816.95</v>
      </c>
      <c r="C12" s="151">
        <v>10381.3</v>
      </c>
      <c r="D12" s="17">
        <v>10842.18</v>
      </c>
      <c r="E12" s="63">
        <v>11232.7</v>
      </c>
      <c r="F12" s="17">
        <v>11626.25</v>
      </c>
      <c r="G12" s="64">
        <v>15762.46</v>
      </c>
      <c r="H12" s="12">
        <f>+((EXP((LN(D12)-LN(B12))/4))-1)*(100)</f>
        <v>2.51443170772081</v>
      </c>
      <c r="I12" s="11">
        <f aca="true" t="shared" si="0" ref="I12:K13">((D12/C12)-1)*100</f>
        <v>4.439521061909413</v>
      </c>
      <c r="J12" s="12">
        <f t="shared" si="0"/>
        <v>3.6018586667994956</v>
      </c>
      <c r="K12" s="11">
        <f t="shared" si="0"/>
        <v>3.503609995815782</v>
      </c>
      <c r="L12" s="23">
        <f aca="true" t="shared" si="1" ref="L12:L22">+((EXP((LN(G12)-LN(D12))/12))-1)*(100)</f>
        <v>3.1673516199054674</v>
      </c>
    </row>
    <row r="13" spans="1:12" s="7" customFormat="1" ht="12">
      <c r="A13" s="199" t="s">
        <v>191</v>
      </c>
      <c r="B13" s="17">
        <v>100</v>
      </c>
      <c r="C13" s="151">
        <v>105.155</v>
      </c>
      <c r="D13" s="17">
        <v>127.93</v>
      </c>
      <c r="E13" s="63">
        <v>137.56</v>
      </c>
      <c r="F13" s="17">
        <v>125.553</v>
      </c>
      <c r="G13" s="64">
        <v>140.139</v>
      </c>
      <c r="H13" s="12">
        <f>+((EXP((LN(D13)-LN(B13))/4))-1)*(100)</f>
        <v>6.351372740314543</v>
      </c>
      <c r="I13" s="11">
        <f t="shared" si="0"/>
        <v>21.658504112976097</v>
      </c>
      <c r="J13" s="12">
        <f t="shared" si="0"/>
        <v>7.527554131165481</v>
      </c>
      <c r="K13" s="11">
        <f t="shared" si="0"/>
        <v>-8.728554812445477</v>
      </c>
      <c r="L13" s="23">
        <f t="shared" si="1"/>
        <v>0.7624884829059209</v>
      </c>
    </row>
    <row r="14" spans="1:12" s="7" customFormat="1" ht="12">
      <c r="A14" s="199"/>
      <c r="B14" s="45"/>
      <c r="C14" s="151"/>
      <c r="D14" s="196"/>
      <c r="E14" s="63"/>
      <c r="F14" s="10"/>
      <c r="G14" s="64"/>
      <c r="H14" s="12"/>
      <c r="I14" s="11"/>
      <c r="J14" s="12"/>
      <c r="K14" s="11"/>
      <c r="L14" s="23"/>
    </row>
    <row r="15" spans="1:12" s="7" customFormat="1" ht="12">
      <c r="A15" s="200" t="s">
        <v>136</v>
      </c>
      <c r="B15" s="17"/>
      <c r="C15" s="151"/>
      <c r="D15" s="17"/>
      <c r="E15" s="63"/>
      <c r="F15" s="17"/>
      <c r="G15" s="64"/>
      <c r="H15" s="12"/>
      <c r="I15" s="11"/>
      <c r="J15" s="12"/>
      <c r="K15" s="11"/>
      <c r="L15" s="23"/>
    </row>
    <row r="16" spans="1:12" s="7" customFormat="1" ht="12">
      <c r="A16" s="200" t="s">
        <v>143</v>
      </c>
      <c r="B16" s="17"/>
      <c r="C16" s="151"/>
      <c r="D16" s="17"/>
      <c r="E16" s="61"/>
      <c r="F16" s="10"/>
      <c r="G16" s="62"/>
      <c r="H16" s="12"/>
      <c r="I16" s="11"/>
      <c r="J16" s="12"/>
      <c r="K16" s="11"/>
      <c r="L16" s="23"/>
    </row>
    <row r="17" spans="1:12" s="7" customFormat="1" ht="12">
      <c r="A17" s="199" t="s">
        <v>107</v>
      </c>
      <c r="B17" s="17">
        <f aca="true" t="shared" si="2" ref="B17:G17">B18+B19</f>
        <v>644.115</v>
      </c>
      <c r="C17" s="10">
        <f t="shared" si="2"/>
        <v>593.123</v>
      </c>
      <c r="D17" s="17">
        <f t="shared" si="2"/>
        <v>637.684</v>
      </c>
      <c r="E17" s="61">
        <f t="shared" si="2"/>
        <v>652.608</v>
      </c>
      <c r="F17" s="10">
        <f t="shared" si="2"/>
        <v>686.044</v>
      </c>
      <c r="G17" s="62">
        <f t="shared" si="2"/>
        <v>942.464</v>
      </c>
      <c r="H17" s="12">
        <f aca="true" t="shared" si="3" ref="H17:H23">+((EXP((LN(D17)-LN(B17))/4))-1)*(100)</f>
        <v>-0.25054607688276276</v>
      </c>
      <c r="I17" s="11">
        <f aca="true" t="shared" si="4" ref="I17:K19">((D17/C17)-1)*100</f>
        <v>7.5129441953861065</v>
      </c>
      <c r="J17" s="12">
        <f t="shared" si="4"/>
        <v>2.340344120285276</v>
      </c>
      <c r="K17" s="11">
        <f t="shared" si="4"/>
        <v>5.123443169559683</v>
      </c>
      <c r="L17" s="23">
        <f t="shared" si="1"/>
        <v>3.309026901765333</v>
      </c>
    </row>
    <row r="18" spans="1:12" s="7" customFormat="1" ht="12">
      <c r="A18" s="199" t="s">
        <v>190</v>
      </c>
      <c r="B18" s="17">
        <v>563.103</v>
      </c>
      <c r="C18" s="151">
        <v>483.677</v>
      </c>
      <c r="D18" s="17">
        <v>507.504</v>
      </c>
      <c r="E18" s="61">
        <v>505.173</v>
      </c>
      <c r="F18" s="10">
        <v>523.865</v>
      </c>
      <c r="G18" s="62">
        <v>699.359</v>
      </c>
      <c r="H18" s="12">
        <f t="shared" si="3"/>
        <v>-2.5654671838871823</v>
      </c>
      <c r="I18" s="11">
        <f t="shared" si="4"/>
        <v>4.926221424628419</v>
      </c>
      <c r="J18" s="12">
        <f t="shared" si="4"/>
        <v>-0.45930672467606737</v>
      </c>
      <c r="K18" s="11">
        <f t="shared" si="4"/>
        <v>3.70011857324124</v>
      </c>
      <c r="L18" s="23">
        <f>+((EXP((LN(G18)-LN(D18))/12))-1)*(100)</f>
        <v>2.7081858347542065</v>
      </c>
    </row>
    <row r="19" spans="1:12" s="7" customFormat="1" ht="12">
      <c r="A19" s="199" t="s">
        <v>135</v>
      </c>
      <c r="B19" s="17">
        <v>81.012</v>
      </c>
      <c r="C19" s="151">
        <v>109.446</v>
      </c>
      <c r="D19" s="17">
        <v>130.18</v>
      </c>
      <c r="E19" s="61">
        <v>147.435</v>
      </c>
      <c r="F19" s="10">
        <v>162.179</v>
      </c>
      <c r="G19" s="62">
        <v>243.105</v>
      </c>
      <c r="H19" s="12">
        <f t="shared" si="3"/>
        <v>12.589717202105044</v>
      </c>
      <c r="I19" s="11">
        <f t="shared" si="4"/>
        <v>18.944502311642285</v>
      </c>
      <c r="J19" s="12">
        <f t="shared" si="4"/>
        <v>13.25472422799201</v>
      </c>
      <c r="K19" s="11">
        <f t="shared" si="4"/>
        <v>10.00033913249907</v>
      </c>
      <c r="L19" s="23">
        <f>+((EXP((LN(G19)-LN(D19))/12))-1)*(100)</f>
        <v>5.342624787972028</v>
      </c>
    </row>
    <row r="20" spans="1:12" s="7" customFormat="1" ht="12">
      <c r="A20" s="199" t="s">
        <v>108</v>
      </c>
      <c r="B20" s="17">
        <f aca="true" t="shared" si="5" ref="B20:G20">B21+B22</f>
        <v>57.238</v>
      </c>
      <c r="C20" s="16">
        <f t="shared" si="5"/>
        <v>54.563</v>
      </c>
      <c r="D20" s="17">
        <f t="shared" si="5"/>
        <v>62.717</v>
      </c>
      <c r="E20" s="61">
        <f t="shared" si="5"/>
        <v>69.887</v>
      </c>
      <c r="F20" s="16">
        <f t="shared" si="5"/>
        <v>74.18799999999999</v>
      </c>
      <c r="G20" s="62">
        <f t="shared" si="5"/>
        <v>114.343</v>
      </c>
      <c r="H20" s="12">
        <f t="shared" si="3"/>
        <v>2.311677748835561</v>
      </c>
      <c r="I20" s="11">
        <f aca="true" t="shared" si="6" ref="I20:K23">((D20/C20)-1)*100</f>
        <v>14.944192951267343</v>
      </c>
      <c r="J20" s="12">
        <f t="shared" si="6"/>
        <v>11.432307029991872</v>
      </c>
      <c r="K20" s="11">
        <f t="shared" si="6"/>
        <v>6.154220384334685</v>
      </c>
      <c r="L20" s="23">
        <f>+((EXP((LN(G20)-LN(D20))/12))-1)*(100)</f>
        <v>5.132104693595951</v>
      </c>
    </row>
    <row r="21" spans="1:12" s="7" customFormat="1" ht="12">
      <c r="A21" s="199" t="s">
        <v>190</v>
      </c>
      <c r="B21" s="17">
        <v>53.994</v>
      </c>
      <c r="C21" s="16">
        <v>50.965</v>
      </c>
      <c r="D21" s="17">
        <v>58.519</v>
      </c>
      <c r="E21" s="61">
        <v>64.551</v>
      </c>
      <c r="F21" s="10">
        <v>68.618</v>
      </c>
      <c r="G21" s="62">
        <v>105.602</v>
      </c>
      <c r="H21" s="12">
        <f t="shared" si="3"/>
        <v>2.0323403847216426</v>
      </c>
      <c r="I21" s="11">
        <f t="shared" si="6"/>
        <v>14.82193662317275</v>
      </c>
      <c r="J21" s="12">
        <f t="shared" si="6"/>
        <v>10.307763290555204</v>
      </c>
      <c r="K21" s="11">
        <f t="shared" si="6"/>
        <v>6.30044460968846</v>
      </c>
      <c r="L21" s="23">
        <f t="shared" si="1"/>
        <v>5.042392265784423</v>
      </c>
    </row>
    <row r="22" spans="1:12" s="7" customFormat="1" ht="12">
      <c r="A22" s="199" t="s">
        <v>135</v>
      </c>
      <c r="B22" s="17">
        <v>3.244</v>
      </c>
      <c r="C22" s="151">
        <v>3.598</v>
      </c>
      <c r="D22" s="17">
        <v>4.198</v>
      </c>
      <c r="E22" s="63">
        <v>5.336</v>
      </c>
      <c r="F22" s="17">
        <v>5.57</v>
      </c>
      <c r="G22" s="64">
        <v>8.741</v>
      </c>
      <c r="H22" s="12">
        <f t="shared" si="3"/>
        <v>6.657253764549442</v>
      </c>
      <c r="I22" s="11">
        <f t="shared" si="6"/>
        <v>16.67593107281824</v>
      </c>
      <c r="J22" s="12">
        <f t="shared" si="6"/>
        <v>27.108146736541205</v>
      </c>
      <c r="K22" s="11">
        <f t="shared" si="6"/>
        <v>4.385307346326828</v>
      </c>
      <c r="L22" s="23">
        <f t="shared" si="1"/>
        <v>6.302437716223919</v>
      </c>
    </row>
    <row r="23" spans="1:12" s="7" customFormat="1" ht="12">
      <c r="A23" s="199" t="s">
        <v>109</v>
      </c>
      <c r="B23" s="45">
        <f aca="true" t="shared" si="7" ref="B23:G23">B17+B20</f>
        <v>701.3530000000001</v>
      </c>
      <c r="C23" s="10">
        <f t="shared" si="7"/>
        <v>647.686</v>
      </c>
      <c r="D23" s="196">
        <f t="shared" si="7"/>
        <v>700.401</v>
      </c>
      <c r="E23" s="63">
        <f t="shared" si="7"/>
        <v>722.4949999999999</v>
      </c>
      <c r="F23" s="10">
        <f t="shared" si="7"/>
        <v>760.232</v>
      </c>
      <c r="G23" s="64">
        <f t="shared" si="7"/>
        <v>1056.807</v>
      </c>
      <c r="H23" s="12">
        <f t="shared" si="3"/>
        <v>-0.033951696486034244</v>
      </c>
      <c r="I23" s="11">
        <f t="shared" si="6"/>
        <v>8.138974750110384</v>
      </c>
      <c r="J23" s="12">
        <f t="shared" si="6"/>
        <v>3.154478648659831</v>
      </c>
      <c r="K23" s="11">
        <f t="shared" si="6"/>
        <v>5.223150333220317</v>
      </c>
      <c r="L23" s="23">
        <f>+((EXP((LN(G23)-LN(D23))/12))-1)*(100)</f>
        <v>3.4873843619920963</v>
      </c>
    </row>
    <row r="24" spans="1:12" s="7" customFormat="1" ht="12">
      <c r="A24" s="199"/>
      <c r="B24" s="17"/>
      <c r="C24" s="10"/>
      <c r="D24" s="17"/>
      <c r="E24" s="194"/>
      <c r="F24" s="51"/>
      <c r="G24" s="69"/>
      <c r="H24" s="47"/>
      <c r="I24" s="48"/>
      <c r="J24" s="47"/>
      <c r="K24" s="48"/>
      <c r="L24" s="161"/>
    </row>
    <row r="25" spans="1:12" s="7" customFormat="1" ht="12">
      <c r="A25" s="200" t="s">
        <v>137</v>
      </c>
      <c r="B25" s="17"/>
      <c r="C25" s="10"/>
      <c r="D25" s="17"/>
      <c r="E25" s="194"/>
      <c r="F25" s="51"/>
      <c r="G25" s="69"/>
      <c r="H25" s="47"/>
      <c r="I25" s="48"/>
      <c r="J25" s="47"/>
      <c r="K25" s="48"/>
      <c r="L25" s="161"/>
    </row>
    <row r="26" spans="1:12" s="7" customFormat="1" ht="12">
      <c r="A26" s="200" t="s">
        <v>144</v>
      </c>
      <c r="B26" s="17"/>
      <c r="C26" s="10"/>
      <c r="D26" s="17"/>
      <c r="E26" s="194"/>
      <c r="F26" s="51"/>
      <c r="G26" s="69"/>
      <c r="H26" s="47"/>
      <c r="I26" s="48"/>
      <c r="J26" s="47"/>
      <c r="K26" s="48"/>
      <c r="L26" s="161"/>
    </row>
    <row r="27" spans="1:12" s="7" customFormat="1" ht="12">
      <c r="A27" s="199" t="s">
        <v>107</v>
      </c>
      <c r="B27" s="17">
        <f aca="true" t="shared" si="8" ref="B27:G27">B28+B29</f>
        <v>517.4250000000001</v>
      </c>
      <c r="C27" s="10">
        <f t="shared" si="8"/>
        <v>500.32</v>
      </c>
      <c r="D27" s="17">
        <f t="shared" si="8"/>
        <v>550.613</v>
      </c>
      <c r="E27" s="61">
        <f t="shared" si="8"/>
        <v>564.711</v>
      </c>
      <c r="F27" s="10">
        <f t="shared" si="8"/>
        <v>597.3580000000001</v>
      </c>
      <c r="G27" s="62">
        <f t="shared" si="8"/>
        <v>867.054</v>
      </c>
      <c r="H27" s="12">
        <f aca="true" t="shared" si="9" ref="H27:H33">+((EXP((LN(D27)-LN(B27))/4))-1)*(100)</f>
        <v>1.5663307505614288</v>
      </c>
      <c r="I27" s="11">
        <f aca="true" t="shared" si="10" ref="I27:K31">((D27/C27)-1)*100</f>
        <v>10.052166613367453</v>
      </c>
      <c r="J27" s="12">
        <f t="shared" si="10"/>
        <v>2.5604190238879054</v>
      </c>
      <c r="K27" s="11">
        <f t="shared" si="10"/>
        <v>5.781187191324411</v>
      </c>
      <c r="L27" s="23">
        <f aca="true" t="shared" si="11" ref="L27:L32">+((EXP((LN(G27)-LN(D27))/12))-1)*(100)</f>
        <v>3.8564101965723685</v>
      </c>
    </row>
    <row r="28" spans="1:12" s="7" customFormat="1" ht="12">
      <c r="A28" s="199" t="s">
        <v>190</v>
      </c>
      <c r="B28" s="17">
        <v>493.759</v>
      </c>
      <c r="C28" s="151">
        <v>458.118</v>
      </c>
      <c r="D28" s="17">
        <v>496.023</v>
      </c>
      <c r="E28" s="61">
        <v>499.216</v>
      </c>
      <c r="F28" s="10">
        <v>523.677</v>
      </c>
      <c r="G28" s="62">
        <v>744.669</v>
      </c>
      <c r="H28" s="12">
        <f t="shared" si="9"/>
        <v>0.11443424407915348</v>
      </c>
      <c r="I28" s="11">
        <f t="shared" si="10"/>
        <v>8.27406912629498</v>
      </c>
      <c r="J28" s="12">
        <f t="shared" si="10"/>
        <v>0.6437201500736789</v>
      </c>
      <c r="K28" s="11">
        <f t="shared" si="10"/>
        <v>4.899883016569984</v>
      </c>
      <c r="L28" s="23">
        <f t="shared" si="11"/>
        <v>3.443956190392128</v>
      </c>
    </row>
    <row r="29" spans="1:12" s="7" customFormat="1" ht="12">
      <c r="A29" s="199" t="s">
        <v>135</v>
      </c>
      <c r="B29" s="17">
        <v>23.666</v>
      </c>
      <c r="C29" s="151">
        <v>42.202</v>
      </c>
      <c r="D29" s="17">
        <v>54.59</v>
      </c>
      <c r="E29" s="61">
        <v>65.495</v>
      </c>
      <c r="F29" s="10">
        <v>73.681</v>
      </c>
      <c r="G29" s="62">
        <v>122.385</v>
      </c>
      <c r="H29" s="12">
        <f t="shared" si="9"/>
        <v>23.238685833255257</v>
      </c>
      <c r="I29" s="11">
        <f t="shared" si="10"/>
        <v>29.354059049334168</v>
      </c>
      <c r="J29" s="12">
        <f t="shared" si="10"/>
        <v>19.976186114673023</v>
      </c>
      <c r="K29" s="11">
        <f t="shared" si="10"/>
        <v>12.498664020154205</v>
      </c>
      <c r="L29" s="23">
        <f t="shared" si="11"/>
        <v>6.959145536411171</v>
      </c>
    </row>
    <row r="30" spans="1:12" s="7" customFormat="1" ht="12">
      <c r="A30" s="199" t="s">
        <v>108</v>
      </c>
      <c r="B30" s="17">
        <f aca="true" t="shared" si="12" ref="B30:G30">SUM(B31:B32)</f>
        <v>185.5</v>
      </c>
      <c r="C30" s="16">
        <f t="shared" si="12"/>
        <v>156.923</v>
      </c>
      <c r="D30" s="17">
        <f t="shared" si="12"/>
        <v>181.5599</v>
      </c>
      <c r="E30" s="61">
        <f t="shared" si="12"/>
        <v>202.2327</v>
      </c>
      <c r="F30" s="10">
        <f t="shared" si="12"/>
        <v>218.15349999999998</v>
      </c>
      <c r="G30" s="62">
        <f t="shared" si="12"/>
        <v>343.44500000000005</v>
      </c>
      <c r="H30" s="12">
        <f t="shared" si="9"/>
        <v>-0.5352935517374258</v>
      </c>
      <c r="I30" s="11">
        <f t="shared" si="10"/>
        <v>15.699992990192646</v>
      </c>
      <c r="J30" s="12">
        <f t="shared" si="10"/>
        <v>11.386214687274009</v>
      </c>
      <c r="K30" s="11">
        <f t="shared" si="10"/>
        <v>7.872515176823525</v>
      </c>
      <c r="L30" s="23">
        <f t="shared" si="11"/>
        <v>5.455630339762263</v>
      </c>
    </row>
    <row r="31" spans="1:12" s="7" customFormat="1" ht="12">
      <c r="A31" s="199" t="s">
        <v>190</v>
      </c>
      <c r="B31" s="17">
        <v>184.626</v>
      </c>
      <c r="C31" s="151">
        <v>155.741</v>
      </c>
      <c r="D31" s="17">
        <v>179.938</v>
      </c>
      <c r="E31" s="63">
        <v>200.013</v>
      </c>
      <c r="F31" s="17">
        <v>215.814</v>
      </c>
      <c r="G31" s="64">
        <v>339.475</v>
      </c>
      <c r="H31" s="12">
        <f t="shared" si="9"/>
        <v>-0.6409324618656509</v>
      </c>
      <c r="I31" s="11">
        <f t="shared" si="10"/>
        <v>15.536692328930712</v>
      </c>
      <c r="J31" s="12">
        <f t="shared" si="10"/>
        <v>11.156620613766965</v>
      </c>
      <c r="K31" s="11">
        <f t="shared" si="10"/>
        <v>7.899986500877443</v>
      </c>
      <c r="L31" s="23">
        <f t="shared" si="11"/>
        <v>5.4323149542485405</v>
      </c>
    </row>
    <row r="32" spans="1:12" s="7" customFormat="1" ht="12">
      <c r="A32" s="199" t="s">
        <v>135</v>
      </c>
      <c r="B32" s="17">
        <v>0.874</v>
      </c>
      <c r="C32" s="151">
        <v>1.182</v>
      </c>
      <c r="D32" s="17">
        <v>1.6219</v>
      </c>
      <c r="E32" s="63">
        <v>2.2197</v>
      </c>
      <c r="F32" s="17">
        <v>2.3395</v>
      </c>
      <c r="G32" s="64">
        <v>3.97</v>
      </c>
      <c r="H32" s="12">
        <f t="shared" si="9"/>
        <v>16.71539933645887</v>
      </c>
      <c r="I32" s="11">
        <f aca="true" t="shared" si="13" ref="I32:K33">((D32/C32)-1)*100</f>
        <v>37.21658206429781</v>
      </c>
      <c r="J32" s="12">
        <f t="shared" si="13"/>
        <v>36.858006042296076</v>
      </c>
      <c r="K32" s="11">
        <f t="shared" si="13"/>
        <v>5.397125737712316</v>
      </c>
      <c r="L32" s="23">
        <f t="shared" si="11"/>
        <v>7.745019166994949</v>
      </c>
    </row>
    <row r="33" spans="1:12" s="7" customFormat="1" ht="12">
      <c r="A33" s="199" t="s">
        <v>109</v>
      </c>
      <c r="B33" s="45">
        <f aca="true" t="shared" si="14" ref="B33:G33">B27+B30</f>
        <v>702.9250000000001</v>
      </c>
      <c r="C33" s="10">
        <f t="shared" si="14"/>
        <v>657.2429999999999</v>
      </c>
      <c r="D33" s="196">
        <f t="shared" si="14"/>
        <v>732.1729</v>
      </c>
      <c r="E33" s="63">
        <f t="shared" si="14"/>
        <v>766.9437</v>
      </c>
      <c r="F33" s="10">
        <f t="shared" si="14"/>
        <v>815.5115000000001</v>
      </c>
      <c r="G33" s="64">
        <f t="shared" si="14"/>
        <v>1210.499</v>
      </c>
      <c r="H33" s="12">
        <f t="shared" si="9"/>
        <v>1.0243733404243782</v>
      </c>
      <c r="I33" s="11">
        <f t="shared" si="13"/>
        <v>11.400638728750256</v>
      </c>
      <c r="J33" s="12">
        <f t="shared" si="13"/>
        <v>4.748987568373542</v>
      </c>
      <c r="K33" s="11">
        <f t="shared" si="13"/>
        <v>6.332642148308931</v>
      </c>
      <c r="L33" s="23">
        <f>+((EXP((LN(G33)-LN(D33))/12))-1)*(100)</f>
        <v>4.278769721294529</v>
      </c>
    </row>
    <row r="34" spans="1:12" s="7" customFormat="1" ht="12">
      <c r="A34" s="199"/>
      <c r="B34" s="17"/>
      <c r="C34" s="10"/>
      <c r="D34" s="17"/>
      <c r="E34" s="63"/>
      <c r="F34" s="17"/>
      <c r="G34" s="64"/>
      <c r="H34" s="12"/>
      <c r="I34" s="11"/>
      <c r="J34" s="12"/>
      <c r="K34" s="11"/>
      <c r="L34" s="23"/>
    </row>
    <row r="35" spans="1:12" s="7" customFormat="1" ht="12">
      <c r="A35" s="200" t="s">
        <v>145</v>
      </c>
      <c r="B35" s="17"/>
      <c r="C35" s="10"/>
      <c r="D35" s="17"/>
      <c r="E35" s="63"/>
      <c r="F35" s="17"/>
      <c r="G35" s="64"/>
      <c r="H35" s="12"/>
      <c r="I35" s="11"/>
      <c r="J35" s="12"/>
      <c r="K35" s="11"/>
      <c r="L35" s="23"/>
    </row>
    <row r="36" spans="1:12" s="7" customFormat="1" ht="12">
      <c r="A36" s="199" t="s">
        <v>107</v>
      </c>
      <c r="B36" s="17">
        <v>14.665</v>
      </c>
      <c r="C36" s="10">
        <v>15.138</v>
      </c>
      <c r="D36" s="17">
        <v>15.655</v>
      </c>
      <c r="E36" s="63">
        <v>16.293</v>
      </c>
      <c r="F36" s="17">
        <v>16.854</v>
      </c>
      <c r="G36" s="64">
        <v>23.287</v>
      </c>
      <c r="H36" s="12">
        <f>+((EXP((LN(D36)-LN(B36))/4))-1)*(100)</f>
        <v>1.6465753676390138</v>
      </c>
      <c r="I36" s="11">
        <f aca="true" t="shared" si="15" ref="I36:K38">((D36/C36)-1)*100</f>
        <v>3.4152463997886073</v>
      </c>
      <c r="J36" s="12">
        <f t="shared" si="15"/>
        <v>4.075375279463422</v>
      </c>
      <c r="K36" s="11">
        <f t="shared" si="15"/>
        <v>3.443196464739451</v>
      </c>
      <c r="L36" s="23">
        <f>+((EXP((LN(G36)-LN(D36))/12))-1)*(100)</f>
        <v>3.3645708664710616</v>
      </c>
    </row>
    <row r="37" spans="1:12" s="7" customFormat="1" ht="12">
      <c r="A37" s="199" t="s">
        <v>108</v>
      </c>
      <c r="B37" s="17">
        <v>15.39</v>
      </c>
      <c r="C37" s="10">
        <v>18.228</v>
      </c>
      <c r="D37" s="17">
        <v>19.966</v>
      </c>
      <c r="E37" s="63">
        <v>21.28</v>
      </c>
      <c r="F37" s="17">
        <v>22.615</v>
      </c>
      <c r="G37" s="64">
        <v>40.844</v>
      </c>
      <c r="H37" s="12">
        <f>+((EXP((LN(D37)-LN(B37))/4))-1)*(100)</f>
        <v>6.724250057791847</v>
      </c>
      <c r="I37" s="11">
        <f t="shared" si="15"/>
        <v>9.534781654597314</v>
      </c>
      <c r="J37" s="12">
        <f t="shared" si="15"/>
        <v>6.581188019633366</v>
      </c>
      <c r="K37" s="11">
        <f t="shared" si="15"/>
        <v>6.273496240601495</v>
      </c>
      <c r="L37" s="23">
        <f>+((EXP((LN(G37)-LN(D37))/12))-1)*(100)</f>
        <v>6.1458697736370915</v>
      </c>
    </row>
    <row r="38" spans="1:12" s="7" customFormat="1" ht="12">
      <c r="A38" s="199" t="s">
        <v>109</v>
      </c>
      <c r="B38" s="45">
        <f aca="true" t="shared" si="16" ref="B38:G38">B36+B37</f>
        <v>30.055</v>
      </c>
      <c r="C38" s="10">
        <f t="shared" si="16"/>
        <v>33.366</v>
      </c>
      <c r="D38" s="196">
        <f t="shared" si="16"/>
        <v>35.621</v>
      </c>
      <c r="E38" s="63">
        <f t="shared" si="16"/>
        <v>37.573</v>
      </c>
      <c r="F38" s="10">
        <f t="shared" si="16"/>
        <v>39.468999999999994</v>
      </c>
      <c r="G38" s="64">
        <f t="shared" si="16"/>
        <v>64.131</v>
      </c>
      <c r="H38" s="12">
        <f>+((EXP((LN(D38)-LN(B38))/4))-1)*(100)</f>
        <v>4.339161857554519</v>
      </c>
      <c r="I38" s="11">
        <f t="shared" si="15"/>
        <v>6.758376790745069</v>
      </c>
      <c r="J38" s="12">
        <f t="shared" si="15"/>
        <v>5.479913534151204</v>
      </c>
      <c r="K38" s="11">
        <f t="shared" si="15"/>
        <v>5.046176775876288</v>
      </c>
      <c r="L38" s="23">
        <f>+((EXP((LN(G38)-LN(D38))/12))-1)*(100)</f>
        <v>5.0219695646222196</v>
      </c>
    </row>
    <row r="39" spans="1:12" s="7" customFormat="1" ht="12">
      <c r="A39" s="199"/>
      <c r="B39" s="17"/>
      <c r="C39" s="10"/>
      <c r="D39" s="17"/>
      <c r="E39" s="194"/>
      <c r="F39" s="51"/>
      <c r="G39" s="69"/>
      <c r="H39" s="47"/>
      <c r="I39" s="48"/>
      <c r="J39" s="47"/>
      <c r="K39" s="48"/>
      <c r="L39" s="161"/>
    </row>
    <row r="40" spans="1:12" s="7" customFormat="1" ht="12">
      <c r="A40" s="200" t="s">
        <v>115</v>
      </c>
      <c r="B40" s="17"/>
      <c r="C40" s="10"/>
      <c r="D40" s="17"/>
      <c r="E40" s="194"/>
      <c r="F40" s="51"/>
      <c r="G40" s="69"/>
      <c r="H40" s="47"/>
      <c r="I40" s="48"/>
      <c r="J40" s="47"/>
      <c r="K40" s="48"/>
      <c r="L40" s="161"/>
    </row>
    <row r="41" spans="1:12" s="7" customFormat="1" ht="12">
      <c r="A41" s="199" t="s">
        <v>110</v>
      </c>
      <c r="B41" s="154">
        <v>33.243</v>
      </c>
      <c r="C41" s="153">
        <v>32.085</v>
      </c>
      <c r="D41" s="154">
        <v>34.3</v>
      </c>
      <c r="E41" s="195">
        <v>35.1</v>
      </c>
      <c r="F41" s="154">
        <v>36.275</v>
      </c>
      <c r="G41" s="155">
        <v>46.433</v>
      </c>
      <c r="H41" s="12">
        <f>+((EXP((LN(D41)-LN(B41))/4))-1)*(100)</f>
        <v>0.7855981441473592</v>
      </c>
      <c r="I41" s="157">
        <f aca="true" t="shared" si="17" ref="I41:K43">((D41/C41)-1)*100</f>
        <v>6.90353747857253</v>
      </c>
      <c r="J41" s="156">
        <f t="shared" si="17"/>
        <v>2.3323615160349975</v>
      </c>
      <c r="K41" s="157">
        <f t="shared" si="17"/>
        <v>3.3475783475783283</v>
      </c>
      <c r="L41" s="23">
        <f>+((EXP((LN(G41)-LN(D41))/12))-1)*(100)</f>
        <v>2.555994879084933</v>
      </c>
    </row>
    <row r="42" spans="1:12" s="7" customFormat="1" ht="12">
      <c r="A42" s="199" t="s">
        <v>111</v>
      </c>
      <c r="B42" s="154">
        <v>12.812</v>
      </c>
      <c r="C42" s="153">
        <v>11.937</v>
      </c>
      <c r="D42" s="154">
        <v>12.443</v>
      </c>
      <c r="E42" s="152">
        <v>12.56</v>
      </c>
      <c r="F42" s="153">
        <v>12.693</v>
      </c>
      <c r="G42" s="155">
        <v>14.31</v>
      </c>
      <c r="H42" s="12">
        <f>+((EXP((LN(D42)-LN(B42))/4))-1)*(100)</f>
        <v>-0.7279380018947568</v>
      </c>
      <c r="I42" s="157">
        <f t="shared" si="17"/>
        <v>4.2389210019267765</v>
      </c>
      <c r="J42" s="156">
        <f t="shared" si="17"/>
        <v>0.9402877119665698</v>
      </c>
      <c r="K42" s="157">
        <f t="shared" si="17"/>
        <v>1.0589171974522138</v>
      </c>
      <c r="L42" s="23">
        <f>+((EXP((LN(G42)-LN(D42))/12))-1)*(100)</f>
        <v>1.1718157397311302</v>
      </c>
    </row>
    <row r="43" spans="1:12" s="7" customFormat="1" ht="12">
      <c r="A43" s="199" t="s">
        <v>114</v>
      </c>
      <c r="B43" s="17">
        <f aca="true" t="shared" si="18" ref="B43:G43">B41+B42</f>
        <v>46.055</v>
      </c>
      <c r="C43" s="10">
        <f t="shared" si="18"/>
        <v>44.022</v>
      </c>
      <c r="D43" s="17">
        <f t="shared" si="18"/>
        <v>46.742999999999995</v>
      </c>
      <c r="E43" s="61">
        <f t="shared" si="18"/>
        <v>47.660000000000004</v>
      </c>
      <c r="F43" s="10">
        <f t="shared" si="18"/>
        <v>48.967999999999996</v>
      </c>
      <c r="G43" s="62">
        <f t="shared" si="18"/>
        <v>60.743</v>
      </c>
      <c r="H43" s="12">
        <f>+((EXP((LN(D43)-LN(B43))/4))-1)*(100)</f>
        <v>0.37139239530987744</v>
      </c>
      <c r="I43" s="157">
        <f t="shared" si="17"/>
        <v>6.18100040888645</v>
      </c>
      <c r="J43" s="156">
        <f t="shared" si="17"/>
        <v>1.9617910703207064</v>
      </c>
      <c r="K43" s="157">
        <f t="shared" si="17"/>
        <v>2.7444397817876443</v>
      </c>
      <c r="L43" s="20">
        <f>+((EXP((LN(G43)-LN(D43))/12))-1)*(100)</f>
        <v>2.207234619001741</v>
      </c>
    </row>
    <row r="44" spans="1:12" s="7" customFormat="1" ht="12.75" thickBot="1">
      <c r="A44" s="173"/>
      <c r="B44" s="26"/>
      <c r="C44" s="27"/>
      <c r="D44" s="26"/>
      <c r="E44" s="66"/>
      <c r="F44" s="27"/>
      <c r="G44" s="73"/>
      <c r="H44" s="21"/>
      <c r="I44" s="158"/>
      <c r="J44" s="172"/>
      <c r="K44" s="158"/>
      <c r="L44" s="159"/>
    </row>
    <row r="45" s="7" customFormat="1" ht="12"/>
    <row r="46" s="7" customFormat="1" ht="12">
      <c r="A46" s="7" t="s">
        <v>173</v>
      </c>
    </row>
    <row r="47" spans="1:11" ht="12.75">
      <c r="A47" s="7" t="s">
        <v>174</v>
      </c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2" ht="12.75">
      <c r="A50" s="226" t="s">
        <v>206</v>
      </c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</sheetData>
  <mergeCells count="1">
    <mergeCell ref="A50:L50"/>
  </mergeCells>
  <printOptions horizontalCentered="1"/>
  <pageMargins left="0.25" right="0.25" top="0.5" bottom="0.5" header="0.5" footer="0.5"/>
  <pageSetup fitToHeight="1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7" width="9.28125" style="0" customWidth="1"/>
    <col min="8" max="12" width="8.7109375" style="0" customWidth="1"/>
  </cols>
  <sheetData>
    <row r="1" spans="1:12" ht="15.75">
      <c r="A1" s="3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5" t="s">
        <v>71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5" t="s">
        <v>134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8">
      <c r="A6" s="5" t="s">
        <v>154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3.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32" customFormat="1" ht="12.75" thickBot="1">
      <c r="A8" s="74"/>
      <c r="B8" s="59" t="s">
        <v>1</v>
      </c>
      <c r="C8" s="30"/>
      <c r="D8" s="31"/>
      <c r="E8" s="59" t="s">
        <v>2</v>
      </c>
      <c r="F8" s="30"/>
      <c r="G8" s="31"/>
      <c r="H8" s="59" t="s">
        <v>3</v>
      </c>
      <c r="I8" s="30"/>
      <c r="J8" s="30"/>
      <c r="K8" s="30"/>
      <c r="L8" s="31"/>
    </row>
    <row r="9" spans="1:12" s="32" customFormat="1" ht="12">
      <c r="A9" s="55" t="s">
        <v>22</v>
      </c>
      <c r="B9" s="55">
        <v>2000</v>
      </c>
      <c r="C9" s="39">
        <v>2003</v>
      </c>
      <c r="D9" s="60">
        <v>2004</v>
      </c>
      <c r="E9" s="59">
        <v>2005</v>
      </c>
      <c r="F9" s="170">
        <v>2006</v>
      </c>
      <c r="G9" s="171">
        <f>D9+12</f>
        <v>2016</v>
      </c>
      <c r="H9" s="33" t="s">
        <v>162</v>
      </c>
      <c r="I9" s="40" t="s">
        <v>101</v>
      </c>
      <c r="J9" s="54" t="s">
        <v>132</v>
      </c>
      <c r="K9" s="40" t="s">
        <v>155</v>
      </c>
      <c r="L9" s="160" t="s">
        <v>156</v>
      </c>
    </row>
    <row r="10" spans="1:12" s="7" customFormat="1" ht="12">
      <c r="A10" s="24"/>
      <c r="B10" s="24"/>
      <c r="C10" s="8"/>
      <c r="D10" s="19"/>
      <c r="E10" s="18"/>
      <c r="F10" s="14"/>
      <c r="G10" s="68"/>
      <c r="H10" s="24"/>
      <c r="I10" s="8"/>
      <c r="J10" s="14"/>
      <c r="K10" s="8"/>
      <c r="L10" s="68"/>
    </row>
    <row r="11" spans="1:12" s="7" customFormat="1" ht="12">
      <c r="A11" s="56" t="s">
        <v>193</v>
      </c>
      <c r="B11" s="119"/>
      <c r="C11" s="120"/>
      <c r="D11" s="121"/>
      <c r="E11" s="122"/>
      <c r="F11" s="123"/>
      <c r="G11" s="124"/>
      <c r="H11" s="24"/>
      <c r="I11" s="8"/>
      <c r="J11" s="14"/>
      <c r="K11" s="8"/>
      <c r="L11" s="68"/>
    </row>
    <row r="12" spans="1:12" s="7" customFormat="1" ht="12">
      <c r="A12" s="56" t="s">
        <v>194</v>
      </c>
      <c r="B12" s="119"/>
      <c r="C12" s="120"/>
      <c r="D12" s="121"/>
      <c r="E12" s="122"/>
      <c r="F12" s="123"/>
      <c r="G12" s="124"/>
      <c r="H12" s="24"/>
      <c r="I12" s="8"/>
      <c r="J12" s="14"/>
      <c r="K12" s="8"/>
      <c r="L12" s="68"/>
    </row>
    <row r="13" spans="1:12" s="7" customFormat="1" ht="12">
      <c r="A13" s="56"/>
      <c r="B13" s="119"/>
      <c r="C13" s="120"/>
      <c r="D13" s="121"/>
      <c r="E13" s="122"/>
      <c r="F13" s="123"/>
      <c r="G13" s="124"/>
      <c r="H13" s="24"/>
      <c r="I13" s="8"/>
      <c r="J13" s="14"/>
      <c r="K13" s="8"/>
      <c r="L13" s="68"/>
    </row>
    <row r="14" spans="1:12" s="7" customFormat="1" ht="12">
      <c r="A14" s="174" t="s">
        <v>177</v>
      </c>
      <c r="B14" s="119"/>
      <c r="C14" s="120"/>
      <c r="D14" s="121"/>
      <c r="E14" s="122"/>
      <c r="F14" s="123"/>
      <c r="G14" s="124"/>
      <c r="H14" s="24"/>
      <c r="I14" s="8"/>
      <c r="J14" s="14"/>
      <c r="K14" s="8"/>
      <c r="L14" s="68"/>
    </row>
    <row r="15" spans="1:12" s="7" customFormat="1" ht="12">
      <c r="A15" s="24" t="s">
        <v>31</v>
      </c>
      <c r="B15" s="65">
        <f>'TABLE I-3'!B21+'TABLE I-5'!B13</f>
        <v>641.1556</v>
      </c>
      <c r="C15" s="16">
        <f>'TABLE I-3'!C21+'TABLE I-5'!C13</f>
        <v>587.898</v>
      </c>
      <c r="D15" s="28">
        <f>'TABLE I-3'!D21+'TABLE I-5'!D13</f>
        <v>627.203</v>
      </c>
      <c r="E15" s="65">
        <f>'TABLE I-3'!E21+'TABLE I-5'!E13</f>
        <v>649.567</v>
      </c>
      <c r="F15" s="16">
        <f>'TABLE I-3'!F21+'TABLE I-5'!F13</f>
        <v>682.731</v>
      </c>
      <c r="G15" s="28">
        <f>'TABLE I-3'!G21+'TABLE I-5'!G13</f>
        <v>937.3439999999999</v>
      </c>
      <c r="H15" s="185">
        <f aca="true" t="shared" si="0" ref="H15:H20">+((EXP((LN(D15)-LN(B15))/4))-1)*(100)</f>
        <v>-0.5485380302988618</v>
      </c>
      <c r="I15" s="11">
        <f aca="true" t="shared" si="1" ref="I15:K20">((D15/C15)-1)*100</f>
        <v>6.685683570959577</v>
      </c>
      <c r="J15" s="12">
        <f t="shared" si="1"/>
        <v>3.5656717203202293</v>
      </c>
      <c r="K15" s="11">
        <f t="shared" si="1"/>
        <v>5.105554931208012</v>
      </c>
      <c r="L15" s="23">
        <f aca="true" t="shared" si="2" ref="L15:L20">+((EXP((LN(G15)-LN(D15))/12))-1)*(100)</f>
        <v>3.4048493908301225</v>
      </c>
    </row>
    <row r="16" spans="1:12" s="7" customFormat="1" ht="12">
      <c r="A16" s="24" t="s">
        <v>32</v>
      </c>
      <c r="B16" s="65">
        <f aca="true" t="shared" si="3" ref="B16:G16">SUM(B17:B19)</f>
        <v>56.3991</v>
      </c>
      <c r="C16" s="16">
        <f t="shared" si="3"/>
        <v>54.107200000000006</v>
      </c>
      <c r="D16" s="28">
        <f t="shared" si="3"/>
        <v>61.2675</v>
      </c>
      <c r="E16" s="65">
        <f t="shared" si="3"/>
        <v>67.9684</v>
      </c>
      <c r="F16" s="16">
        <f t="shared" si="3"/>
        <v>72.1752</v>
      </c>
      <c r="G16" s="28">
        <f t="shared" si="3"/>
        <v>111.22640000000001</v>
      </c>
      <c r="H16" s="185">
        <f t="shared" si="0"/>
        <v>2.0914792233734047</v>
      </c>
      <c r="I16" s="11">
        <f t="shared" si="1"/>
        <v>13.233543779755719</v>
      </c>
      <c r="J16" s="12">
        <f t="shared" si="1"/>
        <v>10.937120006528755</v>
      </c>
      <c r="K16" s="11">
        <f t="shared" si="1"/>
        <v>6.1893468141077435</v>
      </c>
      <c r="L16" s="23">
        <f t="shared" si="2"/>
        <v>5.094860193290773</v>
      </c>
    </row>
    <row r="17" spans="1:12" s="7" customFormat="1" ht="12">
      <c r="A17" s="24" t="s">
        <v>25</v>
      </c>
      <c r="B17" s="65">
        <f>'TABLE I-3'!B23</f>
        <v>20.896</v>
      </c>
      <c r="C17" s="16">
        <f>'TABLE I-3'!C23</f>
        <v>17.823</v>
      </c>
      <c r="D17" s="28">
        <f>'TABLE I-3'!D23</f>
        <v>19.909</v>
      </c>
      <c r="E17" s="65">
        <f>'TABLE I-3'!E23</f>
        <v>21.761</v>
      </c>
      <c r="F17" s="16">
        <f>'TABLE I-3'!F23</f>
        <v>23.197</v>
      </c>
      <c r="G17" s="28">
        <f>'TABLE I-3'!G23</f>
        <v>32.686</v>
      </c>
      <c r="H17" s="185">
        <f t="shared" si="0"/>
        <v>-1.2023597445937506</v>
      </c>
      <c r="I17" s="11">
        <f t="shared" si="1"/>
        <v>11.703978005947357</v>
      </c>
      <c r="J17" s="12">
        <f t="shared" si="1"/>
        <v>9.302325581395344</v>
      </c>
      <c r="K17" s="11">
        <f t="shared" si="1"/>
        <v>6.598961444786555</v>
      </c>
      <c r="L17" s="23">
        <f t="shared" si="2"/>
        <v>4.217990301322705</v>
      </c>
    </row>
    <row r="18" spans="1:12" s="7" customFormat="1" ht="12">
      <c r="A18" s="24" t="s">
        <v>26</v>
      </c>
      <c r="B18" s="65">
        <f>'TABLE I-3'!B24+'TABLE I-5'!B14</f>
        <v>24.3191</v>
      </c>
      <c r="C18" s="16">
        <f>'TABLE I-3'!C24+'TABLE I-5'!C14</f>
        <v>25.831200000000003</v>
      </c>
      <c r="D18" s="28">
        <f>'TABLE I-3'!D24+'TABLE I-5'!D14</f>
        <v>29.1015</v>
      </c>
      <c r="E18" s="65">
        <f>'TABLE I-3'!E24+'TABLE I-5'!E14</f>
        <v>33.0404</v>
      </c>
      <c r="F18" s="16">
        <f>'TABLE I-3'!F24+'TABLE I-5'!F14</f>
        <v>34.7452</v>
      </c>
      <c r="G18" s="28">
        <f>'TABLE I-3'!G24+'TABLE I-5'!G14</f>
        <v>55.8244</v>
      </c>
      <c r="H18" s="185">
        <f t="shared" si="0"/>
        <v>4.5904349461101335</v>
      </c>
      <c r="I18" s="11">
        <f t="shared" si="1"/>
        <v>12.660271299823457</v>
      </c>
      <c r="J18" s="12">
        <f t="shared" si="1"/>
        <v>13.53504114908166</v>
      </c>
      <c r="K18" s="11">
        <f t="shared" si="1"/>
        <v>5.159743828767205</v>
      </c>
      <c r="L18" s="23">
        <f t="shared" si="2"/>
        <v>5.578557520168603</v>
      </c>
    </row>
    <row r="19" spans="1:12" s="7" customFormat="1" ht="12">
      <c r="A19" s="24" t="s">
        <v>27</v>
      </c>
      <c r="B19" s="65">
        <f>'TABLE I-3'!B25</f>
        <v>11.184</v>
      </c>
      <c r="C19" s="16">
        <f>'TABLE I-3'!C25</f>
        <v>10.453</v>
      </c>
      <c r="D19" s="28">
        <f>'TABLE I-3'!D25</f>
        <v>12.257</v>
      </c>
      <c r="E19" s="65">
        <f>'TABLE I-3'!E25</f>
        <v>13.167</v>
      </c>
      <c r="F19" s="16">
        <f>'TABLE I-3'!F25</f>
        <v>14.233</v>
      </c>
      <c r="G19" s="28">
        <f>'TABLE I-3'!G25</f>
        <v>22.716</v>
      </c>
      <c r="H19" s="185">
        <f t="shared" si="0"/>
        <v>2.316754761312545</v>
      </c>
      <c r="I19" s="11">
        <f t="shared" si="1"/>
        <v>17.25820338658759</v>
      </c>
      <c r="J19" s="12">
        <f t="shared" si="1"/>
        <v>7.424328954882919</v>
      </c>
      <c r="K19" s="11">
        <f t="shared" si="1"/>
        <v>8.095997569681778</v>
      </c>
      <c r="L19" s="23">
        <f t="shared" si="2"/>
        <v>5.2759024118452125</v>
      </c>
    </row>
    <row r="20" spans="1:12" s="7" customFormat="1" ht="12">
      <c r="A20" s="24" t="s">
        <v>33</v>
      </c>
      <c r="B20" s="65">
        <f aca="true" t="shared" si="4" ref="B20:G20">SUM(B15+B16)</f>
        <v>697.5547</v>
      </c>
      <c r="C20" s="16">
        <f t="shared" si="4"/>
        <v>642.0052000000001</v>
      </c>
      <c r="D20" s="28">
        <f t="shared" si="4"/>
        <v>688.4705</v>
      </c>
      <c r="E20" s="65">
        <f t="shared" si="4"/>
        <v>717.5354</v>
      </c>
      <c r="F20" s="16">
        <f t="shared" si="4"/>
        <v>754.9062</v>
      </c>
      <c r="G20" s="28">
        <f t="shared" si="4"/>
        <v>1048.5704</v>
      </c>
      <c r="H20" s="185">
        <f t="shared" si="0"/>
        <v>-0.32717518863840667</v>
      </c>
      <c r="I20" s="11">
        <f t="shared" si="1"/>
        <v>7.237527048067527</v>
      </c>
      <c r="J20" s="12">
        <f t="shared" si="1"/>
        <v>4.221662366070866</v>
      </c>
      <c r="K20" s="11">
        <f t="shared" si="1"/>
        <v>5.208216904699059</v>
      </c>
      <c r="L20" s="23">
        <f t="shared" si="2"/>
        <v>3.5681029756694738</v>
      </c>
    </row>
    <row r="21" spans="1:12" s="7" customFormat="1" ht="12">
      <c r="A21" s="24"/>
      <c r="B21" s="65"/>
      <c r="C21" s="16"/>
      <c r="D21" s="84"/>
      <c r="E21" s="65"/>
      <c r="F21" s="16"/>
      <c r="G21" s="84"/>
      <c r="H21" s="185"/>
      <c r="I21" s="11"/>
      <c r="J21" s="12"/>
      <c r="K21" s="11"/>
      <c r="L21" s="23"/>
    </row>
    <row r="22" spans="1:12" s="7" customFormat="1" ht="12">
      <c r="A22" s="24" t="s">
        <v>34</v>
      </c>
      <c r="B22" s="65"/>
      <c r="C22" s="16"/>
      <c r="D22" s="84"/>
      <c r="E22" s="65"/>
      <c r="F22" s="16"/>
      <c r="G22" s="84"/>
      <c r="H22" s="185"/>
      <c r="I22" s="11"/>
      <c r="J22" s="12"/>
      <c r="K22" s="11"/>
      <c r="L22" s="23"/>
    </row>
    <row r="23" spans="1:12" s="7" customFormat="1" ht="12">
      <c r="A23" s="24" t="s">
        <v>31</v>
      </c>
      <c r="B23" s="65">
        <f>'TABLE I-3'!B29+'TABLE I-5'!B18</f>
        <v>512.7787</v>
      </c>
      <c r="C23" s="16">
        <f>'TABLE I-3'!C29+'TABLE I-5'!C18</f>
        <v>492.7549</v>
      </c>
      <c r="D23" s="28">
        <f>'TABLE I-3'!D29+'TABLE I-5'!D18</f>
        <v>540.0354</v>
      </c>
      <c r="E23" s="65">
        <f>'TABLE I-3'!E29+'TABLE I-5'!E18</f>
        <v>559.744</v>
      </c>
      <c r="F23" s="16">
        <f>'TABLE I-3'!F29+'TABLE I-5'!F18</f>
        <v>591.953</v>
      </c>
      <c r="G23" s="28">
        <f>'TABLE I-3'!G29+'TABLE I-5'!G18</f>
        <v>858.4499999999999</v>
      </c>
      <c r="H23" s="185">
        <f aca="true" t="shared" si="5" ref="H23:H28">+((EXP((LN(D23)-LN(B23))/4))-1)*(100)</f>
        <v>1.3031764079572294</v>
      </c>
      <c r="I23" s="11">
        <f aca="true" t="shared" si="6" ref="I23:K28">((D23/C23)-1)*100</f>
        <v>9.59513543142847</v>
      </c>
      <c r="J23" s="12">
        <f t="shared" si="6"/>
        <v>3.649501495642693</v>
      </c>
      <c r="K23" s="11">
        <f t="shared" si="6"/>
        <v>5.754237651497807</v>
      </c>
      <c r="L23" s="23">
        <f aca="true" t="shared" si="7" ref="L23:L28">+((EXP((LN(G23)-LN(D23))/12))-1)*(100)</f>
        <v>3.938010100321221</v>
      </c>
    </row>
    <row r="24" spans="1:12" s="7" customFormat="1" ht="12">
      <c r="A24" s="24" t="s">
        <v>32</v>
      </c>
      <c r="B24" s="65">
        <f aca="true" t="shared" si="8" ref="B24:G24">SUM(B25:B27)</f>
        <v>181.78289999999998</v>
      </c>
      <c r="C24" s="16">
        <f t="shared" si="8"/>
        <v>155.8666</v>
      </c>
      <c r="D24" s="28">
        <f t="shared" si="8"/>
        <v>177.38739999999999</v>
      </c>
      <c r="E24" s="65">
        <f t="shared" si="8"/>
        <v>198.0103</v>
      </c>
      <c r="F24" s="16">
        <f t="shared" si="8"/>
        <v>213.59660000000002</v>
      </c>
      <c r="G24" s="28">
        <f t="shared" si="8"/>
        <v>336.3211</v>
      </c>
      <c r="H24" s="185">
        <f t="shared" si="5"/>
        <v>-0.6100584526817165</v>
      </c>
      <c r="I24" s="11">
        <f t="shared" si="6"/>
        <v>13.80719153429919</v>
      </c>
      <c r="J24" s="12">
        <f t="shared" si="6"/>
        <v>11.625910295770737</v>
      </c>
      <c r="K24" s="11">
        <f t="shared" si="6"/>
        <v>7.8714592119703</v>
      </c>
      <c r="L24" s="23">
        <f t="shared" si="7"/>
        <v>5.475747580330892</v>
      </c>
    </row>
    <row r="25" spans="1:12" s="7" customFormat="1" ht="12">
      <c r="A25" s="24" t="s">
        <v>25</v>
      </c>
      <c r="B25" s="65">
        <f>'TABLE I-3'!B31</f>
        <v>87.096</v>
      </c>
      <c r="C25" s="16">
        <f>'TABLE I-3'!C31</f>
        <v>73.171</v>
      </c>
      <c r="D25" s="28">
        <f>'TABLE I-3'!D31</f>
        <v>82.139</v>
      </c>
      <c r="E25" s="65">
        <f>'TABLE I-3'!E31</f>
        <v>90.846</v>
      </c>
      <c r="F25" s="16">
        <f>'TABLE I-3'!F31</f>
        <v>97.296</v>
      </c>
      <c r="G25" s="28">
        <f>'TABLE I-3'!G31</f>
        <v>140.173</v>
      </c>
      <c r="H25" s="185">
        <f t="shared" si="5"/>
        <v>-1.4542724170747756</v>
      </c>
      <c r="I25" s="11">
        <f t="shared" si="6"/>
        <v>12.25622172718699</v>
      </c>
      <c r="J25" s="12">
        <f t="shared" si="6"/>
        <v>10.600323841293434</v>
      </c>
      <c r="K25" s="11">
        <f t="shared" si="6"/>
        <v>7.099927349580604</v>
      </c>
      <c r="L25" s="23">
        <f t="shared" si="7"/>
        <v>4.554544201335697</v>
      </c>
    </row>
    <row r="26" spans="1:12" s="7" customFormat="1" ht="12">
      <c r="A26" s="24" t="s">
        <v>26</v>
      </c>
      <c r="B26" s="65">
        <f>'TABLE I-3'!B32+'TABLE I-5'!B19</f>
        <v>36.308899999999994</v>
      </c>
      <c r="C26" s="16">
        <f>'TABLE I-3'!C32+'TABLE I-5'!C19</f>
        <v>36.498599999999996</v>
      </c>
      <c r="D26" s="28">
        <f>'TABLE I-3'!D32+'TABLE I-5'!D19</f>
        <v>41.736399999999996</v>
      </c>
      <c r="E26" s="65">
        <f>'TABLE I-3'!E32+'TABLE I-5'!E19</f>
        <v>48.0283</v>
      </c>
      <c r="F26" s="16">
        <f>'TABLE I-3'!F32+'TABLE I-5'!F19</f>
        <v>52.137600000000006</v>
      </c>
      <c r="G26" s="28">
        <f>'TABLE I-3'!G32+'TABLE I-5'!G19</f>
        <v>91.4811</v>
      </c>
      <c r="H26" s="185">
        <f t="shared" si="5"/>
        <v>3.544127639684569</v>
      </c>
      <c r="I26" s="11">
        <f t="shared" si="6"/>
        <v>14.350687423627217</v>
      </c>
      <c r="J26" s="12">
        <f t="shared" si="6"/>
        <v>15.075329927832804</v>
      </c>
      <c r="K26" s="11">
        <f t="shared" si="6"/>
        <v>8.555997193321453</v>
      </c>
      <c r="L26" s="23">
        <f t="shared" si="7"/>
        <v>6.758230300974755</v>
      </c>
    </row>
    <row r="27" spans="1:12" s="7" customFormat="1" ht="12">
      <c r="A27" s="24" t="s">
        <v>27</v>
      </c>
      <c r="B27" s="65">
        <f>'TABLE I-3'!B33</f>
        <v>58.378</v>
      </c>
      <c r="C27" s="16">
        <f>'TABLE I-3'!C33</f>
        <v>46.197</v>
      </c>
      <c r="D27" s="28">
        <f>'TABLE I-3'!D33</f>
        <v>53.512</v>
      </c>
      <c r="E27" s="65">
        <f>'TABLE I-3'!E33</f>
        <v>59.136</v>
      </c>
      <c r="F27" s="16">
        <f>'TABLE I-3'!F33</f>
        <v>64.163</v>
      </c>
      <c r="G27" s="28">
        <f>'TABLE I-3'!G33</f>
        <v>104.667</v>
      </c>
      <c r="H27" s="185">
        <f t="shared" si="5"/>
        <v>-2.152329050119839</v>
      </c>
      <c r="I27" s="11">
        <f t="shared" si="6"/>
        <v>15.83436153862805</v>
      </c>
      <c r="J27" s="12">
        <f t="shared" si="6"/>
        <v>10.50979219614292</v>
      </c>
      <c r="K27" s="11">
        <f t="shared" si="6"/>
        <v>8.500744047619047</v>
      </c>
      <c r="L27" s="23">
        <f t="shared" si="7"/>
        <v>5.749879893384668</v>
      </c>
    </row>
    <row r="28" spans="1:12" s="7" customFormat="1" ht="12">
      <c r="A28" s="24" t="s">
        <v>33</v>
      </c>
      <c r="B28" s="65">
        <f aca="true" t="shared" si="9" ref="B28:G28">SUM(B23+B24)</f>
        <v>694.5616</v>
      </c>
      <c r="C28" s="16">
        <f t="shared" si="9"/>
        <v>648.6215</v>
      </c>
      <c r="D28" s="28">
        <f t="shared" si="9"/>
        <v>717.4227999999999</v>
      </c>
      <c r="E28" s="65">
        <f t="shared" si="9"/>
        <v>757.7543000000001</v>
      </c>
      <c r="F28" s="16">
        <f t="shared" si="9"/>
        <v>805.5496</v>
      </c>
      <c r="G28" s="28">
        <f t="shared" si="9"/>
        <v>1194.7711</v>
      </c>
      <c r="H28" s="185">
        <f t="shared" si="5"/>
        <v>0.8128984942386452</v>
      </c>
      <c r="I28" s="11">
        <f t="shared" si="6"/>
        <v>10.607311043497635</v>
      </c>
      <c r="J28" s="12">
        <f t="shared" si="6"/>
        <v>5.621719856129492</v>
      </c>
      <c r="K28" s="11">
        <f t="shared" si="6"/>
        <v>6.307493075261994</v>
      </c>
      <c r="L28" s="23">
        <f t="shared" si="7"/>
        <v>4.341993022598256</v>
      </c>
    </row>
    <row r="29" spans="1:12" s="7" customFormat="1" ht="12">
      <c r="A29" s="24"/>
      <c r="B29" s="65"/>
      <c r="C29" s="16"/>
      <c r="D29" s="84"/>
      <c r="E29" s="65"/>
      <c r="F29" s="16"/>
      <c r="G29" s="84"/>
      <c r="H29" s="185"/>
      <c r="I29" s="11"/>
      <c r="J29" s="12"/>
      <c r="K29" s="11"/>
      <c r="L29" s="23"/>
    </row>
    <row r="30" spans="1:12" s="7" customFormat="1" ht="12">
      <c r="A30" s="174" t="s">
        <v>138</v>
      </c>
      <c r="B30" s="125"/>
      <c r="C30" s="126"/>
      <c r="D30" s="127"/>
      <c r="E30" s="221"/>
      <c r="F30" s="126"/>
      <c r="G30" s="127"/>
      <c r="H30" s="185"/>
      <c r="I30" s="11"/>
      <c r="J30" s="12"/>
      <c r="K30" s="11"/>
      <c r="L30" s="23"/>
    </row>
    <row r="31" spans="1:12" s="7" customFormat="1" ht="12">
      <c r="A31" s="24" t="s">
        <v>31</v>
      </c>
      <c r="B31" s="110">
        <f>'TABLE I-3'!B37+'TABLE I-5'!B23</f>
        <v>726.5974</v>
      </c>
      <c r="C31" s="111">
        <f>'TABLE I-3'!C37+'TABLE I-5'!C23</f>
        <v>684.3655</v>
      </c>
      <c r="D31" s="113">
        <f>'TABLE I-3'!D37+'TABLE I-5'!D23</f>
        <v>729.9447</v>
      </c>
      <c r="E31" s="110">
        <f>'TABLE I-3'!E37+'TABLE I-5'!E23</f>
        <v>749.4843999999999</v>
      </c>
      <c r="F31" s="111">
        <f>'TABLE I-3'!F37+'TABLE I-5'!F23</f>
        <v>792.1773</v>
      </c>
      <c r="G31" s="113">
        <f>'TABLE I-3'!G37+'TABLE I-5'!G23</f>
        <v>1138.9367</v>
      </c>
      <c r="H31" s="185">
        <f aca="true" t="shared" si="10" ref="H31:H36">+((EXP((LN(D31)-LN(B31))/4))-1)*(100)</f>
        <v>0.11497195157266216</v>
      </c>
      <c r="I31" s="11">
        <f aca="true" t="shared" si="11" ref="I31:K36">((D31/C31)-1)*100</f>
        <v>6.660066879467186</v>
      </c>
      <c r="J31" s="12">
        <f t="shared" si="11"/>
        <v>2.676874015250741</v>
      </c>
      <c r="K31" s="11">
        <f t="shared" si="11"/>
        <v>5.696302684885768</v>
      </c>
      <c r="L31" s="23">
        <f aca="true" t="shared" si="12" ref="L31:L36">+((EXP((LN(G31)-LN(D31))/12))-1)*(100)</f>
        <v>3.776926026323113</v>
      </c>
    </row>
    <row r="32" spans="1:12" s="7" customFormat="1" ht="12">
      <c r="A32" s="24" t="s">
        <v>32</v>
      </c>
      <c r="B32" s="65">
        <f aca="true" t="shared" si="13" ref="B32:G32">SUM(B33:B35)</f>
        <v>239.31490000000002</v>
      </c>
      <c r="C32" s="16">
        <f t="shared" si="13"/>
        <v>206.9631</v>
      </c>
      <c r="D32" s="28">
        <f t="shared" si="13"/>
        <v>223.6534</v>
      </c>
      <c r="E32" s="65">
        <f t="shared" si="13"/>
        <v>250.2609</v>
      </c>
      <c r="F32" s="16">
        <f t="shared" si="13"/>
        <v>270.2695</v>
      </c>
      <c r="G32" s="28">
        <f t="shared" si="13"/>
        <v>427.1666</v>
      </c>
      <c r="H32" s="185">
        <f t="shared" si="10"/>
        <v>-1.6778330747444614</v>
      </c>
      <c r="I32" s="11">
        <f t="shared" si="11"/>
        <v>8.064384424083325</v>
      </c>
      <c r="J32" s="12">
        <f t="shared" si="11"/>
        <v>11.896756320270562</v>
      </c>
      <c r="K32" s="11">
        <f t="shared" si="11"/>
        <v>7.995096317483075</v>
      </c>
      <c r="L32" s="23">
        <f t="shared" si="12"/>
        <v>5.540338301161474</v>
      </c>
    </row>
    <row r="33" spans="1:12" s="7" customFormat="1" ht="12">
      <c r="A33" s="24" t="s">
        <v>25</v>
      </c>
      <c r="B33" s="65">
        <f>'TABLE I-3'!B39</f>
        <v>109.909</v>
      </c>
      <c r="C33" s="16">
        <f>'TABLE I-3'!C39</f>
        <v>93.706</v>
      </c>
      <c r="D33" s="28">
        <f>'TABLE I-3'!D39</f>
        <v>100.539</v>
      </c>
      <c r="E33" s="65">
        <f>'TABLE I-3'!E39</f>
        <v>110.08</v>
      </c>
      <c r="F33" s="16">
        <f>'TABLE I-3'!F39</f>
        <v>118.65</v>
      </c>
      <c r="G33" s="28">
        <f>'TABLE I-3'!G39</f>
        <v>170.94</v>
      </c>
      <c r="H33" s="185">
        <f t="shared" si="10"/>
        <v>-2.203046495215144</v>
      </c>
      <c r="I33" s="11">
        <f t="shared" si="11"/>
        <v>7.291955691204399</v>
      </c>
      <c r="J33" s="12">
        <f t="shared" si="11"/>
        <v>9.489849710062748</v>
      </c>
      <c r="K33" s="11">
        <f t="shared" si="11"/>
        <v>7.785247093023262</v>
      </c>
      <c r="L33" s="23">
        <f t="shared" si="12"/>
        <v>4.522332998153078</v>
      </c>
    </row>
    <row r="34" spans="1:12" s="7" customFormat="1" ht="12">
      <c r="A34" s="24" t="s">
        <v>26</v>
      </c>
      <c r="B34" s="65">
        <f>'TABLE I-3'!B40+'TABLE I-5'!B24</f>
        <v>52.7729</v>
      </c>
      <c r="C34" s="16">
        <f>'TABLE I-3'!C40+'TABLE I-5'!C24</f>
        <v>52.960100000000004</v>
      </c>
      <c r="D34" s="28">
        <f>'TABLE I-3'!D40+'TABLE I-5'!D24</f>
        <v>59.5354</v>
      </c>
      <c r="E34" s="65">
        <f>'TABLE I-3'!E40+'TABLE I-5'!E24</f>
        <v>67.5779</v>
      </c>
      <c r="F34" s="16">
        <f>'TABLE I-3'!F40+'TABLE I-5'!F24</f>
        <v>72.8895</v>
      </c>
      <c r="G34" s="28">
        <f>'TABLE I-3'!G40+'TABLE I-5'!G24</f>
        <v>127.0066</v>
      </c>
      <c r="H34" s="185">
        <f t="shared" si="10"/>
        <v>3.0602232435267274</v>
      </c>
      <c r="I34" s="11">
        <f t="shared" si="11"/>
        <v>12.41557323343423</v>
      </c>
      <c r="J34" s="12">
        <f t="shared" si="11"/>
        <v>13.508769572388868</v>
      </c>
      <c r="K34" s="11">
        <f t="shared" si="11"/>
        <v>7.859966053991019</v>
      </c>
      <c r="L34" s="23">
        <f t="shared" si="12"/>
        <v>6.5174884700079705</v>
      </c>
    </row>
    <row r="35" spans="1:12" s="7" customFormat="1" ht="12">
      <c r="A35" s="24" t="s">
        <v>27</v>
      </c>
      <c r="B35" s="65">
        <f>'TABLE I-3'!B41</f>
        <v>76.633</v>
      </c>
      <c r="C35" s="16">
        <f>'TABLE I-3'!C41</f>
        <v>60.297</v>
      </c>
      <c r="D35" s="28">
        <f>'TABLE I-3'!D41</f>
        <v>63.579</v>
      </c>
      <c r="E35" s="65">
        <f>'TABLE I-3'!E41</f>
        <v>72.603</v>
      </c>
      <c r="F35" s="16">
        <f>'TABLE I-3'!F41</f>
        <v>78.73</v>
      </c>
      <c r="G35" s="28">
        <f>'TABLE I-3'!G41</f>
        <v>129.22</v>
      </c>
      <c r="H35" s="185">
        <f t="shared" si="10"/>
        <v>-4.561310702831167</v>
      </c>
      <c r="I35" s="11">
        <f t="shared" si="11"/>
        <v>5.443056868500928</v>
      </c>
      <c r="J35" s="12">
        <f t="shared" si="11"/>
        <v>14.193365733968744</v>
      </c>
      <c r="K35" s="11">
        <f t="shared" si="11"/>
        <v>8.43904521851715</v>
      </c>
      <c r="L35" s="23">
        <f t="shared" si="12"/>
        <v>6.088425434429001</v>
      </c>
    </row>
    <row r="36" spans="1:12" s="7" customFormat="1" ht="12">
      <c r="A36" s="24" t="s">
        <v>33</v>
      </c>
      <c r="B36" s="65">
        <f aca="true" t="shared" si="14" ref="B36:G36">SUM(B31+B32)</f>
        <v>965.9123</v>
      </c>
      <c r="C36" s="16">
        <f t="shared" si="14"/>
        <v>891.3286</v>
      </c>
      <c r="D36" s="28">
        <f t="shared" si="14"/>
        <v>953.5981</v>
      </c>
      <c r="E36" s="65">
        <f t="shared" si="14"/>
        <v>999.7452999999999</v>
      </c>
      <c r="F36" s="16">
        <f t="shared" si="14"/>
        <v>1062.4468</v>
      </c>
      <c r="G36" s="28">
        <f t="shared" si="14"/>
        <v>1566.1033</v>
      </c>
      <c r="H36" s="185">
        <f t="shared" si="10"/>
        <v>-0.3202545745810137</v>
      </c>
      <c r="I36" s="11">
        <f t="shared" si="11"/>
        <v>6.986144055065657</v>
      </c>
      <c r="J36" s="12">
        <f t="shared" si="11"/>
        <v>4.839271386971089</v>
      </c>
      <c r="K36" s="11">
        <f t="shared" si="11"/>
        <v>6.271747414066353</v>
      </c>
      <c r="L36" s="23">
        <f t="shared" si="12"/>
        <v>4.220843949533681</v>
      </c>
    </row>
    <row r="37" spans="1:12" s="7" customFormat="1" ht="12">
      <c r="A37" s="24"/>
      <c r="B37" s="65"/>
      <c r="C37" s="16"/>
      <c r="D37" s="28"/>
      <c r="E37" s="65"/>
      <c r="F37" s="16"/>
      <c r="G37" s="28"/>
      <c r="H37" s="185"/>
      <c r="I37" s="11"/>
      <c r="J37" s="12"/>
      <c r="K37" s="11"/>
      <c r="L37" s="20"/>
    </row>
    <row r="38" spans="1:12" s="7" customFormat="1" ht="12">
      <c r="A38" s="174" t="s">
        <v>178</v>
      </c>
      <c r="B38" s="65"/>
      <c r="C38" s="16"/>
      <c r="D38" s="28"/>
      <c r="E38" s="65"/>
      <c r="F38" s="16"/>
      <c r="G38" s="28"/>
      <c r="H38" s="185"/>
      <c r="I38" s="11"/>
      <c r="J38" s="12"/>
      <c r="K38" s="11"/>
      <c r="L38" s="20"/>
    </row>
    <row r="39" spans="1:12" s="7" customFormat="1" ht="12">
      <c r="A39" s="24" t="s">
        <v>31</v>
      </c>
      <c r="B39" s="65">
        <f aca="true" t="shared" si="15" ref="B39:G39">B23/B31*100</f>
        <v>70.5726032050211</v>
      </c>
      <c r="C39" s="16">
        <f t="shared" si="15"/>
        <v>72.0017154576027</v>
      </c>
      <c r="D39" s="28">
        <f t="shared" si="15"/>
        <v>73.9830565246929</v>
      </c>
      <c r="E39" s="65">
        <f t="shared" si="15"/>
        <v>74.68387600862674</v>
      </c>
      <c r="F39" s="16">
        <f t="shared" si="15"/>
        <v>74.7248122358467</v>
      </c>
      <c r="G39" s="28">
        <f t="shared" si="15"/>
        <v>75.37293336846551</v>
      </c>
      <c r="H39" s="185">
        <f aca="true" t="shared" si="16" ref="H39:H44">(D39-B39)/4</f>
        <v>0.8526133299179506</v>
      </c>
      <c r="I39" s="11">
        <f aca="true" t="shared" si="17" ref="I39:K44">D39-C39</f>
        <v>1.9813410670901987</v>
      </c>
      <c r="J39" s="12">
        <f t="shared" si="17"/>
        <v>0.7008194839338415</v>
      </c>
      <c r="K39" s="11">
        <f t="shared" si="17"/>
        <v>0.04093622721995871</v>
      </c>
      <c r="L39" s="20">
        <f aca="true" t="shared" si="18" ref="L39:L44">(G39-D39)/12</f>
        <v>0.11582307031438432</v>
      </c>
    </row>
    <row r="40" spans="1:12" s="7" customFormat="1" ht="12">
      <c r="A40" s="24" t="s">
        <v>32</v>
      </c>
      <c r="B40" s="65">
        <f aca="true" t="shared" si="19" ref="B40:G44">B24/B32*100</f>
        <v>75.9597083173676</v>
      </c>
      <c r="C40" s="16">
        <f t="shared" si="19"/>
        <v>75.311299453864</v>
      </c>
      <c r="D40" s="28">
        <f t="shared" si="19"/>
        <v>79.31352709147278</v>
      </c>
      <c r="E40" s="65">
        <f t="shared" si="19"/>
        <v>79.1215487517227</v>
      </c>
      <c r="F40" s="16">
        <f t="shared" si="19"/>
        <v>79.03096723825665</v>
      </c>
      <c r="G40" s="28">
        <f t="shared" si="19"/>
        <v>78.73300487444477</v>
      </c>
      <c r="H40" s="185">
        <f t="shared" si="16"/>
        <v>0.8384546935262946</v>
      </c>
      <c r="I40" s="11">
        <f t="shared" si="17"/>
        <v>4.002227637608783</v>
      </c>
      <c r="J40" s="12">
        <f t="shared" si="17"/>
        <v>-0.19197833975007939</v>
      </c>
      <c r="K40" s="11">
        <f t="shared" si="17"/>
        <v>-0.09058151346604859</v>
      </c>
      <c r="L40" s="20">
        <f t="shared" si="18"/>
        <v>-0.04837685141900039</v>
      </c>
    </row>
    <row r="41" spans="1:12" s="7" customFormat="1" ht="12">
      <c r="A41" s="24" t="s">
        <v>25</v>
      </c>
      <c r="B41" s="65">
        <f t="shared" si="19"/>
        <v>79.24373800143755</v>
      </c>
      <c r="C41" s="16">
        <f t="shared" si="19"/>
        <v>78.0857148955243</v>
      </c>
      <c r="D41" s="28">
        <f t="shared" si="19"/>
        <v>81.69864430718428</v>
      </c>
      <c r="E41" s="65">
        <f t="shared" si="19"/>
        <v>82.52725290697674</v>
      </c>
      <c r="F41" s="16">
        <f t="shared" si="19"/>
        <v>82.00252844500632</v>
      </c>
      <c r="G41" s="28">
        <f t="shared" si="19"/>
        <v>82.00128700128701</v>
      </c>
      <c r="H41" s="185">
        <f t="shared" si="16"/>
        <v>0.613726576436683</v>
      </c>
      <c r="I41" s="11">
        <f t="shared" si="17"/>
        <v>3.6129294116599766</v>
      </c>
      <c r="J41" s="12">
        <f t="shared" si="17"/>
        <v>0.8286085997924602</v>
      </c>
      <c r="K41" s="11">
        <f t="shared" si="17"/>
        <v>-0.5247244619704219</v>
      </c>
      <c r="L41" s="20">
        <f t="shared" si="18"/>
        <v>0.0252202245085608</v>
      </c>
    </row>
    <row r="42" spans="1:12" s="7" customFormat="1" ht="12">
      <c r="A42" s="24" t="s">
        <v>26</v>
      </c>
      <c r="B42" s="65">
        <f t="shared" si="19"/>
        <v>68.80216929522538</v>
      </c>
      <c r="C42" s="16">
        <f t="shared" si="19"/>
        <v>68.9171659419072</v>
      </c>
      <c r="D42" s="28">
        <f t="shared" si="19"/>
        <v>70.1035014461984</v>
      </c>
      <c r="E42" s="65">
        <f t="shared" si="19"/>
        <v>71.07101582026077</v>
      </c>
      <c r="F42" s="16">
        <f t="shared" si="19"/>
        <v>71.52964418743441</v>
      </c>
      <c r="G42" s="28">
        <f t="shared" si="19"/>
        <v>72.0286189851551</v>
      </c>
      <c r="H42" s="185">
        <f t="shared" si="16"/>
        <v>0.3253330377432526</v>
      </c>
      <c r="I42" s="11">
        <f t="shared" si="17"/>
        <v>1.1863355042911934</v>
      </c>
      <c r="J42" s="12">
        <f t="shared" si="17"/>
        <v>0.9675143740623753</v>
      </c>
      <c r="K42" s="11">
        <f t="shared" si="17"/>
        <v>0.4586283671736453</v>
      </c>
      <c r="L42" s="20">
        <f t="shared" si="18"/>
        <v>0.16042646157972604</v>
      </c>
    </row>
    <row r="43" spans="1:12" s="7" customFormat="1" ht="12">
      <c r="A43" s="24" t="s">
        <v>27</v>
      </c>
      <c r="B43" s="65">
        <f t="shared" si="19"/>
        <v>76.17866976367884</v>
      </c>
      <c r="C43" s="16">
        <f t="shared" si="19"/>
        <v>76.61575202746405</v>
      </c>
      <c r="D43" s="28">
        <f t="shared" si="19"/>
        <v>84.16615549159313</v>
      </c>
      <c r="E43" s="65">
        <f t="shared" si="19"/>
        <v>81.45117970331806</v>
      </c>
      <c r="F43" s="16">
        <f t="shared" si="19"/>
        <v>81.49752318049028</v>
      </c>
      <c r="G43" s="28">
        <f t="shared" si="19"/>
        <v>80.99907135118403</v>
      </c>
      <c r="H43" s="185">
        <f t="shared" si="16"/>
        <v>1.9968714319785725</v>
      </c>
      <c r="I43" s="11">
        <f t="shared" si="17"/>
        <v>7.550403464129076</v>
      </c>
      <c r="J43" s="12">
        <f t="shared" si="17"/>
        <v>-2.714975788275069</v>
      </c>
      <c r="K43" s="11">
        <f t="shared" si="17"/>
        <v>0.046343477172214875</v>
      </c>
      <c r="L43" s="20">
        <f t="shared" si="18"/>
        <v>-0.2639236783674252</v>
      </c>
    </row>
    <row r="44" spans="1:12" s="7" customFormat="1" ht="12">
      <c r="A44" s="24" t="s">
        <v>33</v>
      </c>
      <c r="B44" s="65">
        <f t="shared" si="19"/>
        <v>71.90731498087352</v>
      </c>
      <c r="C44" s="16">
        <f t="shared" si="19"/>
        <v>72.77018823360991</v>
      </c>
      <c r="D44" s="28">
        <f t="shared" si="19"/>
        <v>75.23324553603871</v>
      </c>
      <c r="E44" s="65">
        <f t="shared" si="19"/>
        <v>75.79473491898388</v>
      </c>
      <c r="F44" s="16">
        <f t="shared" si="19"/>
        <v>75.8202293046579</v>
      </c>
      <c r="G44" s="28">
        <f t="shared" si="19"/>
        <v>76.28941845662416</v>
      </c>
      <c r="H44" s="185">
        <f t="shared" si="16"/>
        <v>0.8314826387912966</v>
      </c>
      <c r="I44" s="11">
        <f t="shared" si="17"/>
        <v>2.463057302428794</v>
      </c>
      <c r="J44" s="12">
        <f t="shared" si="17"/>
        <v>0.5614893829451688</v>
      </c>
      <c r="K44" s="11">
        <f t="shared" si="17"/>
        <v>0.025494385674022624</v>
      </c>
      <c r="L44" s="20">
        <f t="shared" si="18"/>
        <v>0.08801441004878778</v>
      </c>
    </row>
    <row r="45" spans="1:12" s="7" customFormat="1" ht="12.75" thickBot="1">
      <c r="A45" s="36"/>
      <c r="B45" s="36"/>
      <c r="C45" s="193"/>
      <c r="D45" s="192"/>
      <c r="E45" s="36"/>
      <c r="F45" s="193"/>
      <c r="G45" s="192"/>
      <c r="H45" s="36"/>
      <c r="I45" s="193"/>
      <c r="J45" s="191"/>
      <c r="K45" s="193"/>
      <c r="L45" s="192"/>
    </row>
    <row r="46" spans="1:11" s="7" customFormat="1" ht="12">
      <c r="A46" s="14"/>
      <c r="K46" s="14"/>
    </row>
    <row r="47" spans="1:11" s="7" customFormat="1" ht="12">
      <c r="A47" s="7" t="s">
        <v>167</v>
      </c>
      <c r="K47" s="14"/>
    </row>
    <row r="48" spans="1:11" s="7" customFormat="1" ht="12">
      <c r="A48" s="7" t="s">
        <v>160</v>
      </c>
      <c r="K48" s="14"/>
    </row>
    <row r="49" s="7" customFormat="1" ht="12">
      <c r="A49" s="7" t="s">
        <v>192</v>
      </c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2" ht="12.75">
      <c r="A52" s="226" t="s">
        <v>198</v>
      </c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</sheetData>
  <mergeCells count="1">
    <mergeCell ref="A52:L52"/>
  </mergeCells>
  <printOptions horizontalCentered="1"/>
  <pageMargins left="0.5" right="0.5" top="0.5" bottom="0.4" header="0.5" footer="0.5"/>
  <pageSetup fitToHeight="1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7" width="8.7109375" style="0" customWidth="1"/>
    <col min="8" max="11" width="7.7109375" style="0" customWidth="1"/>
    <col min="12" max="12" width="9.8515625" style="0" customWidth="1"/>
  </cols>
  <sheetData>
    <row r="1" spans="1:12" ht="15.75">
      <c r="A1" s="3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5" t="s">
        <v>71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5" t="s">
        <v>184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8">
      <c r="A6" s="5" t="s">
        <v>154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3.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32" customFormat="1" ht="12.75" thickBot="1">
      <c r="A8" s="74"/>
      <c r="B8" s="214" t="s">
        <v>1</v>
      </c>
      <c r="C8" s="215"/>
      <c r="D8" s="216"/>
      <c r="E8" s="214" t="s">
        <v>2</v>
      </c>
      <c r="F8" s="215"/>
      <c r="G8" s="216"/>
      <c r="H8" s="215" t="s">
        <v>3</v>
      </c>
      <c r="I8" s="215"/>
      <c r="J8" s="215"/>
      <c r="K8" s="215"/>
      <c r="L8" s="216"/>
    </row>
    <row r="9" spans="1:12" s="32" customFormat="1" ht="12">
      <c r="A9" s="55" t="s">
        <v>22</v>
      </c>
      <c r="B9" s="55">
        <v>2000</v>
      </c>
      <c r="C9" s="211">
        <v>2003</v>
      </c>
      <c r="D9" s="60">
        <v>2004</v>
      </c>
      <c r="E9" s="55">
        <v>2005</v>
      </c>
      <c r="F9" s="211">
        <v>2006</v>
      </c>
      <c r="G9" s="212">
        <f>D9+12</f>
        <v>2016</v>
      </c>
      <c r="H9" s="33" t="s">
        <v>162</v>
      </c>
      <c r="I9" s="40" t="s">
        <v>101</v>
      </c>
      <c r="J9" s="54" t="s">
        <v>132</v>
      </c>
      <c r="K9" s="40" t="s">
        <v>155</v>
      </c>
      <c r="L9" s="213" t="s">
        <v>156</v>
      </c>
    </row>
    <row r="10" spans="1:12" s="7" customFormat="1" ht="12">
      <c r="A10" s="24"/>
      <c r="B10" s="24"/>
      <c r="C10" s="8"/>
      <c r="D10" s="19"/>
      <c r="E10" s="18"/>
      <c r="F10" s="14"/>
      <c r="G10" s="68"/>
      <c r="H10" s="24"/>
      <c r="I10" s="8"/>
      <c r="J10" s="14"/>
      <c r="K10" s="8"/>
      <c r="L10" s="68"/>
    </row>
    <row r="11" spans="1:12" s="7" customFormat="1" ht="12">
      <c r="A11" s="56" t="s">
        <v>124</v>
      </c>
      <c r="B11" s="61"/>
      <c r="C11" s="10"/>
      <c r="D11" s="62"/>
      <c r="E11" s="63"/>
      <c r="F11" s="17"/>
      <c r="G11" s="64"/>
      <c r="H11" s="185"/>
      <c r="I11" s="11"/>
      <c r="J11" s="12"/>
      <c r="K11" s="13"/>
      <c r="L11" s="23"/>
    </row>
    <row r="12" spans="1:12" s="7" customFormat="1" ht="12">
      <c r="A12" s="24" t="s">
        <v>23</v>
      </c>
      <c r="B12" s="61"/>
      <c r="C12" s="10"/>
      <c r="D12" s="62"/>
      <c r="E12" s="63"/>
      <c r="F12" s="17"/>
      <c r="G12" s="64"/>
      <c r="H12" s="185"/>
      <c r="I12" s="11"/>
      <c r="J12" s="12"/>
      <c r="K12" s="11"/>
      <c r="L12" s="23"/>
    </row>
    <row r="13" spans="1:12" s="7" customFormat="1" ht="12">
      <c r="A13" s="24" t="s">
        <v>24</v>
      </c>
      <c r="B13" s="108">
        <f aca="true" t="shared" si="0" ref="B13:G13">SUM(B14:B17)</f>
        <v>140.55499999999998</v>
      </c>
      <c r="C13" s="111">
        <f t="shared" si="0"/>
        <v>120.00200000000001</v>
      </c>
      <c r="D13" s="112">
        <f t="shared" si="0"/>
        <v>133.999</v>
      </c>
      <c r="E13" s="108">
        <f t="shared" si="0"/>
        <v>145.446</v>
      </c>
      <c r="F13" s="162">
        <f t="shared" si="0"/>
        <v>155.043</v>
      </c>
      <c r="G13" s="109">
        <f t="shared" si="0"/>
        <v>232.865</v>
      </c>
      <c r="H13" s="185">
        <f>+((EXP((LN(D13)-LN(B13))/4))-1)*(100)</f>
        <v>-1.1870615170346488</v>
      </c>
      <c r="I13" s="11">
        <f aca="true" t="shared" si="1" ref="I13:K17">((D13/C13)-1)*100</f>
        <v>11.663972267128875</v>
      </c>
      <c r="J13" s="12">
        <f t="shared" si="1"/>
        <v>8.54260106418705</v>
      </c>
      <c r="K13" s="11">
        <f t="shared" si="1"/>
        <v>6.5983251516026575</v>
      </c>
      <c r="L13" s="23">
        <f>+((EXP((LN(G13)-LN(D13))/12))-1)*(100)</f>
        <v>4.712908269327154</v>
      </c>
    </row>
    <row r="14" spans="1:12" s="7" customFormat="1" ht="12">
      <c r="A14" s="24" t="s">
        <v>25</v>
      </c>
      <c r="B14" s="110">
        <v>53.043</v>
      </c>
      <c r="C14" s="111">
        <v>43.797</v>
      </c>
      <c r="D14" s="112">
        <v>48.352</v>
      </c>
      <c r="E14" s="108">
        <v>52.033</v>
      </c>
      <c r="F14" s="113">
        <v>55.192</v>
      </c>
      <c r="G14" s="109">
        <v>80.305</v>
      </c>
      <c r="H14" s="185">
        <f>+((EXP((LN(D14)-LN(B14))/4))-1)*(100)</f>
        <v>-2.288295120194561</v>
      </c>
      <c r="I14" s="11">
        <f t="shared" si="1"/>
        <v>10.400255725277985</v>
      </c>
      <c r="J14" s="12">
        <f t="shared" si="1"/>
        <v>7.612921906022518</v>
      </c>
      <c r="K14" s="11">
        <f t="shared" si="1"/>
        <v>6.071147156612144</v>
      </c>
      <c r="L14" s="23">
        <f>+((EXP((LN(G14)-LN(D14))/12))-1)*(100)</f>
        <v>4.318342656475571</v>
      </c>
    </row>
    <row r="15" spans="1:12" s="7" customFormat="1" ht="12">
      <c r="A15" s="24" t="s">
        <v>26</v>
      </c>
      <c r="B15" s="110">
        <v>40.8</v>
      </c>
      <c r="C15" s="111">
        <v>38.716</v>
      </c>
      <c r="D15" s="112">
        <v>42.782</v>
      </c>
      <c r="E15" s="108">
        <v>46.007</v>
      </c>
      <c r="F15" s="113">
        <v>48.79</v>
      </c>
      <c r="G15" s="109">
        <v>77.929</v>
      </c>
      <c r="H15" s="185">
        <f>+((EXP((LN(D15)-LN(B15))/4))-1)*(100)</f>
        <v>1.1929437852728597</v>
      </c>
      <c r="I15" s="11">
        <f t="shared" si="1"/>
        <v>10.502117987395376</v>
      </c>
      <c r="J15" s="12">
        <f t="shared" si="1"/>
        <v>7.538217007152537</v>
      </c>
      <c r="K15" s="11">
        <f t="shared" si="1"/>
        <v>6.049079487904008</v>
      </c>
      <c r="L15" s="23">
        <f>+((EXP((LN(G15)-LN(D15))/12))-1)*(100)</f>
        <v>5.124312438357981</v>
      </c>
    </row>
    <row r="16" spans="1:12" s="7" customFormat="1" ht="12">
      <c r="A16" s="24" t="s">
        <v>27</v>
      </c>
      <c r="B16" s="108">
        <v>25.961</v>
      </c>
      <c r="C16" s="113">
        <v>19.997</v>
      </c>
      <c r="D16" s="109">
        <v>23.536</v>
      </c>
      <c r="E16" s="110">
        <v>26.279</v>
      </c>
      <c r="F16" s="111">
        <v>28.523</v>
      </c>
      <c r="G16" s="112">
        <v>44.849</v>
      </c>
      <c r="H16" s="185">
        <f>+((EXP((LN(D16)-LN(B16))/4))-1)*(100)</f>
        <v>-2.4217984227015266</v>
      </c>
      <c r="I16" s="11">
        <f t="shared" si="1"/>
        <v>17.697654648197236</v>
      </c>
      <c r="J16" s="11">
        <f t="shared" si="1"/>
        <v>11.654486743711745</v>
      </c>
      <c r="K16" s="12">
        <f t="shared" si="1"/>
        <v>8.539137714524902</v>
      </c>
      <c r="L16" s="23">
        <f>+((EXP((LN(G16)-LN(D16))/12))-1)*(100)</f>
        <v>5.520055035742222</v>
      </c>
    </row>
    <row r="17" spans="1:12" s="7" customFormat="1" ht="12">
      <c r="A17" s="24" t="s">
        <v>28</v>
      </c>
      <c r="B17" s="110">
        <v>20.751</v>
      </c>
      <c r="C17" s="114">
        <v>17.492</v>
      </c>
      <c r="D17" s="115">
        <v>19.329</v>
      </c>
      <c r="E17" s="116">
        <v>21.127</v>
      </c>
      <c r="F17" s="117">
        <v>22.538</v>
      </c>
      <c r="G17" s="118">
        <v>29.782</v>
      </c>
      <c r="H17" s="185">
        <f>+((EXP((LN(D17)-LN(B17))/4))-1)*(100)</f>
        <v>-1.7590419859853546</v>
      </c>
      <c r="I17" s="11">
        <f t="shared" si="1"/>
        <v>10.501943745712317</v>
      </c>
      <c r="J17" s="11">
        <f t="shared" si="1"/>
        <v>9.302084950075006</v>
      </c>
      <c r="K17" s="12">
        <f t="shared" si="1"/>
        <v>6.67865764188007</v>
      </c>
      <c r="L17" s="23">
        <f>+((EXP((LN(G17)-LN(D17))/12))-1)*(100)</f>
        <v>3.6681558064131092</v>
      </c>
    </row>
    <row r="18" spans="1:12" s="7" customFormat="1" ht="12">
      <c r="A18" s="24"/>
      <c r="B18" s="119"/>
      <c r="C18" s="120"/>
      <c r="D18" s="121"/>
      <c r="E18" s="122"/>
      <c r="F18" s="123"/>
      <c r="G18" s="124"/>
      <c r="H18" s="24"/>
      <c r="I18" s="8"/>
      <c r="J18" s="14"/>
      <c r="K18" s="8"/>
      <c r="L18" s="68"/>
    </row>
    <row r="19" spans="1:12" s="7" customFormat="1" ht="12">
      <c r="A19" s="56" t="s">
        <v>29</v>
      </c>
      <c r="B19" s="119"/>
      <c r="C19" s="120"/>
      <c r="D19" s="121"/>
      <c r="E19" s="122"/>
      <c r="F19" s="123"/>
      <c r="G19" s="124"/>
      <c r="H19" s="24"/>
      <c r="I19" s="8"/>
      <c r="J19" s="14"/>
      <c r="K19" s="8"/>
      <c r="L19" s="68"/>
    </row>
    <row r="20" spans="1:12" s="7" customFormat="1" ht="12">
      <c r="A20" s="24" t="s">
        <v>30</v>
      </c>
      <c r="B20" s="119"/>
      <c r="C20" s="120"/>
      <c r="D20" s="121"/>
      <c r="E20" s="122"/>
      <c r="F20" s="123"/>
      <c r="G20" s="124"/>
      <c r="H20" s="24"/>
      <c r="I20" s="8"/>
      <c r="J20" s="14"/>
      <c r="K20" s="8"/>
      <c r="L20" s="68"/>
    </row>
    <row r="21" spans="1:14" s="7" customFormat="1" ht="12">
      <c r="A21" s="24" t="s">
        <v>31</v>
      </c>
      <c r="B21" s="65">
        <v>561.494</v>
      </c>
      <c r="C21" s="16">
        <v>482.839</v>
      </c>
      <c r="D21" s="84">
        <v>502.206</v>
      </c>
      <c r="E21" s="91">
        <v>505.721</v>
      </c>
      <c r="F21" s="28">
        <v>524.433</v>
      </c>
      <c r="G21" s="85">
        <v>700.011</v>
      </c>
      <c r="H21" s="185">
        <f aca="true" t="shared" si="2" ref="H21:H26">+((EXP((LN(D21)-LN(B21))/4))-1)*(100)</f>
        <v>-2.7512127100634665</v>
      </c>
      <c r="I21" s="11">
        <f aca="true" t="shared" si="3" ref="I21:K26">((D21/C21)-1)*100</f>
        <v>4.011067871485108</v>
      </c>
      <c r="J21" s="12">
        <f t="shared" si="3"/>
        <v>0.6999119883075888</v>
      </c>
      <c r="K21" s="11">
        <f t="shared" si="3"/>
        <v>3.700063869208514</v>
      </c>
      <c r="L21" s="23">
        <f aca="true" t="shared" si="4" ref="L21:L26">+((EXP((LN(G21)-LN(D21))/12))-1)*(100)</f>
        <v>2.8060281179594693</v>
      </c>
      <c r="N21" s="209"/>
    </row>
    <row r="22" spans="1:14" s="7" customFormat="1" ht="12">
      <c r="A22" s="24" t="s">
        <v>32</v>
      </c>
      <c r="B22" s="65">
        <f aca="true" t="shared" si="5" ref="B22:G22">SUM(B23:B25)</f>
        <v>53.269</v>
      </c>
      <c r="C22" s="16">
        <f t="shared" si="5"/>
        <v>50.559</v>
      </c>
      <c r="D22" s="84">
        <f t="shared" si="5"/>
        <v>57.329</v>
      </c>
      <c r="E22" s="91">
        <f t="shared" si="5"/>
        <v>62.959</v>
      </c>
      <c r="F22" s="28">
        <f t="shared" si="5"/>
        <v>66.947</v>
      </c>
      <c r="G22" s="85">
        <f t="shared" si="5"/>
        <v>103.025</v>
      </c>
      <c r="H22" s="185">
        <f t="shared" si="2"/>
        <v>1.8532650754571112</v>
      </c>
      <c r="I22" s="11">
        <f t="shared" si="3"/>
        <v>13.390296485294417</v>
      </c>
      <c r="J22" s="12">
        <f t="shared" si="3"/>
        <v>9.820509689685863</v>
      </c>
      <c r="K22" s="11">
        <f t="shared" si="3"/>
        <v>6.3342810400419225</v>
      </c>
      <c r="L22" s="23">
        <f t="shared" si="4"/>
        <v>5.005977323987332</v>
      </c>
      <c r="N22" s="209"/>
    </row>
    <row r="23" spans="1:14" s="7" customFormat="1" ht="12">
      <c r="A23" s="24" t="s">
        <v>25</v>
      </c>
      <c r="B23" s="65">
        <v>20.896</v>
      </c>
      <c r="C23" s="16">
        <v>17.823</v>
      </c>
      <c r="D23" s="84">
        <v>19.909</v>
      </c>
      <c r="E23" s="91">
        <v>21.761</v>
      </c>
      <c r="F23" s="28">
        <v>23.197</v>
      </c>
      <c r="G23" s="85">
        <v>32.686</v>
      </c>
      <c r="H23" s="185">
        <f t="shared" si="2"/>
        <v>-1.2023597445937506</v>
      </c>
      <c r="I23" s="11">
        <f t="shared" si="3"/>
        <v>11.703978005947357</v>
      </c>
      <c r="J23" s="12">
        <f t="shared" si="3"/>
        <v>9.302325581395344</v>
      </c>
      <c r="K23" s="11">
        <f t="shared" si="3"/>
        <v>6.598961444786555</v>
      </c>
      <c r="L23" s="23">
        <f t="shared" si="4"/>
        <v>4.217990301322705</v>
      </c>
      <c r="N23" s="209"/>
    </row>
    <row r="24" spans="1:14" s="7" customFormat="1" ht="12">
      <c r="A24" s="24" t="s">
        <v>26</v>
      </c>
      <c r="B24" s="65">
        <v>21.189</v>
      </c>
      <c r="C24" s="16">
        <v>22.283</v>
      </c>
      <c r="D24" s="84">
        <v>25.163</v>
      </c>
      <c r="E24" s="91">
        <v>28.031</v>
      </c>
      <c r="F24" s="28">
        <v>29.517</v>
      </c>
      <c r="G24" s="85">
        <v>47.623</v>
      </c>
      <c r="H24" s="185">
        <f t="shared" si="2"/>
        <v>4.390983483300803</v>
      </c>
      <c r="I24" s="11">
        <f t="shared" si="3"/>
        <v>12.924651079298123</v>
      </c>
      <c r="J24" s="12">
        <f t="shared" si="3"/>
        <v>11.397687080236851</v>
      </c>
      <c r="K24" s="11">
        <f t="shared" si="3"/>
        <v>5.301273589953981</v>
      </c>
      <c r="L24" s="23">
        <f t="shared" si="4"/>
        <v>5.460022839435874</v>
      </c>
      <c r="N24" s="209"/>
    </row>
    <row r="25" spans="1:14" s="7" customFormat="1" ht="12">
      <c r="A25" s="24" t="s">
        <v>27</v>
      </c>
      <c r="B25" s="65">
        <v>11.184</v>
      </c>
      <c r="C25" s="16">
        <v>10.453</v>
      </c>
      <c r="D25" s="84">
        <v>12.257</v>
      </c>
      <c r="E25" s="91">
        <v>13.167</v>
      </c>
      <c r="F25" s="28">
        <v>14.233</v>
      </c>
      <c r="G25" s="85">
        <v>22.716</v>
      </c>
      <c r="H25" s="185">
        <f t="shared" si="2"/>
        <v>2.316754761312545</v>
      </c>
      <c r="I25" s="11">
        <f t="shared" si="3"/>
        <v>17.25820338658759</v>
      </c>
      <c r="J25" s="12">
        <f t="shared" si="3"/>
        <v>7.424328954882919</v>
      </c>
      <c r="K25" s="11">
        <f t="shared" si="3"/>
        <v>8.095997569681778</v>
      </c>
      <c r="L25" s="23">
        <f t="shared" si="4"/>
        <v>5.2759024118452125</v>
      </c>
      <c r="N25" s="209"/>
    </row>
    <row r="26" spans="1:14" s="7" customFormat="1" ht="12">
      <c r="A26" s="24" t="s">
        <v>33</v>
      </c>
      <c r="B26" s="65">
        <f aca="true" t="shared" si="6" ref="B26:G26">SUM(B21+B22)</f>
        <v>614.763</v>
      </c>
      <c r="C26" s="16">
        <f t="shared" si="6"/>
        <v>533.398</v>
      </c>
      <c r="D26" s="84">
        <f t="shared" si="6"/>
        <v>559.535</v>
      </c>
      <c r="E26" s="91">
        <f t="shared" si="6"/>
        <v>568.6800000000001</v>
      </c>
      <c r="F26" s="28">
        <f t="shared" si="6"/>
        <v>591.38</v>
      </c>
      <c r="G26" s="85">
        <f t="shared" si="6"/>
        <v>803.036</v>
      </c>
      <c r="H26" s="185">
        <f t="shared" si="2"/>
        <v>-2.325795213957371</v>
      </c>
      <c r="I26" s="11">
        <f t="shared" si="3"/>
        <v>4.900093363679647</v>
      </c>
      <c r="J26" s="12">
        <f t="shared" si="3"/>
        <v>1.634392844058019</v>
      </c>
      <c r="K26" s="11">
        <f t="shared" si="3"/>
        <v>3.991700077372151</v>
      </c>
      <c r="L26" s="23">
        <f t="shared" si="4"/>
        <v>3.0565611189133923</v>
      </c>
      <c r="N26" s="209"/>
    </row>
    <row r="27" spans="1:12" s="7" customFormat="1" ht="12">
      <c r="A27" s="24"/>
      <c r="B27" s="65"/>
      <c r="C27" s="16"/>
      <c r="D27" s="84"/>
      <c r="E27" s="91"/>
      <c r="F27" s="28"/>
      <c r="G27" s="85"/>
      <c r="H27" s="185"/>
      <c r="I27" s="11"/>
      <c r="J27" s="12"/>
      <c r="K27" s="11"/>
      <c r="L27" s="23"/>
    </row>
    <row r="28" spans="1:12" s="7" customFormat="1" ht="12">
      <c r="A28" s="24" t="s">
        <v>34</v>
      </c>
      <c r="B28" s="65"/>
      <c r="C28" s="16"/>
      <c r="D28" s="84"/>
      <c r="E28" s="91"/>
      <c r="F28" s="28"/>
      <c r="G28" s="85"/>
      <c r="H28" s="185"/>
      <c r="I28" s="11"/>
      <c r="J28" s="12"/>
      <c r="K28" s="11"/>
      <c r="L28" s="23"/>
    </row>
    <row r="29" spans="1:12" s="7" customFormat="1" ht="12">
      <c r="A29" s="24" t="s">
        <v>31</v>
      </c>
      <c r="B29" s="65">
        <v>489.954</v>
      </c>
      <c r="C29" s="16">
        <v>453.423</v>
      </c>
      <c r="D29" s="84">
        <v>488.443</v>
      </c>
      <c r="E29" s="91">
        <v>496.747</v>
      </c>
      <c r="F29" s="28">
        <v>521.087</v>
      </c>
      <c r="G29" s="85">
        <v>740.728</v>
      </c>
      <c r="H29" s="185">
        <f aca="true" t="shared" si="7" ref="H29:H34">+((EXP((LN(D29)-LN(B29))/4))-1)*(100)</f>
        <v>-0.07718839936159405</v>
      </c>
      <c r="I29" s="11">
        <f aca="true" t="shared" si="8" ref="I29:I34">((D29/C29)-1)*100</f>
        <v>7.723472342602822</v>
      </c>
      <c r="J29" s="12">
        <f aca="true" t="shared" si="9" ref="J29:J34">((E29/D29)-1)*100</f>
        <v>1.7000960193922277</v>
      </c>
      <c r="K29" s="11">
        <f aca="true" t="shared" si="10" ref="K29:K34">((F29/E29)-1)*100</f>
        <v>4.899878610238195</v>
      </c>
      <c r="L29" s="23">
        <f aca="true" t="shared" si="11" ref="L29:L34">+((EXP((LN(G29)-LN(D29))/12))-1)*(100)</f>
        <v>3.53099931051013</v>
      </c>
    </row>
    <row r="30" spans="1:12" s="7" customFormat="1" ht="12">
      <c r="A30" s="24" t="s">
        <v>32</v>
      </c>
      <c r="B30" s="65">
        <f aca="true" t="shared" si="12" ref="B30:G30">SUM(B31:B33)</f>
        <v>180.969</v>
      </c>
      <c r="C30" s="16">
        <f t="shared" si="12"/>
        <v>154.75900000000001</v>
      </c>
      <c r="D30" s="84">
        <f t="shared" si="12"/>
        <v>175.905</v>
      </c>
      <c r="E30" s="91">
        <f t="shared" si="12"/>
        <v>195.94</v>
      </c>
      <c r="F30" s="28">
        <f t="shared" si="12"/>
        <v>211.41500000000002</v>
      </c>
      <c r="G30" s="85">
        <f t="shared" si="12"/>
        <v>332.62</v>
      </c>
      <c r="H30" s="185">
        <f t="shared" si="7"/>
        <v>-0.7070304281926121</v>
      </c>
      <c r="I30" s="11">
        <f t="shared" si="8"/>
        <v>13.663825690266783</v>
      </c>
      <c r="J30" s="12">
        <f t="shared" si="9"/>
        <v>11.38967056081408</v>
      </c>
      <c r="K30" s="11">
        <f t="shared" si="10"/>
        <v>7.897825865060737</v>
      </c>
      <c r="L30" s="23">
        <f t="shared" si="11"/>
        <v>5.452249355273264</v>
      </c>
    </row>
    <row r="31" spans="1:12" s="7" customFormat="1" ht="12">
      <c r="A31" s="24" t="s">
        <v>25</v>
      </c>
      <c r="B31" s="65">
        <v>87.096</v>
      </c>
      <c r="C31" s="16">
        <v>73.171</v>
      </c>
      <c r="D31" s="84">
        <v>82.139</v>
      </c>
      <c r="E31" s="91">
        <v>90.846</v>
      </c>
      <c r="F31" s="28">
        <v>97.296</v>
      </c>
      <c r="G31" s="85">
        <v>140.173</v>
      </c>
      <c r="H31" s="185">
        <f t="shared" si="7"/>
        <v>-1.4542724170747756</v>
      </c>
      <c r="I31" s="11">
        <f t="shared" si="8"/>
        <v>12.25622172718699</v>
      </c>
      <c r="J31" s="12">
        <f t="shared" si="9"/>
        <v>10.600323841293434</v>
      </c>
      <c r="K31" s="11">
        <f t="shared" si="10"/>
        <v>7.099927349580604</v>
      </c>
      <c r="L31" s="23">
        <f t="shared" si="11"/>
        <v>4.554544201335697</v>
      </c>
    </row>
    <row r="32" spans="1:12" s="7" customFormat="1" ht="12">
      <c r="A32" s="24" t="s">
        <v>26</v>
      </c>
      <c r="B32" s="65">
        <v>35.495</v>
      </c>
      <c r="C32" s="16">
        <v>35.391</v>
      </c>
      <c r="D32" s="84">
        <v>40.254</v>
      </c>
      <c r="E32" s="91">
        <v>45.958</v>
      </c>
      <c r="F32" s="28">
        <v>49.956</v>
      </c>
      <c r="G32" s="85">
        <v>87.78</v>
      </c>
      <c r="H32" s="185">
        <f t="shared" si="7"/>
        <v>3.1954300976484884</v>
      </c>
      <c r="I32" s="11">
        <f t="shared" si="8"/>
        <v>13.740781554632541</v>
      </c>
      <c r="J32" s="12">
        <f t="shared" si="9"/>
        <v>14.170020370646409</v>
      </c>
      <c r="K32" s="11">
        <f t="shared" si="10"/>
        <v>8.699247138691856</v>
      </c>
      <c r="L32" s="23">
        <f t="shared" si="11"/>
        <v>6.712561451044707</v>
      </c>
    </row>
    <row r="33" spans="1:12" s="7" customFormat="1" ht="12">
      <c r="A33" s="24" t="s">
        <v>27</v>
      </c>
      <c r="B33" s="65">
        <v>58.378</v>
      </c>
      <c r="C33" s="16">
        <v>46.197</v>
      </c>
      <c r="D33" s="84">
        <v>53.512</v>
      </c>
      <c r="E33" s="91">
        <v>59.136</v>
      </c>
      <c r="F33" s="28">
        <v>64.163</v>
      </c>
      <c r="G33" s="85">
        <v>104.667</v>
      </c>
      <c r="H33" s="185">
        <f t="shared" si="7"/>
        <v>-2.152329050119839</v>
      </c>
      <c r="I33" s="11">
        <f t="shared" si="8"/>
        <v>15.83436153862805</v>
      </c>
      <c r="J33" s="12">
        <f t="shared" si="9"/>
        <v>10.50979219614292</v>
      </c>
      <c r="K33" s="11">
        <f t="shared" si="10"/>
        <v>8.500744047619047</v>
      </c>
      <c r="L33" s="23">
        <f t="shared" si="11"/>
        <v>5.749879893384668</v>
      </c>
    </row>
    <row r="34" spans="1:12" s="7" customFormat="1" ht="12">
      <c r="A34" s="24" t="s">
        <v>33</v>
      </c>
      <c r="B34" s="65">
        <f aca="true" t="shared" si="13" ref="B34:G34">SUM(B29+B30)</f>
        <v>670.923</v>
      </c>
      <c r="C34" s="16">
        <f t="shared" si="13"/>
        <v>608.182</v>
      </c>
      <c r="D34" s="84">
        <f t="shared" si="13"/>
        <v>664.348</v>
      </c>
      <c r="E34" s="91">
        <f t="shared" si="13"/>
        <v>692.687</v>
      </c>
      <c r="F34" s="28">
        <f t="shared" si="13"/>
        <v>732.502</v>
      </c>
      <c r="G34" s="85">
        <f t="shared" si="13"/>
        <v>1073.348</v>
      </c>
      <c r="H34" s="185">
        <f t="shared" si="7"/>
        <v>-0.24590385283863592</v>
      </c>
      <c r="I34" s="11">
        <f t="shared" si="8"/>
        <v>9.235064503717627</v>
      </c>
      <c r="J34" s="12">
        <f t="shared" si="9"/>
        <v>4.265686056103135</v>
      </c>
      <c r="K34" s="11">
        <f t="shared" si="10"/>
        <v>5.747906341536635</v>
      </c>
      <c r="L34" s="23">
        <f t="shared" si="11"/>
        <v>4.078752150797227</v>
      </c>
    </row>
    <row r="35" spans="1:12" s="7" customFormat="1" ht="12">
      <c r="A35" s="24"/>
      <c r="B35" s="65"/>
      <c r="C35" s="16"/>
      <c r="D35" s="84"/>
      <c r="E35" s="91"/>
      <c r="F35" s="28"/>
      <c r="G35" s="85"/>
      <c r="H35" s="185"/>
      <c r="I35" s="11"/>
      <c r="J35" s="12"/>
      <c r="K35" s="11"/>
      <c r="L35" s="23"/>
    </row>
    <row r="36" spans="1:12" s="7" customFormat="1" ht="12">
      <c r="A36" s="71" t="s">
        <v>176</v>
      </c>
      <c r="B36" s="65"/>
      <c r="C36" s="16"/>
      <c r="D36" s="84"/>
      <c r="E36" s="91"/>
      <c r="F36" s="28"/>
      <c r="G36" s="85"/>
      <c r="H36" s="185"/>
      <c r="I36" s="11"/>
      <c r="J36" s="12"/>
      <c r="K36" s="11"/>
      <c r="L36" s="23"/>
    </row>
    <row r="37" spans="1:12" s="7" customFormat="1" ht="12">
      <c r="A37" s="24" t="s">
        <v>31</v>
      </c>
      <c r="B37" s="65">
        <v>688.265</v>
      </c>
      <c r="C37" s="16">
        <v>623.749</v>
      </c>
      <c r="D37" s="84">
        <v>654.107</v>
      </c>
      <c r="E37" s="91">
        <v>658.3</v>
      </c>
      <c r="F37" s="28">
        <v>689.9</v>
      </c>
      <c r="G37" s="85">
        <v>973.8</v>
      </c>
      <c r="H37" s="185">
        <f aca="true" t="shared" si="14" ref="H37:H42">+((EXP((LN(D37)-LN(B37))/4))-1)*(100)</f>
        <v>-1.264511794664358</v>
      </c>
      <c r="I37" s="11">
        <f aca="true" t="shared" si="15" ref="I37:K42">((D37/C37)-1)*100</f>
        <v>4.867021830896712</v>
      </c>
      <c r="J37" s="12">
        <f t="shared" si="15"/>
        <v>0.6410266210268301</v>
      </c>
      <c r="K37" s="11">
        <f t="shared" si="15"/>
        <v>4.800243050281039</v>
      </c>
      <c r="L37" s="23">
        <f aca="true" t="shared" si="16" ref="L37:L42">+((EXP((LN(G37)-LN(D37))/12))-1)*(100)</f>
        <v>3.3717212454588807</v>
      </c>
    </row>
    <row r="38" spans="1:12" s="7" customFormat="1" ht="12">
      <c r="A38" s="24" t="s">
        <v>32</v>
      </c>
      <c r="B38" s="65">
        <f aca="true" t="shared" si="17" ref="B38:G38">SUM(B39:B41)</f>
        <v>237.97699999999998</v>
      </c>
      <c r="C38" s="16">
        <f t="shared" si="17"/>
        <v>205.072</v>
      </c>
      <c r="D38" s="84">
        <f t="shared" si="17"/>
        <v>221.368</v>
      </c>
      <c r="E38" s="91">
        <f t="shared" si="17"/>
        <v>247.183</v>
      </c>
      <c r="F38" s="28">
        <f t="shared" si="17"/>
        <v>267.05</v>
      </c>
      <c r="G38" s="85">
        <f t="shared" si="17"/>
        <v>422.08000000000004</v>
      </c>
      <c r="H38" s="185">
        <f t="shared" si="14"/>
        <v>-1.7924302751514687</v>
      </c>
      <c r="I38" s="11">
        <f t="shared" si="15"/>
        <v>7.9464773347897255</v>
      </c>
      <c r="J38" s="12">
        <f t="shared" si="15"/>
        <v>11.66157710238156</v>
      </c>
      <c r="K38" s="11">
        <f t="shared" si="15"/>
        <v>8.037365029148447</v>
      </c>
      <c r="L38" s="23">
        <f t="shared" si="16"/>
        <v>5.525315927493146</v>
      </c>
    </row>
    <row r="39" spans="1:12" s="7" customFormat="1" ht="12">
      <c r="A39" s="24" t="s">
        <v>25</v>
      </c>
      <c r="B39" s="65">
        <v>109.909</v>
      </c>
      <c r="C39" s="16">
        <v>93.706</v>
      </c>
      <c r="D39" s="84">
        <v>100.539</v>
      </c>
      <c r="E39" s="91">
        <v>110.08</v>
      </c>
      <c r="F39" s="28">
        <v>118.65</v>
      </c>
      <c r="G39" s="85">
        <v>170.94</v>
      </c>
      <c r="H39" s="185">
        <f t="shared" si="14"/>
        <v>-2.203046495215144</v>
      </c>
      <c r="I39" s="11">
        <f t="shared" si="15"/>
        <v>7.291955691204399</v>
      </c>
      <c r="J39" s="12">
        <f t="shared" si="15"/>
        <v>9.489849710062748</v>
      </c>
      <c r="K39" s="11">
        <f t="shared" si="15"/>
        <v>7.785247093023262</v>
      </c>
      <c r="L39" s="23">
        <f t="shared" si="16"/>
        <v>4.522332998153078</v>
      </c>
    </row>
    <row r="40" spans="1:12" s="7" customFormat="1" ht="12">
      <c r="A40" s="24" t="s">
        <v>26</v>
      </c>
      <c r="B40" s="65">
        <v>51.435</v>
      </c>
      <c r="C40" s="16">
        <v>51.069</v>
      </c>
      <c r="D40" s="84">
        <v>57.25</v>
      </c>
      <c r="E40" s="91">
        <v>64.5</v>
      </c>
      <c r="F40" s="28">
        <v>69.67</v>
      </c>
      <c r="G40" s="85">
        <v>121.92</v>
      </c>
      <c r="H40" s="185">
        <f t="shared" si="14"/>
        <v>2.71389224590457</v>
      </c>
      <c r="I40" s="11">
        <f t="shared" si="15"/>
        <v>12.103232881004121</v>
      </c>
      <c r="J40" s="12">
        <f t="shared" si="15"/>
        <v>12.66375545851528</v>
      </c>
      <c r="K40" s="11">
        <f t="shared" si="15"/>
        <v>8.015503875968989</v>
      </c>
      <c r="L40" s="23">
        <f t="shared" si="16"/>
        <v>6.502128774935234</v>
      </c>
    </row>
    <row r="41" spans="1:12" s="7" customFormat="1" ht="12">
      <c r="A41" s="24" t="s">
        <v>27</v>
      </c>
      <c r="B41" s="65">
        <v>76.633</v>
      </c>
      <c r="C41" s="16">
        <v>60.297</v>
      </c>
      <c r="D41" s="84">
        <v>63.579</v>
      </c>
      <c r="E41" s="91">
        <v>72.603</v>
      </c>
      <c r="F41" s="28">
        <v>78.73</v>
      </c>
      <c r="G41" s="85">
        <v>129.22</v>
      </c>
      <c r="H41" s="185">
        <f t="shared" si="14"/>
        <v>-4.561310702831167</v>
      </c>
      <c r="I41" s="11">
        <f t="shared" si="15"/>
        <v>5.443056868500928</v>
      </c>
      <c r="J41" s="12">
        <f t="shared" si="15"/>
        <v>14.193365733968744</v>
      </c>
      <c r="K41" s="11">
        <f t="shared" si="15"/>
        <v>8.43904521851715</v>
      </c>
      <c r="L41" s="23">
        <f t="shared" si="16"/>
        <v>6.088425434429001</v>
      </c>
    </row>
    <row r="42" spans="1:12" s="7" customFormat="1" ht="12">
      <c r="A42" s="24" t="s">
        <v>33</v>
      </c>
      <c r="B42" s="65">
        <f aca="true" t="shared" si="18" ref="B42:G42">SUM(B37+B38)</f>
        <v>926.242</v>
      </c>
      <c r="C42" s="16">
        <f t="shared" si="18"/>
        <v>828.821</v>
      </c>
      <c r="D42" s="84">
        <f t="shared" si="18"/>
        <v>875.4749999999999</v>
      </c>
      <c r="E42" s="91">
        <f t="shared" si="18"/>
        <v>905.483</v>
      </c>
      <c r="F42" s="28">
        <f t="shared" si="18"/>
        <v>956.95</v>
      </c>
      <c r="G42" s="85">
        <f t="shared" si="18"/>
        <v>1395.88</v>
      </c>
      <c r="H42" s="185">
        <f t="shared" si="14"/>
        <v>-1.399340508517033</v>
      </c>
      <c r="I42" s="11">
        <f t="shared" si="15"/>
        <v>5.628959690934465</v>
      </c>
      <c r="J42" s="12">
        <f t="shared" si="15"/>
        <v>3.427625003569501</v>
      </c>
      <c r="K42" s="11">
        <f t="shared" si="15"/>
        <v>5.683927804276845</v>
      </c>
      <c r="L42" s="23">
        <f t="shared" si="16"/>
        <v>3.9641709425201066</v>
      </c>
    </row>
    <row r="43" spans="1:12" s="7" customFormat="1" ht="12">
      <c r="A43" s="24"/>
      <c r="B43" s="65"/>
      <c r="C43" s="16"/>
      <c r="D43" s="84"/>
      <c r="E43" s="91"/>
      <c r="F43" s="28"/>
      <c r="G43" s="85"/>
      <c r="H43" s="185"/>
      <c r="I43" s="11"/>
      <c r="J43" s="12"/>
      <c r="K43" s="11"/>
      <c r="L43" s="23"/>
    </row>
    <row r="44" spans="1:12" s="7" customFormat="1" ht="12">
      <c r="A44" s="24" t="s">
        <v>125</v>
      </c>
      <c r="B44" s="125"/>
      <c r="C44" s="126"/>
      <c r="D44" s="127"/>
      <c r="E44" s="128"/>
      <c r="F44" s="126"/>
      <c r="G44" s="129"/>
      <c r="H44" s="185"/>
      <c r="I44" s="11"/>
      <c r="J44" s="12"/>
      <c r="K44" s="11"/>
      <c r="L44" s="23"/>
    </row>
    <row r="45" spans="1:12" s="7" customFormat="1" ht="12">
      <c r="A45" s="24" t="s">
        <v>70</v>
      </c>
      <c r="B45" s="125">
        <v>4488</v>
      </c>
      <c r="C45" s="130">
        <v>4023</v>
      </c>
      <c r="D45" s="131">
        <v>4046</v>
      </c>
      <c r="E45" s="132">
        <v>4151</v>
      </c>
      <c r="F45" s="133">
        <v>4320</v>
      </c>
      <c r="G45" s="134">
        <v>5999</v>
      </c>
      <c r="H45" s="185">
        <f>+((EXP((LN(D45)-LN(B45))/4))-1)*(100)</f>
        <v>-2.558657788100316</v>
      </c>
      <c r="I45" s="11">
        <f>((D45/C45)-1)*100</f>
        <v>0.5717126522495564</v>
      </c>
      <c r="J45" s="12">
        <f>((E45/D45)-1)*100</f>
        <v>2.595155709342567</v>
      </c>
      <c r="K45" s="11">
        <f>((F45/E45)-1)*100</f>
        <v>4.071308118525652</v>
      </c>
      <c r="L45" s="23">
        <f>+((EXP((LN(G45)-LN(D45))/12))-1)*(100)</f>
        <v>3.3366587917126767</v>
      </c>
    </row>
    <row r="46" spans="1:12" s="7" customFormat="1" ht="12">
      <c r="A46" s="24"/>
      <c r="B46" s="125"/>
      <c r="C46" s="130"/>
      <c r="D46" s="131"/>
      <c r="E46" s="132"/>
      <c r="F46" s="133"/>
      <c r="G46" s="134"/>
      <c r="H46" s="185"/>
      <c r="I46" s="11"/>
      <c r="J46" s="12"/>
      <c r="K46" s="11"/>
      <c r="L46" s="23"/>
    </row>
    <row r="47" spans="1:12" s="7" customFormat="1" ht="12.75" thickBot="1">
      <c r="A47" s="36" t="s">
        <v>126</v>
      </c>
      <c r="B47" s="135">
        <v>14.258</v>
      </c>
      <c r="C47" s="136">
        <v>13.309</v>
      </c>
      <c r="D47" s="137">
        <v>13.726</v>
      </c>
      <c r="E47" s="182">
        <v>14.269</v>
      </c>
      <c r="F47" s="183">
        <v>14.871</v>
      </c>
      <c r="G47" s="184">
        <v>20.837</v>
      </c>
      <c r="H47" s="92">
        <f>+((EXP((LN(D47)-LN(B47))/4))-1)*(100)</f>
        <v>-0.9461532401779271</v>
      </c>
      <c r="I47" s="22">
        <f>((D47/C47)-1)*100</f>
        <v>3.1332181230746325</v>
      </c>
      <c r="J47" s="21">
        <f>((E47/D47)-1)*100</f>
        <v>3.9559959201515227</v>
      </c>
      <c r="K47" s="22">
        <f>((F47/E47)-1)*100</f>
        <v>4.218936155301711</v>
      </c>
      <c r="L47" s="29">
        <f>+((EXP((LN(G47)-LN(D47))/12))-1)*(100)</f>
        <v>3.539866280537507</v>
      </c>
    </row>
    <row r="48" s="7" customFormat="1" ht="12"/>
    <row r="49" spans="1:11" s="7" customFormat="1" ht="12">
      <c r="A49" s="7" t="s">
        <v>168</v>
      </c>
      <c r="K49" s="14"/>
    </row>
    <row r="50" s="7" customFormat="1" ht="12">
      <c r="A50" s="7" t="s">
        <v>160</v>
      </c>
    </row>
    <row r="51" s="7" customFormat="1" ht="12">
      <c r="A51" s="7" t="s">
        <v>127</v>
      </c>
    </row>
    <row r="52" spans="1:11" ht="12.75">
      <c r="A52" s="2" t="s">
        <v>73</v>
      </c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2" ht="12.75">
      <c r="A55" s="226" t="s">
        <v>199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</sheetData>
  <mergeCells count="1">
    <mergeCell ref="A55:L55"/>
  </mergeCells>
  <printOptions horizontalCentered="1"/>
  <pageMargins left="0.75" right="0.5" top="0.5" bottom="0.4" header="0.5" footer="0.5"/>
  <pageSetup fitToHeight="1" fitToWidth="1" horizontalDpi="300" verticalDpi="300" orientation="landscape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="75" zoomScaleNormal="75" workbookViewId="0" topLeftCell="A1">
      <selection activeCell="G61" sqref="G61"/>
    </sheetView>
  </sheetViews>
  <sheetFormatPr defaultColWidth="9.140625" defaultRowHeight="12.75"/>
  <cols>
    <col min="1" max="1" width="25.7109375" style="0" customWidth="1"/>
    <col min="2" max="12" width="9.7109375" style="0" customWidth="1"/>
  </cols>
  <sheetData>
    <row r="1" spans="1:12" ht="15.75">
      <c r="A1" s="3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5" t="s">
        <v>74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5" t="s">
        <v>184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8">
      <c r="A6" s="5" t="s">
        <v>154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3.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32" customFormat="1" ht="13.5" customHeight="1" thickBot="1">
      <c r="A8" s="74"/>
      <c r="B8" s="210" t="s">
        <v>1</v>
      </c>
      <c r="C8" s="30"/>
      <c r="D8" s="31"/>
      <c r="E8" s="228" t="s">
        <v>2</v>
      </c>
      <c r="F8" s="229"/>
      <c r="G8" s="230"/>
      <c r="H8" s="229" t="s">
        <v>78</v>
      </c>
      <c r="I8" s="229"/>
      <c r="J8" s="229"/>
      <c r="K8" s="229"/>
      <c r="L8" s="230"/>
    </row>
    <row r="9" spans="1:12" s="32" customFormat="1" ht="12">
      <c r="A9" s="55" t="s">
        <v>22</v>
      </c>
      <c r="B9" s="55">
        <v>2000</v>
      </c>
      <c r="C9" s="39">
        <v>2003</v>
      </c>
      <c r="D9" s="60">
        <v>2004</v>
      </c>
      <c r="E9" s="59">
        <v>2005</v>
      </c>
      <c r="F9" s="170">
        <v>2006</v>
      </c>
      <c r="G9" s="171">
        <f>D9+12</f>
        <v>2016</v>
      </c>
      <c r="H9" s="33" t="s">
        <v>162</v>
      </c>
      <c r="I9" s="40" t="s">
        <v>101</v>
      </c>
      <c r="J9" s="54" t="s">
        <v>132</v>
      </c>
      <c r="K9" s="40" t="s">
        <v>155</v>
      </c>
      <c r="L9" s="160" t="s">
        <v>156</v>
      </c>
    </row>
    <row r="10" spans="1:12" s="7" customFormat="1" ht="12">
      <c r="A10" s="24"/>
      <c r="B10" s="24"/>
      <c r="C10" s="8"/>
      <c r="D10" s="19"/>
      <c r="E10" s="18"/>
      <c r="F10" s="14"/>
      <c r="G10" s="68"/>
      <c r="H10" s="14"/>
      <c r="I10" s="8"/>
      <c r="J10" s="14"/>
      <c r="K10" s="8"/>
      <c r="L10" s="68"/>
    </row>
    <row r="11" spans="1:12" s="7" customFormat="1" ht="12">
      <c r="A11" s="56" t="s">
        <v>186</v>
      </c>
      <c r="B11" s="61"/>
      <c r="C11" s="10"/>
      <c r="D11" s="62"/>
      <c r="E11" s="63"/>
      <c r="F11" s="17"/>
      <c r="G11" s="64"/>
      <c r="H11" s="12"/>
      <c r="I11" s="11"/>
      <c r="J11" s="12"/>
      <c r="K11" s="13"/>
      <c r="L11" s="23"/>
    </row>
    <row r="12" spans="1:12" s="7" customFormat="1" ht="12">
      <c r="A12" s="24" t="s">
        <v>75</v>
      </c>
      <c r="B12" s="61"/>
      <c r="C12" s="10"/>
      <c r="D12" s="62"/>
      <c r="E12" s="63"/>
      <c r="F12" s="17"/>
      <c r="G12" s="64"/>
      <c r="H12" s="12"/>
      <c r="I12" s="11"/>
      <c r="J12" s="12"/>
      <c r="K12" s="13"/>
      <c r="L12" s="23"/>
    </row>
    <row r="13" spans="1:12" s="7" customFormat="1" ht="12">
      <c r="A13" s="24" t="s">
        <v>77</v>
      </c>
      <c r="B13" s="61"/>
      <c r="C13" s="10"/>
      <c r="D13" s="62"/>
      <c r="E13" s="63"/>
      <c r="F13" s="17"/>
      <c r="G13" s="64"/>
      <c r="H13" s="12"/>
      <c r="I13" s="11"/>
      <c r="J13" s="12"/>
      <c r="K13" s="13"/>
      <c r="L13" s="23"/>
    </row>
    <row r="14" spans="1:12" s="7" customFormat="1" ht="12">
      <c r="A14" s="24" t="s">
        <v>31</v>
      </c>
      <c r="B14" s="138">
        <v>14.03</v>
      </c>
      <c r="C14" s="139">
        <v>11.73</v>
      </c>
      <c r="D14" s="140">
        <v>11.46</v>
      </c>
      <c r="E14" s="138">
        <v>11.11</v>
      </c>
      <c r="F14" s="139">
        <v>11.15</v>
      </c>
      <c r="G14" s="140">
        <v>12.54</v>
      </c>
      <c r="H14" s="12">
        <f>+((EXP((LN(D14)-LN(B14))/4))-1)*(100)</f>
        <v>-4.9325737087385075</v>
      </c>
      <c r="I14" s="11">
        <f aca="true" t="shared" si="0" ref="I14:K18">((D14/C14)-1)*100</f>
        <v>-2.3017902813299185</v>
      </c>
      <c r="J14" s="12">
        <f t="shared" si="0"/>
        <v>-3.054101221640504</v>
      </c>
      <c r="K14" s="11">
        <f t="shared" si="0"/>
        <v>0.36003600360037247</v>
      </c>
      <c r="L14" s="23">
        <f>+((EXP((LN(G14)-LN(D14))/12))-1)*(100)</f>
        <v>0.7533302275186671</v>
      </c>
    </row>
    <row r="15" spans="1:12" s="7" customFormat="1" ht="12">
      <c r="A15" s="24" t="s">
        <v>32</v>
      </c>
      <c r="B15" s="141">
        <v>10.46</v>
      </c>
      <c r="C15" s="139">
        <v>9.92</v>
      </c>
      <c r="D15" s="142">
        <v>10.42</v>
      </c>
      <c r="E15" s="138">
        <v>10.51</v>
      </c>
      <c r="F15" s="143">
        <v>10.65</v>
      </c>
      <c r="G15" s="140">
        <v>12.8</v>
      </c>
      <c r="H15" s="12">
        <f>+((EXP((LN(D15)-LN(B15))/4))-1)*(100)</f>
        <v>-0.09573969806698779</v>
      </c>
      <c r="I15" s="11">
        <f t="shared" si="0"/>
        <v>5.040322580645151</v>
      </c>
      <c r="J15" s="12">
        <f t="shared" si="0"/>
        <v>0.8637236084452882</v>
      </c>
      <c r="K15" s="11">
        <f t="shared" si="0"/>
        <v>1.3320647002854402</v>
      </c>
      <c r="L15" s="23">
        <f>+((EXP((LN(G15)-LN(D15))/12))-1)*(100)</f>
        <v>1.7290965465752928</v>
      </c>
    </row>
    <row r="16" spans="1:12" s="7" customFormat="1" ht="12">
      <c r="A16" s="24" t="s">
        <v>25</v>
      </c>
      <c r="B16" s="141">
        <v>9.73</v>
      </c>
      <c r="C16" s="139">
        <v>9.6</v>
      </c>
      <c r="D16" s="142">
        <v>10.15</v>
      </c>
      <c r="E16" s="138">
        <v>10.15</v>
      </c>
      <c r="F16" s="143">
        <v>10.27</v>
      </c>
      <c r="G16" s="140">
        <v>12.44</v>
      </c>
      <c r="H16" s="12">
        <f>+((EXP((LN(D16)-LN(B16))/4))-1)*(100)</f>
        <v>1.0620958491658117</v>
      </c>
      <c r="I16" s="11">
        <f t="shared" si="0"/>
        <v>5.729166666666674</v>
      </c>
      <c r="J16" s="12">
        <f t="shared" si="0"/>
        <v>0</v>
      </c>
      <c r="K16" s="11">
        <f t="shared" si="0"/>
        <v>1.1822660098522064</v>
      </c>
      <c r="L16" s="23">
        <f>+((EXP((LN(G16)-LN(D16))/12))-1)*(100)</f>
        <v>1.709814328821091</v>
      </c>
    </row>
    <row r="17" spans="1:12" s="7" customFormat="1" ht="12">
      <c r="A17" s="24" t="s">
        <v>26</v>
      </c>
      <c r="B17" s="141">
        <v>13</v>
      </c>
      <c r="C17" s="139">
        <v>12.4</v>
      </c>
      <c r="D17" s="142">
        <v>12.28</v>
      </c>
      <c r="E17" s="138">
        <v>12.45</v>
      </c>
      <c r="F17" s="143">
        <v>12.66</v>
      </c>
      <c r="G17" s="140">
        <v>15.34</v>
      </c>
      <c r="H17" s="12">
        <f>+((EXP((LN(D17)-LN(B17))/4))-1)*(100)</f>
        <v>-1.4143387798842388</v>
      </c>
      <c r="I17" s="11">
        <f t="shared" si="0"/>
        <v>-0.967741935483879</v>
      </c>
      <c r="J17" s="12">
        <f t="shared" si="0"/>
        <v>1.384364820846895</v>
      </c>
      <c r="K17" s="11">
        <f t="shared" si="0"/>
        <v>1.6867469879518149</v>
      </c>
      <c r="L17" s="23">
        <f>+((EXP((LN(G17)-LN(D17))/12))-1)*(100)</f>
        <v>1.8713940822669528</v>
      </c>
    </row>
    <row r="18" spans="1:12" s="7" customFormat="1" ht="12">
      <c r="A18" s="24" t="s">
        <v>27</v>
      </c>
      <c r="B18" s="138">
        <v>9.99</v>
      </c>
      <c r="C18" s="143">
        <v>8.53</v>
      </c>
      <c r="D18" s="140">
        <v>9.44</v>
      </c>
      <c r="E18" s="141">
        <v>9.57</v>
      </c>
      <c r="F18" s="139">
        <v>9.68</v>
      </c>
      <c r="G18" s="142">
        <v>11.15</v>
      </c>
      <c r="H18" s="12">
        <f>+((EXP((LN(D18)-LN(B18))/4))-1)*(100)</f>
        <v>-1.405741187228704</v>
      </c>
      <c r="I18" s="11">
        <f t="shared" si="0"/>
        <v>10.668229777256744</v>
      </c>
      <c r="J18" s="12">
        <f t="shared" si="0"/>
        <v>1.3771186440677985</v>
      </c>
      <c r="K18" s="11">
        <f t="shared" si="0"/>
        <v>1.1494252873563093</v>
      </c>
      <c r="L18" s="23">
        <f>+((EXP((LN(G18)-LN(D18))/12))-1)*(100)</f>
        <v>1.3970311843026773</v>
      </c>
    </row>
    <row r="19" spans="1:12" s="7" customFormat="1" ht="12">
      <c r="A19" s="24"/>
      <c r="B19" s="119"/>
      <c r="C19" s="120"/>
      <c r="D19" s="121"/>
      <c r="E19" s="122"/>
      <c r="F19" s="123"/>
      <c r="G19" s="124"/>
      <c r="H19" s="14"/>
      <c r="I19" s="8"/>
      <c r="J19" s="14"/>
      <c r="K19" s="8"/>
      <c r="L19" s="68"/>
    </row>
    <row r="20" spans="1:12" s="7" customFormat="1" ht="12">
      <c r="A20" s="24" t="s">
        <v>187</v>
      </c>
      <c r="B20" s="119"/>
      <c r="C20" s="120"/>
      <c r="D20" s="121"/>
      <c r="E20" s="122"/>
      <c r="F20" s="123"/>
      <c r="G20" s="124"/>
      <c r="H20" s="14"/>
      <c r="I20" s="8"/>
      <c r="J20" s="14"/>
      <c r="K20" s="8"/>
      <c r="L20" s="68"/>
    </row>
    <row r="21" spans="1:12" s="7" customFormat="1" ht="12">
      <c r="A21" s="24" t="s">
        <v>189</v>
      </c>
      <c r="B21" s="119"/>
      <c r="C21" s="120"/>
      <c r="D21" s="121"/>
      <c r="E21" s="122"/>
      <c r="F21" s="123"/>
      <c r="G21" s="124"/>
      <c r="H21" s="14"/>
      <c r="I21" s="8"/>
      <c r="J21" s="14"/>
      <c r="K21" s="8"/>
      <c r="L21" s="68"/>
    </row>
    <row r="22" spans="1:12" s="7" customFormat="1" ht="12">
      <c r="A22" s="24" t="s">
        <v>31</v>
      </c>
      <c r="B22" s="65">
        <v>148.8</v>
      </c>
      <c r="C22" s="16">
        <v>148.5</v>
      </c>
      <c r="D22" s="84">
        <v>149.7</v>
      </c>
      <c r="E22" s="91">
        <v>150.2</v>
      </c>
      <c r="F22" s="28">
        <v>150.5</v>
      </c>
      <c r="G22" s="85">
        <v>155</v>
      </c>
      <c r="H22" s="41">
        <f>(D22-B22)/4</f>
        <v>0.22499999999999432</v>
      </c>
      <c r="I22" s="11">
        <f aca="true" t="shared" si="1" ref="I22:K26">D22-C22</f>
        <v>1.1999999999999886</v>
      </c>
      <c r="J22" s="12">
        <f t="shared" si="1"/>
        <v>0.5</v>
      </c>
      <c r="K22" s="11">
        <f t="shared" si="1"/>
        <v>0.30000000000001137</v>
      </c>
      <c r="L22" s="23">
        <f>(G22-D22)/12</f>
        <v>0.4416666666666676</v>
      </c>
    </row>
    <row r="23" spans="1:12" s="7" customFormat="1" ht="12">
      <c r="A23" s="24" t="s">
        <v>32</v>
      </c>
      <c r="B23" s="65">
        <v>236.6</v>
      </c>
      <c r="C23" s="16">
        <v>224.9</v>
      </c>
      <c r="D23" s="84">
        <v>224.1</v>
      </c>
      <c r="E23" s="91">
        <v>225.1</v>
      </c>
      <c r="F23" s="28">
        <v>225.9</v>
      </c>
      <c r="G23" s="85">
        <v>229.5</v>
      </c>
      <c r="H23" s="41">
        <f>(D23-B23)/4</f>
        <v>-3.125</v>
      </c>
      <c r="I23" s="11">
        <f t="shared" si="1"/>
        <v>-0.8000000000000114</v>
      </c>
      <c r="J23" s="12">
        <f t="shared" si="1"/>
        <v>1</v>
      </c>
      <c r="K23" s="11">
        <f t="shared" si="1"/>
        <v>0.8000000000000114</v>
      </c>
      <c r="L23" s="23">
        <f>(G23-D23)/12</f>
        <v>0.45000000000000046</v>
      </c>
    </row>
    <row r="24" spans="1:12" s="7" customFormat="1" ht="12">
      <c r="A24" s="24" t="s">
        <v>25</v>
      </c>
      <c r="B24" s="65">
        <v>233.7</v>
      </c>
      <c r="C24" s="16">
        <v>231.5</v>
      </c>
      <c r="D24" s="84">
        <v>231.6</v>
      </c>
      <c r="E24" s="91">
        <v>233</v>
      </c>
      <c r="F24" s="28">
        <v>234</v>
      </c>
      <c r="G24" s="85">
        <v>239</v>
      </c>
      <c r="H24" s="41">
        <f>(D24-B24)/4</f>
        <v>-0.5249999999999986</v>
      </c>
      <c r="I24" s="11">
        <f t="shared" si="1"/>
        <v>0.09999999999999432</v>
      </c>
      <c r="J24" s="12">
        <f t="shared" si="1"/>
        <v>1.4000000000000057</v>
      </c>
      <c r="K24" s="11">
        <f t="shared" si="1"/>
        <v>1</v>
      </c>
      <c r="L24" s="23">
        <f>(G24-D24)/12</f>
        <v>0.6166666666666671</v>
      </c>
    </row>
    <row r="25" spans="1:12" s="7" customFormat="1" ht="12">
      <c r="A25" s="24" t="s">
        <v>26</v>
      </c>
      <c r="B25" s="65">
        <v>179.5</v>
      </c>
      <c r="C25" s="16">
        <v>171.7</v>
      </c>
      <c r="D25" s="84">
        <v>174.6</v>
      </c>
      <c r="E25" s="91">
        <v>175</v>
      </c>
      <c r="F25" s="28">
        <v>175.5</v>
      </c>
      <c r="G25" s="85">
        <v>180.5</v>
      </c>
      <c r="H25" s="41">
        <f>(D25-B25)/4</f>
        <v>-1.2250000000000014</v>
      </c>
      <c r="I25" s="11">
        <f t="shared" si="1"/>
        <v>2.9000000000000057</v>
      </c>
      <c r="J25" s="12">
        <f t="shared" si="1"/>
        <v>0.4000000000000057</v>
      </c>
      <c r="K25" s="11">
        <f t="shared" si="1"/>
        <v>0.5</v>
      </c>
      <c r="L25" s="23">
        <f>(G25-D25)/12</f>
        <v>0.49166666666666714</v>
      </c>
    </row>
    <row r="26" spans="1:12" s="7" customFormat="1" ht="12">
      <c r="A26" s="24" t="s">
        <v>27</v>
      </c>
      <c r="B26" s="65">
        <v>307.8</v>
      </c>
      <c r="C26" s="16">
        <v>287.6</v>
      </c>
      <c r="D26" s="84">
        <v>281.6</v>
      </c>
      <c r="E26" s="91">
        <v>282.6</v>
      </c>
      <c r="F26" s="28">
        <v>283</v>
      </c>
      <c r="G26" s="85">
        <v>288</v>
      </c>
      <c r="H26" s="41">
        <f>(D26-B26)/4</f>
        <v>-6.549999999999997</v>
      </c>
      <c r="I26" s="11">
        <f t="shared" si="1"/>
        <v>-6</v>
      </c>
      <c r="J26" s="12">
        <f t="shared" si="1"/>
        <v>1</v>
      </c>
      <c r="K26" s="11">
        <f t="shared" si="1"/>
        <v>0.39999999999997726</v>
      </c>
      <c r="L26" s="23">
        <f>(G26-D26)/12</f>
        <v>0.5333333333333314</v>
      </c>
    </row>
    <row r="27" spans="1:12" s="7" customFormat="1" ht="12">
      <c r="A27" s="24"/>
      <c r="B27" s="65"/>
      <c r="C27" s="16"/>
      <c r="D27" s="84"/>
      <c r="E27" s="91"/>
      <c r="F27" s="28"/>
      <c r="G27" s="85"/>
      <c r="H27" s="12"/>
      <c r="I27" s="11"/>
      <c r="J27" s="12"/>
      <c r="K27" s="11"/>
      <c r="L27" s="23"/>
    </row>
    <row r="28" spans="1:12" s="7" customFormat="1" ht="12">
      <c r="A28" s="24" t="s">
        <v>94</v>
      </c>
      <c r="B28" s="65"/>
      <c r="C28" s="16"/>
      <c r="D28" s="84"/>
      <c r="E28" s="91"/>
      <c r="F28" s="28"/>
      <c r="G28" s="85"/>
      <c r="H28" s="12"/>
      <c r="I28" s="11"/>
      <c r="J28" s="12"/>
      <c r="K28" s="11"/>
      <c r="L28" s="23"/>
    </row>
    <row r="29" spans="1:12" s="7" customFormat="1" ht="12">
      <c r="A29" s="24" t="s">
        <v>31</v>
      </c>
      <c r="B29" s="65">
        <f>('TABLE I-3'!B29/'TABLE I-3'!B21)*1000</f>
        <v>872.5899119135734</v>
      </c>
      <c r="C29" s="16">
        <f>('TABLE I-3'!C29/'TABLE I-3'!C21)*1000</f>
        <v>939.0770008222203</v>
      </c>
      <c r="D29" s="28">
        <f>('TABLE I-3'!D29/'TABLE I-3'!D21)*1000</f>
        <v>972.5949112515581</v>
      </c>
      <c r="E29" s="65">
        <f>('TABLE I-3'!E29/'TABLE I-3'!E21)*1000</f>
        <v>982.255037856842</v>
      </c>
      <c r="F29" s="16">
        <f>('TABLE I-3'!F29/'TABLE I-3'!F21)*1000</f>
        <v>993.6197760247734</v>
      </c>
      <c r="G29" s="84">
        <f>('TABLE I-3'!G29/'TABLE I-3'!G21)*1000</f>
        <v>1058.166228816404</v>
      </c>
      <c r="H29" s="41">
        <f>(D29-B29)/4</f>
        <v>25.00124983449618</v>
      </c>
      <c r="I29" s="11">
        <f aca="true" t="shared" si="2" ref="I29:K33">D29-C29</f>
        <v>33.5179104293378</v>
      </c>
      <c r="J29" s="12">
        <f t="shared" si="2"/>
        <v>9.66012660528395</v>
      </c>
      <c r="K29" s="11">
        <f t="shared" si="2"/>
        <v>11.364738167931364</v>
      </c>
      <c r="L29" s="23">
        <f>(G29-D29)/12</f>
        <v>7.1309431304038355</v>
      </c>
    </row>
    <row r="30" spans="1:12" s="7" customFormat="1" ht="12">
      <c r="A30" s="24" t="s">
        <v>32</v>
      </c>
      <c r="B30" s="65">
        <f>('TABLE I-3'!B30/'TABLE I-3'!B22)*1000</f>
        <v>3397.266702960446</v>
      </c>
      <c r="C30" s="16">
        <f>('TABLE I-3'!C30/'TABLE I-3'!C22)*1000</f>
        <v>3060.9584841472342</v>
      </c>
      <c r="D30" s="28">
        <f>('TABLE I-3'!D30/'TABLE I-3'!D22)*1000</f>
        <v>3068.342374714368</v>
      </c>
      <c r="E30" s="65">
        <f>('TABLE I-3'!E30/'TABLE I-3'!E22)*1000</f>
        <v>3112.184119824012</v>
      </c>
      <c r="F30" s="16">
        <f>('TABLE I-3'!F30/'TABLE I-3'!F22)*1000</f>
        <v>3157.945837752252</v>
      </c>
      <c r="G30" s="84">
        <f>('TABLE I-3'!G30/'TABLE I-3'!G22)*1000</f>
        <v>3228.5367629216207</v>
      </c>
      <c r="H30" s="41">
        <f>(D30-B30)/4</f>
        <v>-82.23108206151949</v>
      </c>
      <c r="I30" s="11">
        <f t="shared" si="2"/>
        <v>7.383890567133676</v>
      </c>
      <c r="J30" s="12">
        <f t="shared" si="2"/>
        <v>43.84174510964431</v>
      </c>
      <c r="K30" s="11">
        <f t="shared" si="2"/>
        <v>45.761717928239705</v>
      </c>
      <c r="L30" s="23">
        <f>(G30-D30)/12</f>
        <v>13.3495323506044</v>
      </c>
    </row>
    <row r="31" spans="1:12" s="7" customFormat="1" ht="12">
      <c r="A31" s="24" t="s">
        <v>25</v>
      </c>
      <c r="B31" s="65">
        <f>('TABLE I-3'!B31/'TABLE I-3'!B23)*1000</f>
        <v>4168.070444104135</v>
      </c>
      <c r="C31" s="16">
        <f>('TABLE I-3'!C31/'TABLE I-3'!C23)*1000</f>
        <v>4105.425573696909</v>
      </c>
      <c r="D31" s="28">
        <f>('TABLE I-3'!D31/'TABLE I-3'!D23)*1000</f>
        <v>4125.722035260435</v>
      </c>
      <c r="E31" s="65">
        <f>('TABLE I-3'!E31/'TABLE I-3'!E23)*1000</f>
        <v>4174.716235467121</v>
      </c>
      <c r="F31" s="16">
        <f>('TABLE I-3'!F31/'TABLE I-3'!F23)*1000</f>
        <v>4194.3354744147955</v>
      </c>
      <c r="G31" s="84">
        <f>('TABLE I-3'!G31/'TABLE I-3'!G23)*1000</f>
        <v>4288.4721287401335</v>
      </c>
      <c r="H31" s="41">
        <f>(D31-B31)/4</f>
        <v>-10.587102210924968</v>
      </c>
      <c r="I31" s="11">
        <f t="shared" si="2"/>
        <v>20.296461563526464</v>
      </c>
      <c r="J31" s="12">
        <f t="shared" si="2"/>
        <v>48.99420020668549</v>
      </c>
      <c r="K31" s="11">
        <f t="shared" si="2"/>
        <v>19.619238947674603</v>
      </c>
      <c r="L31" s="23">
        <f>(G31-D31)/12</f>
        <v>13.56250778997484</v>
      </c>
    </row>
    <row r="32" spans="1:12" s="7" customFormat="1" ht="12">
      <c r="A32" s="24" t="s">
        <v>26</v>
      </c>
      <c r="B32" s="65">
        <f>('TABLE I-3'!B32/'TABLE I-3'!B24)*1000</f>
        <v>1675.1616404738306</v>
      </c>
      <c r="C32" s="16">
        <f>('TABLE I-3'!C32/'TABLE I-3'!C24)*1000</f>
        <v>1588.2511331508322</v>
      </c>
      <c r="D32" s="28">
        <f>('TABLE I-3'!D32/'TABLE I-3'!D24)*1000</f>
        <v>1599.7297619520723</v>
      </c>
      <c r="E32" s="65">
        <f>('TABLE I-3'!E32/'TABLE I-3'!E24)*1000</f>
        <v>1639.5419357140308</v>
      </c>
      <c r="F32" s="16">
        <f>('TABLE I-3'!F32/'TABLE I-3'!F24)*1000</f>
        <v>1692.448419554833</v>
      </c>
      <c r="G32" s="84">
        <f>('TABLE I-3'!G32/'TABLE I-3'!G24)*1000</f>
        <v>1843.227012157991</v>
      </c>
      <c r="H32" s="41">
        <f>(D32-B32)/4</f>
        <v>-18.857969630439584</v>
      </c>
      <c r="I32" s="11">
        <f t="shared" si="2"/>
        <v>11.47862880124012</v>
      </c>
      <c r="J32" s="12">
        <f t="shared" si="2"/>
        <v>39.81217376195855</v>
      </c>
      <c r="K32" s="11">
        <f t="shared" si="2"/>
        <v>52.90648384080214</v>
      </c>
      <c r="L32" s="23">
        <f>(G32-D32)/12</f>
        <v>20.291437517159903</v>
      </c>
    </row>
    <row r="33" spans="1:12" s="7" customFormat="1" ht="12">
      <c r="A33" s="24" t="s">
        <v>27</v>
      </c>
      <c r="B33" s="65">
        <f>('TABLE I-3'!B33/'TABLE I-3'!B25)*1000</f>
        <v>5219.778254649499</v>
      </c>
      <c r="C33" s="16">
        <f>('TABLE I-3'!C33/'TABLE I-3'!C25)*1000</f>
        <v>4419.496795178418</v>
      </c>
      <c r="D33" s="28">
        <f>('TABLE I-3'!D33/'TABLE I-3'!D25)*1000</f>
        <v>4365.8317696010445</v>
      </c>
      <c r="E33" s="65">
        <f>('TABLE I-3'!E33/'TABLE I-3'!E25)*1000</f>
        <v>4491.228070175439</v>
      </c>
      <c r="F33" s="16">
        <f>('TABLE I-3'!F33/'TABLE I-3'!F25)*1000</f>
        <v>4508.044684887233</v>
      </c>
      <c r="G33" s="84">
        <f>('TABLE I-3'!G33/'TABLE I-3'!G25)*1000</f>
        <v>4607.633386159535</v>
      </c>
      <c r="H33" s="41">
        <f>(D33-B33)/4</f>
        <v>-213.48662126211366</v>
      </c>
      <c r="I33" s="11">
        <f t="shared" si="2"/>
        <v>-53.665025577373854</v>
      </c>
      <c r="J33" s="12">
        <f t="shared" si="2"/>
        <v>125.39630057439444</v>
      </c>
      <c r="K33" s="11">
        <f t="shared" si="2"/>
        <v>16.8166147117945</v>
      </c>
      <c r="L33" s="23">
        <f>(G33-D33)/12</f>
        <v>20.150134713207535</v>
      </c>
    </row>
    <row r="34" spans="1:12" s="7" customFormat="1" ht="12">
      <c r="A34" s="24"/>
      <c r="B34" s="65"/>
      <c r="C34" s="16"/>
      <c r="D34" s="84"/>
      <c r="E34" s="91"/>
      <c r="F34" s="28"/>
      <c r="G34" s="85"/>
      <c r="H34" s="12"/>
      <c r="I34" s="11"/>
      <c r="J34" s="12"/>
      <c r="K34" s="11"/>
      <c r="L34" s="23"/>
    </row>
    <row r="35" spans="1:12" s="7" customFormat="1" ht="12">
      <c r="A35" s="24" t="s">
        <v>95</v>
      </c>
      <c r="B35" s="65"/>
      <c r="C35" s="16"/>
      <c r="D35" s="84"/>
      <c r="E35" s="65"/>
      <c r="F35" s="16"/>
      <c r="G35" s="84"/>
      <c r="H35" s="12"/>
      <c r="I35" s="11"/>
      <c r="J35" s="12"/>
      <c r="K35" s="11"/>
      <c r="L35" s="23"/>
    </row>
    <row r="36" spans="1:12" s="7" customFormat="1" ht="12">
      <c r="A36" s="24" t="s">
        <v>31</v>
      </c>
      <c r="B36" s="144">
        <f>'TABLE I-3'!B29/'TABLE I-3'!B37*100</f>
        <v>71.18682484217562</v>
      </c>
      <c r="C36" s="145">
        <f>'TABLE I-3'!C29/'TABLE I-3'!C37*100</f>
        <v>72.69318267444116</v>
      </c>
      <c r="D36" s="147">
        <f>'TABLE I-3'!D29/'TABLE I-3'!D37*100</f>
        <v>74.67325682189612</v>
      </c>
      <c r="E36" s="144">
        <f>'TABLE I-3'!E29/'TABLE I-3'!E37*100</f>
        <v>75.45906121828953</v>
      </c>
      <c r="F36" s="145">
        <f>'TABLE I-3'!F29/'TABLE I-3'!F37*100</f>
        <v>75.53080156544428</v>
      </c>
      <c r="G36" s="146">
        <f>'TABLE I-3'!G29/'TABLE I-3'!G37*100</f>
        <v>76.06572191415076</v>
      </c>
      <c r="H36" s="41">
        <f>(D36-B36)/4</f>
        <v>0.8716079949301232</v>
      </c>
      <c r="I36" s="42">
        <f aca="true" t="shared" si="3" ref="I36:K40">D36-C36</f>
        <v>1.9800741474549568</v>
      </c>
      <c r="J36" s="41">
        <f t="shared" si="3"/>
        <v>0.7858043963934165</v>
      </c>
      <c r="K36" s="42">
        <f t="shared" si="3"/>
        <v>0.0717403471547442</v>
      </c>
      <c r="L36" s="23">
        <f>(G36-D36)/12</f>
        <v>0.11603875768788659</v>
      </c>
    </row>
    <row r="37" spans="1:12" s="7" customFormat="1" ht="12">
      <c r="A37" s="24" t="s">
        <v>32</v>
      </c>
      <c r="B37" s="144">
        <f>'TABLE I-3'!B30/'TABLE I-3'!B38*100</f>
        <v>76.04474381978092</v>
      </c>
      <c r="C37" s="145">
        <f>'TABLE I-3'!C30/'TABLE I-3'!C38*100</f>
        <v>75.46569009908715</v>
      </c>
      <c r="D37" s="147">
        <f>'TABLE I-3'!D30/'TABLE I-3'!D38*100</f>
        <v>79.46270463662319</v>
      </c>
      <c r="E37" s="144">
        <f>'TABLE I-3'!E30/'TABLE I-3'!E38*100</f>
        <v>79.26920540652068</v>
      </c>
      <c r="F37" s="145">
        <f>'TABLE I-3'!F30/'TABLE I-3'!F38*100</f>
        <v>79.16682269237971</v>
      </c>
      <c r="G37" s="146">
        <f>'TABLE I-3'!G30/'TABLE I-3'!G38*100</f>
        <v>78.80496588324488</v>
      </c>
      <c r="H37" s="41">
        <f>(D37-B37)/4</f>
        <v>0.8544902042105669</v>
      </c>
      <c r="I37" s="42">
        <f t="shared" si="3"/>
        <v>3.9970145375360318</v>
      </c>
      <c r="J37" s="41">
        <f t="shared" si="3"/>
        <v>-0.19349923010250336</v>
      </c>
      <c r="K37" s="42">
        <f t="shared" si="3"/>
        <v>-0.10238271414097255</v>
      </c>
      <c r="L37" s="23">
        <f>(G37-D37)/12</f>
        <v>-0.054811562781525915</v>
      </c>
    </row>
    <row r="38" spans="1:12" s="7" customFormat="1" ht="12">
      <c r="A38" s="24" t="s">
        <v>25</v>
      </c>
      <c r="B38" s="144">
        <f>'TABLE I-3'!B31/'TABLE I-3'!B39*100</f>
        <v>79.24373800143755</v>
      </c>
      <c r="C38" s="145">
        <f>'TABLE I-3'!C31/'TABLE I-3'!C39*100</f>
        <v>78.0857148955243</v>
      </c>
      <c r="D38" s="147">
        <f>'TABLE I-3'!D31/'TABLE I-3'!D39*100</f>
        <v>81.69864430718428</v>
      </c>
      <c r="E38" s="144">
        <f>'TABLE I-3'!E31/'TABLE I-3'!E39*100</f>
        <v>82.52725290697674</v>
      </c>
      <c r="F38" s="145">
        <f>'TABLE I-3'!F31/'TABLE I-3'!F39*100</f>
        <v>82.00252844500632</v>
      </c>
      <c r="G38" s="146">
        <f>'TABLE I-3'!G31/'TABLE I-3'!G39*100</f>
        <v>82.00128700128701</v>
      </c>
      <c r="H38" s="41">
        <f>(D38-B38)/4</f>
        <v>0.613726576436683</v>
      </c>
      <c r="I38" s="42">
        <f t="shared" si="3"/>
        <v>3.6129294116599766</v>
      </c>
      <c r="J38" s="41">
        <f t="shared" si="3"/>
        <v>0.8286085997924602</v>
      </c>
      <c r="K38" s="42">
        <f t="shared" si="3"/>
        <v>-0.5247244619704219</v>
      </c>
      <c r="L38" s="23">
        <f>(G38-D38)/12</f>
        <v>0.0252202245085608</v>
      </c>
    </row>
    <row r="39" spans="1:12" s="7" customFormat="1" ht="12">
      <c r="A39" s="24" t="s">
        <v>26</v>
      </c>
      <c r="B39" s="144">
        <f>'TABLE I-3'!B32/'TABLE I-3'!B40*100</f>
        <v>69.00942937688343</v>
      </c>
      <c r="C39" s="145">
        <f>'TABLE I-3'!C32/'TABLE I-3'!C40*100</f>
        <v>69.3003583387182</v>
      </c>
      <c r="D39" s="147">
        <f>'TABLE I-3'!D32/'TABLE I-3'!D40*100</f>
        <v>70.31266375545852</v>
      </c>
      <c r="E39" s="144">
        <f>'TABLE I-3'!E32/'TABLE I-3'!E40*100</f>
        <v>71.25271317829457</v>
      </c>
      <c r="F39" s="145">
        <f>'TABLE I-3'!F32/'TABLE I-3'!F40*100</f>
        <v>71.70374623223769</v>
      </c>
      <c r="G39" s="146">
        <f>'TABLE I-3'!G32/'TABLE I-3'!G40*100</f>
        <v>71.99803149606299</v>
      </c>
      <c r="H39" s="41">
        <f>(D39-B39)/4</f>
        <v>0.325808594643771</v>
      </c>
      <c r="I39" s="42">
        <f t="shared" si="3"/>
        <v>1.0123054167403183</v>
      </c>
      <c r="J39" s="41">
        <f t="shared" si="3"/>
        <v>0.9400494228360543</v>
      </c>
      <c r="K39" s="42">
        <f t="shared" si="3"/>
        <v>0.4510330539431209</v>
      </c>
      <c r="L39" s="23">
        <f>(G39-D39)/12</f>
        <v>0.14044731171703972</v>
      </c>
    </row>
    <row r="40" spans="1:12" s="7" customFormat="1" ht="12.75" thickBot="1">
      <c r="A40" s="36" t="s">
        <v>27</v>
      </c>
      <c r="B40" s="148">
        <f>'TABLE I-3'!B33/'TABLE I-3'!B41*100</f>
        <v>76.17866976367884</v>
      </c>
      <c r="C40" s="222">
        <f>'TABLE I-3'!C33/'TABLE I-3'!C41*100</f>
        <v>76.61575202746405</v>
      </c>
      <c r="D40" s="149">
        <f>'TABLE I-3'!D33/'TABLE I-3'!D41*100</f>
        <v>84.16615549159313</v>
      </c>
      <c r="E40" s="148">
        <f>'TABLE I-3'!E33/'TABLE I-3'!E41*100</f>
        <v>81.45117970331806</v>
      </c>
      <c r="F40" s="222">
        <f>'TABLE I-3'!F33/'TABLE I-3'!F41*100</f>
        <v>81.49752318049028</v>
      </c>
      <c r="G40" s="223">
        <f>'TABLE I-3'!G33/'TABLE I-3'!G41*100</f>
        <v>80.99907135118403</v>
      </c>
      <c r="H40" s="43">
        <f>(D40-B40)/4</f>
        <v>1.9968714319785725</v>
      </c>
      <c r="I40" s="44">
        <f t="shared" si="3"/>
        <v>7.550403464129076</v>
      </c>
      <c r="J40" s="43">
        <f t="shared" si="3"/>
        <v>-2.714975788275069</v>
      </c>
      <c r="K40" s="44">
        <f t="shared" si="3"/>
        <v>0.046343477172214875</v>
      </c>
      <c r="L40" s="29">
        <f>(G40-D40)/12</f>
        <v>-0.2639236783674252</v>
      </c>
    </row>
    <row r="41" s="7" customFormat="1" ht="12"/>
    <row r="42" spans="1:11" s="7" customFormat="1" ht="12">
      <c r="A42" s="7" t="s">
        <v>169</v>
      </c>
      <c r="K42" s="14"/>
    </row>
    <row r="43" s="7" customFormat="1" ht="12">
      <c r="A43" s="7" t="s">
        <v>161</v>
      </c>
    </row>
    <row r="44" spans="1:11" ht="12.75">
      <c r="A44" s="2" t="s">
        <v>91</v>
      </c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2" ht="12.75">
      <c r="A47" s="226" t="s">
        <v>200</v>
      </c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</sheetData>
  <mergeCells count="3">
    <mergeCell ref="E8:G8"/>
    <mergeCell ref="H8:L8"/>
    <mergeCell ref="A47:L47"/>
  </mergeCells>
  <printOptions horizontalCentered="1"/>
  <pageMargins left="0.75" right="0.5" top="0.5" bottom="0.5" header="0.5" footer="0.5"/>
  <pageSetup fitToHeight="1" fitToWidth="1" horizontalDpi="600" verticalDpi="6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tabSelected="1" workbookViewId="0" topLeftCell="A1">
      <selection activeCell="O44" sqref="O44"/>
    </sheetView>
  </sheetViews>
  <sheetFormatPr defaultColWidth="9.140625" defaultRowHeight="12.75"/>
  <cols>
    <col min="1" max="1" width="25.7109375" style="0" customWidth="1"/>
    <col min="2" max="7" width="8.7109375" style="0" customWidth="1"/>
    <col min="8" max="12" width="7.7109375" style="0" customWidth="1"/>
  </cols>
  <sheetData>
    <row r="1" spans="1:12" ht="15.75">
      <c r="A1" s="3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5" t="s">
        <v>81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5" t="s">
        <v>82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8">
      <c r="A6" s="5" t="s">
        <v>154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3.5" thickBot="1">
      <c r="A7" s="4"/>
      <c r="B7" s="4"/>
      <c r="C7" s="4"/>
      <c r="D7" s="4"/>
      <c r="E7" s="225"/>
      <c r="F7" s="225"/>
      <c r="G7" s="225"/>
      <c r="H7" s="4"/>
      <c r="I7" s="4"/>
      <c r="J7" s="4"/>
      <c r="K7" s="4"/>
      <c r="L7" s="4"/>
    </row>
    <row r="8" spans="1:12" s="32" customFormat="1" ht="12">
      <c r="A8" s="74"/>
      <c r="B8" s="59" t="s">
        <v>1</v>
      </c>
      <c r="C8" s="30"/>
      <c r="D8" s="30"/>
      <c r="E8" s="59" t="s">
        <v>2</v>
      </c>
      <c r="F8" s="30"/>
      <c r="G8" s="31"/>
      <c r="H8" s="30" t="s">
        <v>78</v>
      </c>
      <c r="I8" s="30"/>
      <c r="J8" s="30"/>
      <c r="K8" s="30"/>
      <c r="L8" s="31"/>
    </row>
    <row r="9" spans="1:12" s="32" customFormat="1" ht="12">
      <c r="A9" s="55" t="s">
        <v>22</v>
      </c>
      <c r="B9" s="55">
        <v>2000</v>
      </c>
      <c r="C9" s="39">
        <v>2003</v>
      </c>
      <c r="D9" s="33">
        <v>2004</v>
      </c>
      <c r="E9" s="55">
        <v>2005</v>
      </c>
      <c r="F9" s="211">
        <v>2006</v>
      </c>
      <c r="G9" s="212">
        <f>D9+12</f>
        <v>2016</v>
      </c>
      <c r="H9" s="33" t="s">
        <v>162</v>
      </c>
      <c r="I9" s="40" t="s">
        <v>101</v>
      </c>
      <c r="J9" s="54" t="s">
        <v>132</v>
      </c>
      <c r="K9" s="40" t="s">
        <v>155</v>
      </c>
      <c r="L9" s="160" t="s">
        <v>156</v>
      </c>
    </row>
    <row r="10" spans="1:12" s="7" customFormat="1" ht="12">
      <c r="A10" s="24"/>
      <c r="B10" s="24"/>
      <c r="C10" s="177"/>
      <c r="D10" s="14"/>
      <c r="E10" s="18"/>
      <c r="F10" s="14"/>
      <c r="G10" s="68"/>
      <c r="H10" s="14"/>
      <c r="I10" s="8"/>
      <c r="J10" s="14"/>
      <c r="K10" s="8"/>
      <c r="L10" s="68"/>
    </row>
    <row r="11" spans="1:12" s="7" customFormat="1" ht="12">
      <c r="A11" s="56" t="s">
        <v>36</v>
      </c>
      <c r="B11" s="61"/>
      <c r="C11" s="10"/>
      <c r="D11" s="17"/>
      <c r="E11" s="63"/>
      <c r="F11" s="17"/>
      <c r="G11" s="64"/>
      <c r="H11" s="12"/>
      <c r="I11" s="11"/>
      <c r="J11" s="12"/>
      <c r="K11" s="11"/>
      <c r="L11" s="23"/>
    </row>
    <row r="12" spans="1:12" s="7" customFormat="1" ht="12">
      <c r="A12" s="24" t="s">
        <v>30</v>
      </c>
      <c r="B12" s="65"/>
      <c r="C12" s="16"/>
      <c r="D12" s="28"/>
      <c r="E12" s="91"/>
      <c r="F12" s="28"/>
      <c r="G12" s="85"/>
      <c r="H12" s="12"/>
      <c r="I12" s="11"/>
      <c r="J12" s="12"/>
      <c r="K12" s="11"/>
      <c r="L12" s="23"/>
    </row>
    <row r="13" spans="1:12" s="7" customFormat="1" ht="12">
      <c r="A13" s="24" t="s">
        <v>112</v>
      </c>
      <c r="B13" s="65">
        <v>79.6616</v>
      </c>
      <c r="C13" s="16">
        <v>105.059</v>
      </c>
      <c r="D13" s="28">
        <v>124.997</v>
      </c>
      <c r="E13" s="65">
        <v>143.846</v>
      </c>
      <c r="F13" s="16">
        <v>158.298</v>
      </c>
      <c r="G13" s="84">
        <v>237.333</v>
      </c>
      <c r="H13" s="12">
        <f>+((EXP((LN(D13)-LN(B13))/4))-1)*(100)</f>
        <v>11.92127300275616</v>
      </c>
      <c r="I13" s="11">
        <f aca="true" t="shared" si="0" ref="I13:K20">((D13/C13)-1)*100</f>
        <v>18.977907651890845</v>
      </c>
      <c r="J13" s="12">
        <f t="shared" si="0"/>
        <v>15.079561909485829</v>
      </c>
      <c r="K13" s="11">
        <f t="shared" si="0"/>
        <v>10.046855665086273</v>
      </c>
      <c r="L13" s="23">
        <f>+((EXP((LN(G13)-LN(D13))/12))-1)*(100)</f>
        <v>5.488442036434593</v>
      </c>
    </row>
    <row r="14" spans="1:12" s="7" customFormat="1" ht="12">
      <c r="A14" s="24" t="s">
        <v>113</v>
      </c>
      <c r="B14" s="65">
        <v>3.1301</v>
      </c>
      <c r="C14" s="16">
        <v>3.5482</v>
      </c>
      <c r="D14" s="28">
        <v>3.9385</v>
      </c>
      <c r="E14" s="65">
        <v>5.0094</v>
      </c>
      <c r="F14" s="16">
        <v>5.2282</v>
      </c>
      <c r="G14" s="84">
        <v>8.2014</v>
      </c>
      <c r="H14" s="12">
        <f>+((EXP((LN(D14)-LN(B14))/4))-1)*(100)</f>
        <v>5.911509857574115</v>
      </c>
      <c r="I14" s="11">
        <f t="shared" si="0"/>
        <v>10.999943633391585</v>
      </c>
      <c r="J14" s="12">
        <f t="shared" si="0"/>
        <v>27.190554779738484</v>
      </c>
      <c r="K14" s="11">
        <f t="shared" si="0"/>
        <v>4.367788557511876</v>
      </c>
      <c r="L14" s="23">
        <f>+((EXP((LN(G14)-LN(D14))/12))-1)*(100)</f>
        <v>6.303222169483136</v>
      </c>
    </row>
    <row r="15" spans="1:12" s="7" customFormat="1" ht="12">
      <c r="A15" s="24" t="s">
        <v>121</v>
      </c>
      <c r="B15" s="65">
        <f aca="true" t="shared" si="1" ref="B15:G15">B13+B14</f>
        <v>82.7917</v>
      </c>
      <c r="C15" s="16">
        <f t="shared" si="1"/>
        <v>108.60719999999999</v>
      </c>
      <c r="D15" s="28">
        <f t="shared" si="1"/>
        <v>128.9355</v>
      </c>
      <c r="E15" s="65">
        <f t="shared" si="1"/>
        <v>148.8554</v>
      </c>
      <c r="F15" s="16">
        <f t="shared" si="1"/>
        <v>163.5262</v>
      </c>
      <c r="G15" s="84">
        <f t="shared" si="1"/>
        <v>245.5344</v>
      </c>
      <c r="H15" s="12">
        <f>+((EXP((LN(D15)-LN(B15))/4))-1)*(100)</f>
        <v>11.71112543143007</v>
      </c>
      <c r="I15" s="11">
        <f>((D15/C15)-1)*100</f>
        <v>18.71726736348971</v>
      </c>
      <c r="J15" s="12">
        <f>((E15/D15)-1)*100</f>
        <v>15.44950769958624</v>
      </c>
      <c r="K15" s="11">
        <f>((F15/E15)-1)*100</f>
        <v>9.85573919387539</v>
      </c>
      <c r="L15" s="23">
        <f>+((EXP((LN(G15)-LN(D15))/12))-1)*(100)</f>
        <v>5.514380429202892</v>
      </c>
    </row>
    <row r="16" spans="1:12" s="7" customFormat="1" ht="12">
      <c r="A16" s="24"/>
      <c r="B16" s="65"/>
      <c r="C16" s="16"/>
      <c r="D16" s="28"/>
      <c r="E16" s="65"/>
      <c r="F16" s="16"/>
      <c r="G16" s="84"/>
      <c r="H16" s="12"/>
      <c r="I16" s="11"/>
      <c r="J16" s="12"/>
      <c r="K16" s="11"/>
      <c r="L16" s="23"/>
    </row>
    <row r="17" spans="1:12" s="7" customFormat="1" ht="12">
      <c r="A17" s="24" t="s">
        <v>34</v>
      </c>
      <c r="B17" s="65"/>
      <c r="C17" s="16"/>
      <c r="D17" s="28"/>
      <c r="E17" s="65"/>
      <c r="F17" s="16"/>
      <c r="G17" s="84"/>
      <c r="H17" s="12"/>
      <c r="I17" s="11"/>
      <c r="J17" s="12"/>
      <c r="K17" s="11"/>
      <c r="L17" s="23"/>
    </row>
    <row r="18" spans="1:12" s="7" customFormat="1" ht="12">
      <c r="A18" s="24" t="s">
        <v>112</v>
      </c>
      <c r="B18" s="65">
        <v>22.8247</v>
      </c>
      <c r="C18" s="16">
        <v>39.3319</v>
      </c>
      <c r="D18" s="28">
        <v>51.5924</v>
      </c>
      <c r="E18" s="65">
        <v>62.997</v>
      </c>
      <c r="F18" s="16">
        <v>70.866</v>
      </c>
      <c r="G18" s="84">
        <v>117.722</v>
      </c>
      <c r="H18" s="12">
        <f>+((EXP((LN(D18)-LN(B18))/4))-1)*(100)</f>
        <v>22.615440659955553</v>
      </c>
      <c r="I18" s="11">
        <f t="shared" si="0"/>
        <v>31.171898636984242</v>
      </c>
      <c r="J18" s="12">
        <f t="shared" si="0"/>
        <v>22.10519378823239</v>
      </c>
      <c r="K18" s="11">
        <f t="shared" si="0"/>
        <v>12.491071003381116</v>
      </c>
      <c r="L18" s="23">
        <f>+((EXP((LN(G18)-LN(D18))/12))-1)*(100)</f>
        <v>7.116405765921452</v>
      </c>
    </row>
    <row r="19" spans="1:12" s="7" customFormat="1" ht="12">
      <c r="A19" s="24" t="s">
        <v>113</v>
      </c>
      <c r="B19" s="65">
        <v>0.8139</v>
      </c>
      <c r="C19" s="16">
        <v>1.1076</v>
      </c>
      <c r="D19" s="28">
        <v>1.4824</v>
      </c>
      <c r="E19" s="65">
        <v>2.0703</v>
      </c>
      <c r="F19" s="16">
        <v>2.1816</v>
      </c>
      <c r="G19" s="84">
        <v>3.7011</v>
      </c>
      <c r="H19" s="12">
        <f>+((EXP((LN(D19)-LN(B19))/4))-1)*(100)</f>
        <v>16.171230493358134</v>
      </c>
      <c r="I19" s="11">
        <f t="shared" si="0"/>
        <v>33.83893102202962</v>
      </c>
      <c r="J19" s="12">
        <f t="shared" si="0"/>
        <v>39.65866162978955</v>
      </c>
      <c r="K19" s="11">
        <f t="shared" si="0"/>
        <v>5.376032459063906</v>
      </c>
      <c r="L19" s="23">
        <f>+((EXP((LN(G19)-LN(D19))/12))-1)*(100)</f>
        <v>7.92294415025705</v>
      </c>
    </row>
    <row r="20" spans="1:12" s="7" customFormat="1" ht="12">
      <c r="A20" s="24" t="s">
        <v>121</v>
      </c>
      <c r="B20" s="65">
        <f aca="true" t="shared" si="2" ref="B20:G20">B18+B19</f>
        <v>23.6386</v>
      </c>
      <c r="C20" s="16">
        <f t="shared" si="2"/>
        <v>40.439499999999995</v>
      </c>
      <c r="D20" s="28">
        <f t="shared" si="2"/>
        <v>53.074799999999996</v>
      </c>
      <c r="E20" s="65">
        <f t="shared" si="2"/>
        <v>65.0673</v>
      </c>
      <c r="F20" s="16">
        <f t="shared" si="2"/>
        <v>73.0476</v>
      </c>
      <c r="G20" s="84">
        <f t="shared" si="2"/>
        <v>121.42309999999999</v>
      </c>
      <c r="H20" s="12">
        <f>+((EXP((LN(D20)-LN(B20))/4))-1)*(100)</f>
        <v>22.409931138469986</v>
      </c>
      <c r="I20" s="11">
        <f t="shared" si="0"/>
        <v>31.24494615413149</v>
      </c>
      <c r="J20" s="12">
        <f t="shared" si="0"/>
        <v>22.59546903615277</v>
      </c>
      <c r="K20" s="11">
        <f t="shared" si="0"/>
        <v>12.264685948241283</v>
      </c>
      <c r="L20" s="23">
        <f>+((EXP((LN(G20)-LN(D20))/12))-1)*(100)</f>
        <v>7.139861143827897</v>
      </c>
    </row>
    <row r="21" spans="1:12" s="7" customFormat="1" ht="12">
      <c r="A21" s="24"/>
      <c r="B21" s="61"/>
      <c r="C21" s="10"/>
      <c r="D21" s="17"/>
      <c r="E21" s="61"/>
      <c r="F21" s="10"/>
      <c r="G21" s="62"/>
      <c r="H21" s="12"/>
      <c r="I21" s="11"/>
      <c r="J21" s="12"/>
      <c r="K21" s="11"/>
      <c r="L21" s="23"/>
    </row>
    <row r="22" spans="1:12" s="7" customFormat="1" ht="12">
      <c r="A22" s="24" t="s">
        <v>138</v>
      </c>
      <c r="B22" s="61"/>
      <c r="C22" s="10"/>
      <c r="D22" s="17"/>
      <c r="E22" s="61"/>
      <c r="F22" s="10"/>
      <c r="G22" s="62"/>
      <c r="H22" s="12"/>
      <c r="I22" s="11"/>
      <c r="J22" s="12"/>
      <c r="K22" s="11"/>
      <c r="L22" s="23"/>
    </row>
    <row r="23" spans="1:12" s="7" customFormat="1" ht="12">
      <c r="A23" s="24" t="s">
        <v>112</v>
      </c>
      <c r="B23" s="61">
        <v>38.3324</v>
      </c>
      <c r="C23" s="10">
        <v>60.6165</v>
      </c>
      <c r="D23" s="17">
        <v>75.8377</v>
      </c>
      <c r="E23" s="61">
        <v>91.1844</v>
      </c>
      <c r="F23" s="10">
        <v>102.2773</v>
      </c>
      <c r="G23" s="62">
        <v>165.1367</v>
      </c>
      <c r="H23" s="12">
        <f>+((EXP((LN(D23)-LN(B23))/4))-1)*(100)</f>
        <v>18.598660912983924</v>
      </c>
      <c r="I23" s="11">
        <f aca="true" t="shared" si="3" ref="I23:K25">((D23/C23)-1)*100</f>
        <v>25.110654689729685</v>
      </c>
      <c r="J23" s="12">
        <f t="shared" si="3"/>
        <v>20.236241341707363</v>
      </c>
      <c r="K23" s="11">
        <f t="shared" si="3"/>
        <v>12.165348458727587</v>
      </c>
      <c r="L23" s="23">
        <f>+((EXP((LN(G23)-LN(D23))/12))-1)*(100)</f>
        <v>6.69970139537166</v>
      </c>
    </row>
    <row r="24" spans="1:12" s="7" customFormat="1" ht="12">
      <c r="A24" s="24" t="s">
        <v>113</v>
      </c>
      <c r="B24" s="61">
        <v>1.3379</v>
      </c>
      <c r="C24" s="10">
        <v>1.8911</v>
      </c>
      <c r="D24" s="17">
        <v>2.2854</v>
      </c>
      <c r="E24" s="61">
        <v>3.0779</v>
      </c>
      <c r="F24" s="10">
        <v>3.2195</v>
      </c>
      <c r="G24" s="62">
        <v>5.0866</v>
      </c>
      <c r="H24" s="12">
        <f>+((EXP((LN(D24)-LN(B24))/4))-1)*(100)</f>
        <v>14.32327110493432</v>
      </c>
      <c r="I24" s="11">
        <f t="shared" si="3"/>
        <v>20.850298767912868</v>
      </c>
      <c r="J24" s="12">
        <f t="shared" si="3"/>
        <v>34.67664303841778</v>
      </c>
      <c r="K24" s="11">
        <f t="shared" si="3"/>
        <v>4.60053932876312</v>
      </c>
      <c r="L24" s="23">
        <f>+((EXP((LN(G24)-LN(D24))/12))-1)*(100)</f>
        <v>6.894521361254768</v>
      </c>
    </row>
    <row r="25" spans="1:12" s="7" customFormat="1" ht="12">
      <c r="A25" s="24" t="s">
        <v>121</v>
      </c>
      <c r="B25" s="65">
        <f aca="true" t="shared" si="4" ref="B25:G25">B23+B24</f>
        <v>39.6703</v>
      </c>
      <c r="C25" s="16">
        <f t="shared" si="4"/>
        <v>62.507600000000004</v>
      </c>
      <c r="D25" s="28">
        <f t="shared" si="4"/>
        <v>78.1231</v>
      </c>
      <c r="E25" s="65">
        <f t="shared" si="4"/>
        <v>94.2623</v>
      </c>
      <c r="F25" s="16">
        <f t="shared" si="4"/>
        <v>105.4968</v>
      </c>
      <c r="G25" s="84">
        <f t="shared" si="4"/>
        <v>170.2233</v>
      </c>
      <c r="H25" s="12">
        <f>+((EXP((LN(D25)-LN(B25))/4))-1)*(100)</f>
        <v>18.461845959698643</v>
      </c>
      <c r="I25" s="11">
        <f t="shared" si="3"/>
        <v>24.98176221771431</v>
      </c>
      <c r="J25" s="12">
        <f t="shared" si="3"/>
        <v>20.65867841905915</v>
      </c>
      <c r="K25" s="11">
        <f t="shared" si="3"/>
        <v>11.918338508608418</v>
      </c>
      <c r="L25" s="23">
        <f>+((EXP((LN(G25)-LN(D25))/12))-1)*(100)</f>
        <v>6.705456501345886</v>
      </c>
    </row>
    <row r="26" spans="1:12" s="7" customFormat="1" ht="12">
      <c r="A26" s="24"/>
      <c r="B26" s="61"/>
      <c r="C26" s="10"/>
      <c r="D26" s="17"/>
      <c r="E26" s="61"/>
      <c r="F26" s="10"/>
      <c r="G26" s="62"/>
      <c r="H26" s="12"/>
      <c r="I26" s="11"/>
      <c r="J26" s="12"/>
      <c r="K26" s="11"/>
      <c r="L26" s="23"/>
    </row>
    <row r="27" spans="1:12" s="7" customFormat="1" ht="12">
      <c r="A27" s="24" t="s">
        <v>128</v>
      </c>
      <c r="B27" s="86"/>
      <c r="C27" s="15"/>
      <c r="D27" s="25"/>
      <c r="E27" s="86"/>
      <c r="F27" s="15"/>
      <c r="G27" s="87"/>
      <c r="H27" s="12"/>
      <c r="I27" s="11"/>
      <c r="J27" s="12"/>
      <c r="K27" s="11"/>
      <c r="L27" s="23"/>
    </row>
    <row r="28" spans="1:12" s="7" customFormat="1" ht="12">
      <c r="A28" s="24" t="s">
        <v>122</v>
      </c>
      <c r="B28" s="86">
        <v>1704</v>
      </c>
      <c r="C28" s="15">
        <v>1216</v>
      </c>
      <c r="D28" s="25">
        <v>1182</v>
      </c>
      <c r="E28" s="86">
        <v>1156</v>
      </c>
      <c r="F28" s="15">
        <v>1130</v>
      </c>
      <c r="G28" s="87">
        <v>1001</v>
      </c>
      <c r="H28" s="12">
        <f>+((EXP((LN(D28)-LN(B28))/4))-1)*(100)</f>
        <v>-8.73863262903589</v>
      </c>
      <c r="I28" s="11">
        <f aca="true" t="shared" si="5" ref="I28:K29">((D28/C28)-1)*100</f>
        <v>-2.796052631578949</v>
      </c>
      <c r="J28" s="12">
        <f t="shared" si="5"/>
        <v>-2.1996615905245376</v>
      </c>
      <c r="K28" s="11">
        <f t="shared" si="5"/>
        <v>-2.249134948096887</v>
      </c>
      <c r="L28" s="23">
        <f>+((EXP((LN(G28)-LN(D28))/12))-1)*(100)</f>
        <v>-1.3755221915790372</v>
      </c>
    </row>
    <row r="29" spans="1:12" s="7" customFormat="1" ht="12">
      <c r="A29" s="24" t="s">
        <v>72</v>
      </c>
      <c r="B29" s="86">
        <v>570</v>
      </c>
      <c r="C29" s="15">
        <v>1349</v>
      </c>
      <c r="D29" s="25">
        <v>1630</v>
      </c>
      <c r="E29" s="86">
        <v>1857</v>
      </c>
      <c r="F29" s="15">
        <v>2069</v>
      </c>
      <c r="G29" s="87">
        <v>2960</v>
      </c>
      <c r="H29" s="12">
        <f>+((EXP((LN(D29)-LN(B29))/4))-1)*(100)</f>
        <v>30.040367206877438</v>
      </c>
      <c r="I29" s="11">
        <f t="shared" si="5"/>
        <v>20.830244625648618</v>
      </c>
      <c r="J29" s="12">
        <f t="shared" si="5"/>
        <v>13.926380368098169</v>
      </c>
      <c r="K29" s="11">
        <f t="shared" si="5"/>
        <v>11.41626278944534</v>
      </c>
      <c r="L29" s="23">
        <f>+((EXP((LN(G29)-LN(D29))/12))-1)*(100)</f>
        <v>5.09740888585164</v>
      </c>
    </row>
    <row r="30" spans="1:12" s="7" customFormat="1" ht="12">
      <c r="A30" s="24" t="s">
        <v>123</v>
      </c>
      <c r="B30" s="86">
        <f>B28+B29</f>
        <v>2274</v>
      </c>
      <c r="C30" s="15">
        <f>C29+C28</f>
        <v>2565</v>
      </c>
      <c r="D30" s="25">
        <f>D29+D28</f>
        <v>2812</v>
      </c>
      <c r="E30" s="86">
        <f>E28+E29</f>
        <v>3013</v>
      </c>
      <c r="F30" s="15">
        <f>F29+F28</f>
        <v>3199</v>
      </c>
      <c r="G30" s="87">
        <f>G29+G28</f>
        <v>3961</v>
      </c>
      <c r="H30" s="12">
        <f>+((EXP((LN(D30)-LN(B30))/4))-1)*(100)</f>
        <v>5.452338244521204</v>
      </c>
      <c r="I30" s="11">
        <f>((D30/C30)-1)*100</f>
        <v>9.629629629629633</v>
      </c>
      <c r="J30" s="12">
        <f>((E30/D30)-1)*100</f>
        <v>7.147937411095295</v>
      </c>
      <c r="K30" s="11">
        <f>((F30/E30)-1)*100</f>
        <v>6.173249253235968</v>
      </c>
      <c r="L30" s="23">
        <f>+((EXP((LN(G30)-LN(D30))/12))-1)*(100)</f>
        <v>2.896150432676037</v>
      </c>
    </row>
    <row r="31" spans="1:12" s="7" customFormat="1" ht="12">
      <c r="A31" s="24"/>
      <c r="B31" s="86"/>
      <c r="C31" s="49"/>
      <c r="D31" s="50"/>
      <c r="E31" s="180"/>
      <c r="F31" s="49"/>
      <c r="G31" s="88"/>
      <c r="H31" s="47"/>
      <c r="I31" s="48"/>
      <c r="J31" s="47"/>
      <c r="K31" s="48"/>
      <c r="L31" s="161"/>
    </row>
    <row r="32" spans="1:12" s="7" customFormat="1" ht="12">
      <c r="A32" s="174" t="s">
        <v>131</v>
      </c>
      <c r="B32" s="89">
        <v>5359</v>
      </c>
      <c r="C32" s="52">
        <v>6087</v>
      </c>
      <c r="D32" s="53">
        <v>6677</v>
      </c>
      <c r="E32" s="181">
        <v>7181</v>
      </c>
      <c r="F32" s="52">
        <v>7642</v>
      </c>
      <c r="G32" s="90">
        <v>10246</v>
      </c>
      <c r="H32" s="12">
        <f>+((EXP((LN(D32)-LN(B32))/4))-1)*(100)</f>
        <v>5.651192849831732</v>
      </c>
      <c r="I32" s="11">
        <f>((D32/C32)-1)*100</f>
        <v>9.692787908657795</v>
      </c>
      <c r="J32" s="12">
        <f>((E32/D32)-1)*100</f>
        <v>7.548300134791064</v>
      </c>
      <c r="K32" s="11">
        <f>((F32/E32)-1)*100</f>
        <v>6.419718702130628</v>
      </c>
      <c r="L32" s="23">
        <f>+((EXP((LN(G32)-LN(D32))/12))-1)*(100)</f>
        <v>3.632923047526493</v>
      </c>
    </row>
    <row r="33" spans="1:12" s="7" customFormat="1" ht="12">
      <c r="A33" s="24"/>
      <c r="B33" s="86"/>
      <c r="C33" s="15"/>
      <c r="D33" s="25"/>
      <c r="E33" s="86"/>
      <c r="F33" s="15"/>
      <c r="G33" s="87"/>
      <c r="H33" s="12"/>
      <c r="I33" s="11"/>
      <c r="J33" s="12"/>
      <c r="K33" s="11"/>
      <c r="L33" s="23"/>
    </row>
    <row r="34" spans="1:12" s="7" customFormat="1" ht="12">
      <c r="A34" s="24" t="s">
        <v>188</v>
      </c>
      <c r="B34" s="61"/>
      <c r="C34" s="10"/>
      <c r="D34" s="17"/>
      <c r="E34" s="152"/>
      <c r="F34" s="10"/>
      <c r="G34" s="62"/>
      <c r="H34" s="12"/>
      <c r="I34" s="11"/>
      <c r="J34" s="11"/>
      <c r="K34" s="11"/>
      <c r="L34" s="23"/>
    </row>
    <row r="35" spans="1:12" s="7" customFormat="1" ht="12">
      <c r="A35" s="24" t="s">
        <v>189</v>
      </c>
      <c r="B35" s="61"/>
      <c r="C35" s="10"/>
      <c r="D35" s="17"/>
      <c r="E35" s="152"/>
      <c r="F35" s="10"/>
      <c r="G35" s="62"/>
      <c r="H35" s="12"/>
      <c r="I35" s="11"/>
      <c r="J35" s="11"/>
      <c r="K35" s="11"/>
      <c r="L35" s="23"/>
    </row>
    <row r="36" spans="1:12" s="7" customFormat="1" ht="12">
      <c r="A36" s="24" t="s">
        <v>112</v>
      </c>
      <c r="B36" s="61">
        <v>38.4</v>
      </c>
      <c r="C36" s="10">
        <v>44.1</v>
      </c>
      <c r="D36" s="17">
        <v>46.3</v>
      </c>
      <c r="E36" s="61">
        <v>48.1</v>
      </c>
      <c r="F36" s="10">
        <v>49.2</v>
      </c>
      <c r="G36" s="62">
        <v>54.9</v>
      </c>
      <c r="H36" s="12">
        <f>(D36-B36)/4</f>
        <v>1.9749999999999996</v>
      </c>
      <c r="I36" s="11">
        <f>D36-C36</f>
        <v>2.1999999999999957</v>
      </c>
      <c r="J36" s="11">
        <f>E36-D36</f>
        <v>1.8000000000000043</v>
      </c>
      <c r="K36" s="11">
        <f>F36-E36</f>
        <v>1.1000000000000014</v>
      </c>
      <c r="L36" s="23">
        <f>(G36-D36)/12</f>
        <v>0.7166666666666668</v>
      </c>
    </row>
    <row r="37" spans="1:12" s="7" customFormat="1" ht="12">
      <c r="A37" s="24" t="s">
        <v>113</v>
      </c>
      <c r="B37" s="61">
        <v>41.8</v>
      </c>
      <c r="C37" s="10">
        <v>46.4</v>
      </c>
      <c r="D37" s="28">
        <v>47.5</v>
      </c>
      <c r="E37" s="61">
        <v>51.2</v>
      </c>
      <c r="F37" s="10">
        <v>51.7</v>
      </c>
      <c r="G37" s="62">
        <v>56.7</v>
      </c>
      <c r="H37" s="12">
        <f>(D37-B37)/4</f>
        <v>1.4250000000000007</v>
      </c>
      <c r="I37" s="11">
        <f aca="true" t="shared" si="6" ref="I37:K38">D37-C37</f>
        <v>1.1000000000000014</v>
      </c>
      <c r="J37" s="11">
        <f t="shared" si="6"/>
        <v>3.700000000000003</v>
      </c>
      <c r="K37" s="11">
        <f t="shared" si="6"/>
        <v>0.5</v>
      </c>
      <c r="L37" s="23">
        <f>(G37-D37)/12</f>
        <v>0.7666666666666669</v>
      </c>
    </row>
    <row r="38" spans="1:12" s="7" customFormat="1" ht="12">
      <c r="A38" s="24" t="s">
        <v>121</v>
      </c>
      <c r="B38" s="61">
        <v>38.5</v>
      </c>
      <c r="C38" s="10">
        <v>44.2</v>
      </c>
      <c r="D38" s="17">
        <v>46.3</v>
      </c>
      <c r="E38" s="61">
        <v>48.2</v>
      </c>
      <c r="F38" s="10">
        <v>49.3</v>
      </c>
      <c r="G38" s="62">
        <v>54.9</v>
      </c>
      <c r="H38" s="12">
        <f>(D38-B38)/4</f>
        <v>1.9499999999999993</v>
      </c>
      <c r="I38" s="11">
        <f t="shared" si="6"/>
        <v>2.0999999999999943</v>
      </c>
      <c r="J38" s="11">
        <f t="shared" si="6"/>
        <v>1.9000000000000057</v>
      </c>
      <c r="K38" s="11">
        <f t="shared" si="6"/>
        <v>1.0999999999999943</v>
      </c>
      <c r="L38" s="23">
        <f>(G38-D38)/12</f>
        <v>0.7166666666666668</v>
      </c>
    </row>
    <row r="39" spans="1:12" s="7" customFormat="1" ht="12">
      <c r="A39" s="24"/>
      <c r="B39" s="61"/>
      <c r="C39" s="10"/>
      <c r="D39" s="17"/>
      <c r="E39" s="61"/>
      <c r="F39" s="10"/>
      <c r="G39" s="62"/>
      <c r="H39" s="6"/>
      <c r="I39" s="6"/>
      <c r="J39" s="12"/>
      <c r="K39" s="11"/>
      <c r="L39" s="23"/>
    </row>
    <row r="40" spans="1:12" s="7" customFormat="1" ht="12">
      <c r="A40" s="24" t="s">
        <v>94</v>
      </c>
      <c r="B40" s="61"/>
      <c r="C40" s="10"/>
      <c r="D40" s="17"/>
      <c r="E40" s="61"/>
      <c r="F40" s="10"/>
      <c r="G40" s="62"/>
      <c r="H40" s="12"/>
      <c r="I40" s="11"/>
      <c r="J40" s="11"/>
      <c r="K40" s="11"/>
      <c r="L40" s="23"/>
    </row>
    <row r="41" spans="1:12" s="7" customFormat="1" ht="12">
      <c r="A41" s="24" t="s">
        <v>112</v>
      </c>
      <c r="B41" s="61">
        <f aca="true" t="shared" si="7" ref="B41:G41">(B18/B13)*1000</f>
        <v>286.5207326993181</v>
      </c>
      <c r="C41" s="10">
        <f t="shared" si="7"/>
        <v>374.3791583776735</v>
      </c>
      <c r="D41" s="17">
        <f t="shared" si="7"/>
        <v>412.74910597854347</v>
      </c>
      <c r="E41" s="61">
        <f t="shared" si="7"/>
        <v>437.9475272166066</v>
      </c>
      <c r="F41" s="10">
        <f t="shared" si="7"/>
        <v>447.67463897206534</v>
      </c>
      <c r="G41" s="62">
        <f t="shared" si="7"/>
        <v>496.02035957915666</v>
      </c>
      <c r="H41" s="12">
        <f>(D41-B41)/4</f>
        <v>31.55709331980634</v>
      </c>
      <c r="I41" s="11">
        <f aca="true" t="shared" si="8" ref="I41:K42">D41-C41</f>
        <v>38.36994760086998</v>
      </c>
      <c r="J41" s="11">
        <f t="shared" si="8"/>
        <v>25.198421238063133</v>
      </c>
      <c r="K41" s="11">
        <f t="shared" si="8"/>
        <v>9.727111755458736</v>
      </c>
      <c r="L41" s="23">
        <f>(G41-D41)/12</f>
        <v>6.939271133384433</v>
      </c>
    </row>
    <row r="42" spans="1:12" s="7" customFormat="1" ht="12">
      <c r="A42" s="24" t="s">
        <v>113</v>
      </c>
      <c r="B42" s="61">
        <f aca="true" t="shared" si="9" ref="B42:G43">(B19/B14)*1000</f>
        <v>260.0236414172071</v>
      </c>
      <c r="C42" s="10">
        <f t="shared" si="9"/>
        <v>312.15827743644667</v>
      </c>
      <c r="D42" s="17">
        <f t="shared" si="9"/>
        <v>376.38694934619775</v>
      </c>
      <c r="E42" s="61">
        <f t="shared" si="9"/>
        <v>413.2830279075338</v>
      </c>
      <c r="F42" s="10">
        <f t="shared" si="9"/>
        <v>417.2755441643395</v>
      </c>
      <c r="G42" s="62">
        <f t="shared" si="9"/>
        <v>451.27661131026406</v>
      </c>
      <c r="H42" s="12">
        <f>(D42-B42)/4</f>
        <v>29.090826982247663</v>
      </c>
      <c r="I42" s="11">
        <f t="shared" si="8"/>
        <v>64.22867190975109</v>
      </c>
      <c r="J42" s="11">
        <f t="shared" si="8"/>
        <v>36.896078561336026</v>
      </c>
      <c r="K42" s="11">
        <f t="shared" si="8"/>
        <v>3.992516256805743</v>
      </c>
      <c r="L42" s="23">
        <f>(G42-D42)/12</f>
        <v>6.240805163672192</v>
      </c>
    </row>
    <row r="43" spans="1:12" s="7" customFormat="1" ht="12">
      <c r="A43" s="24" t="s">
        <v>121</v>
      </c>
      <c r="B43" s="61">
        <f t="shared" si="9"/>
        <v>285.51895902608595</v>
      </c>
      <c r="C43" s="10">
        <f t="shared" si="9"/>
        <v>372.3464006069579</v>
      </c>
      <c r="D43" s="17">
        <f t="shared" si="9"/>
        <v>411.63837732819894</v>
      </c>
      <c r="E43" s="61">
        <f t="shared" si="9"/>
        <v>437.117497920801</v>
      </c>
      <c r="F43" s="10">
        <f t="shared" si="9"/>
        <v>446.7027302047012</v>
      </c>
      <c r="G43" s="62">
        <f t="shared" si="9"/>
        <v>494.52581797092375</v>
      </c>
      <c r="H43" s="12">
        <f>(D43-B43)/4</f>
        <v>31.529854575528248</v>
      </c>
      <c r="I43" s="11">
        <f>D43-C43</f>
        <v>39.29197672124104</v>
      </c>
      <c r="J43" s="11">
        <f>E43-D43</f>
        <v>25.479120592602044</v>
      </c>
      <c r="K43" s="11">
        <f>F43-E43</f>
        <v>9.585232283900211</v>
      </c>
      <c r="L43" s="23">
        <f>(G43-D43)/12</f>
        <v>6.907286720227067</v>
      </c>
    </row>
    <row r="44" spans="1:12" s="7" customFormat="1" ht="12">
      <c r="A44" s="24"/>
      <c r="B44" s="61"/>
      <c r="C44" s="10"/>
      <c r="D44" s="17"/>
      <c r="E44" s="61"/>
      <c r="F44" s="10"/>
      <c r="G44" s="62"/>
      <c r="H44" s="6"/>
      <c r="I44" s="12"/>
      <c r="J44" s="11"/>
      <c r="K44" s="12"/>
      <c r="L44" s="23"/>
    </row>
    <row r="45" spans="1:12" s="7" customFormat="1" ht="12">
      <c r="A45" s="24" t="s">
        <v>95</v>
      </c>
      <c r="B45" s="61"/>
      <c r="C45" s="10"/>
      <c r="D45" s="17"/>
      <c r="E45" s="61"/>
      <c r="F45" s="10"/>
      <c r="G45" s="62"/>
      <c r="H45" s="12"/>
      <c r="I45" s="11"/>
      <c r="J45" s="11"/>
      <c r="K45" s="11"/>
      <c r="L45" s="23"/>
    </row>
    <row r="46" spans="1:12" s="7" customFormat="1" ht="12">
      <c r="A46" s="24" t="s">
        <v>112</v>
      </c>
      <c r="B46" s="61">
        <f aca="true" t="shared" si="10" ref="B46:G46">B18/B23*100</f>
        <v>59.54414542267116</v>
      </c>
      <c r="C46" s="10">
        <f t="shared" si="10"/>
        <v>64.88645830755651</v>
      </c>
      <c r="D46" s="17">
        <f t="shared" si="10"/>
        <v>68.0300167331024</v>
      </c>
      <c r="E46" s="61">
        <f t="shared" si="10"/>
        <v>69.08747548922842</v>
      </c>
      <c r="F46" s="10">
        <f t="shared" si="10"/>
        <v>69.28810205197048</v>
      </c>
      <c r="G46" s="62">
        <f t="shared" si="10"/>
        <v>71.2876059652397</v>
      </c>
      <c r="H46" s="12">
        <f>(D46-B46)/4</f>
        <v>2.1214678276078107</v>
      </c>
      <c r="I46" s="11">
        <f aca="true" t="shared" si="11" ref="I46:K48">D46-C46</f>
        <v>3.1435584255458906</v>
      </c>
      <c r="J46" s="11">
        <f t="shared" si="11"/>
        <v>1.0574587561260245</v>
      </c>
      <c r="K46" s="11">
        <f t="shared" si="11"/>
        <v>0.20062656274205892</v>
      </c>
      <c r="L46" s="23">
        <f>(G46-D46)/12</f>
        <v>0.2714657693447755</v>
      </c>
    </row>
    <row r="47" spans="1:12" s="7" customFormat="1" ht="12">
      <c r="A47" s="24" t="s">
        <v>113</v>
      </c>
      <c r="B47" s="61">
        <f aca="true" t="shared" si="12" ref="B47:G48">B19/B24*100</f>
        <v>60.83414306001943</v>
      </c>
      <c r="C47" s="10">
        <f t="shared" si="12"/>
        <v>58.569086774892924</v>
      </c>
      <c r="D47" s="17">
        <f t="shared" si="12"/>
        <v>64.86391878883346</v>
      </c>
      <c r="E47" s="61">
        <f t="shared" si="12"/>
        <v>67.2633938724455</v>
      </c>
      <c r="F47" s="10">
        <f t="shared" si="12"/>
        <v>67.76207485634416</v>
      </c>
      <c r="G47" s="62">
        <f t="shared" si="12"/>
        <v>72.7617662092557</v>
      </c>
      <c r="H47" s="12">
        <f>(D47-B47)/4</f>
        <v>1.0074439322035076</v>
      </c>
      <c r="I47" s="11">
        <f t="shared" si="11"/>
        <v>6.294832013940535</v>
      </c>
      <c r="J47" s="11">
        <f t="shared" si="11"/>
        <v>2.399475083612046</v>
      </c>
      <c r="K47" s="11">
        <f t="shared" si="11"/>
        <v>0.4986809838986517</v>
      </c>
      <c r="L47" s="23">
        <f>(G47-D47)/12</f>
        <v>0.6581539517018532</v>
      </c>
    </row>
    <row r="48" spans="1:12" s="7" customFormat="1" ht="12.75" thickBot="1">
      <c r="A48" s="173" t="s">
        <v>121</v>
      </c>
      <c r="B48" s="66">
        <f t="shared" si="12"/>
        <v>59.5876512151408</v>
      </c>
      <c r="C48" s="27">
        <f t="shared" si="12"/>
        <v>64.6953330475014</v>
      </c>
      <c r="D48" s="26">
        <f t="shared" si="12"/>
        <v>67.9373962374765</v>
      </c>
      <c r="E48" s="66">
        <f t="shared" si="12"/>
        <v>69.02791465941316</v>
      </c>
      <c r="F48" s="27">
        <f t="shared" si="12"/>
        <v>69.24153149668996</v>
      </c>
      <c r="G48" s="73">
        <f t="shared" si="12"/>
        <v>71.33165671209522</v>
      </c>
      <c r="H48" s="224">
        <f>(D48-B48)/4</f>
        <v>2.087436255583926</v>
      </c>
      <c r="I48" s="22">
        <f t="shared" si="11"/>
        <v>3.2420631899750987</v>
      </c>
      <c r="J48" s="22">
        <f t="shared" si="11"/>
        <v>1.0905184219366504</v>
      </c>
      <c r="K48" s="22">
        <f t="shared" si="11"/>
        <v>0.21361683727680258</v>
      </c>
      <c r="L48" s="29">
        <f>(G48-D48)/12</f>
        <v>0.2828550395515599</v>
      </c>
    </row>
    <row r="49" spans="1:12" s="7" customFormat="1" ht="12">
      <c r="A49" s="14"/>
      <c r="B49" s="9"/>
      <c r="C49" s="17"/>
      <c r="D49" s="9"/>
      <c r="E49" s="17"/>
      <c r="F49" s="9"/>
      <c r="G49" s="17"/>
      <c r="H49" s="12"/>
      <c r="I49" s="12"/>
      <c r="J49" s="12"/>
      <c r="K49" s="12"/>
      <c r="L49" s="12"/>
    </row>
    <row r="50" spans="1:11" s="7" customFormat="1" ht="12">
      <c r="A50" s="7" t="s">
        <v>170</v>
      </c>
      <c r="K50" s="14"/>
    </row>
    <row r="51" spans="1:11" s="7" customFormat="1" ht="12">
      <c r="A51" s="7" t="s">
        <v>129</v>
      </c>
      <c r="K51" s="14"/>
    </row>
    <row r="52" s="7" customFormat="1" ht="12.75">
      <c r="A52" s="2" t="s">
        <v>153</v>
      </c>
    </row>
    <row r="53" s="7" customFormat="1" ht="12"/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2" ht="12.75">
      <c r="A55" s="226" t="s">
        <v>201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</sheetData>
  <mergeCells count="1">
    <mergeCell ref="A55:L55"/>
  </mergeCells>
  <printOptions horizontalCentered="1"/>
  <pageMargins left="0.75" right="0.5" top="0.5" bottom="0.5" header="0.5" footer="0.5"/>
  <pageSetup fitToHeight="1" fitToWidth="1" horizontalDpi="300" verticalDpi="3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6.7109375" style="0" customWidth="1"/>
    <col min="2" max="7" width="8.7109375" style="0" customWidth="1"/>
    <col min="8" max="11" width="7.7109375" style="0" customWidth="1"/>
    <col min="12" max="12" width="10.00390625" style="0" customWidth="1"/>
  </cols>
  <sheetData>
    <row r="1" spans="1:12" ht="15.75">
      <c r="A1" s="3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5" t="s">
        <v>71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5" t="s">
        <v>185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8">
      <c r="A6" s="5" t="s">
        <v>154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3.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32" customFormat="1" ht="12.75" thickBot="1">
      <c r="A8" s="74"/>
      <c r="B8" s="59" t="s">
        <v>1</v>
      </c>
      <c r="C8" s="30"/>
      <c r="D8" s="30"/>
      <c r="E8" s="59" t="s">
        <v>2</v>
      </c>
      <c r="F8" s="30"/>
      <c r="G8" s="31"/>
      <c r="H8" s="30" t="s">
        <v>3</v>
      </c>
      <c r="I8" s="30"/>
      <c r="J8" s="30"/>
      <c r="K8" s="30"/>
      <c r="L8" s="31"/>
    </row>
    <row r="9" spans="1:12" s="32" customFormat="1" ht="12">
      <c r="A9" s="55" t="s">
        <v>22</v>
      </c>
      <c r="B9" s="55">
        <v>2000</v>
      </c>
      <c r="C9" s="39">
        <v>2003</v>
      </c>
      <c r="D9" s="33">
        <v>2004</v>
      </c>
      <c r="E9" s="59">
        <v>2005</v>
      </c>
      <c r="F9" s="170">
        <v>2006</v>
      </c>
      <c r="G9" s="171">
        <f>D9+12</f>
        <v>2016</v>
      </c>
      <c r="H9" s="33" t="s">
        <v>162</v>
      </c>
      <c r="I9" s="40" t="s">
        <v>101</v>
      </c>
      <c r="J9" s="54" t="s">
        <v>132</v>
      </c>
      <c r="K9" s="40" t="s">
        <v>155</v>
      </c>
      <c r="L9" s="160" t="s">
        <v>156</v>
      </c>
    </row>
    <row r="10" spans="1:12" s="7" customFormat="1" ht="12">
      <c r="A10" s="24"/>
      <c r="B10" s="24"/>
      <c r="C10" s="8"/>
      <c r="D10" s="14"/>
      <c r="E10" s="24"/>
      <c r="F10" s="8"/>
      <c r="G10" s="19"/>
      <c r="H10" s="14"/>
      <c r="I10" s="8"/>
      <c r="J10" s="14"/>
      <c r="K10" s="8"/>
      <c r="L10" s="68"/>
    </row>
    <row r="11" spans="1:12" s="7" customFormat="1" ht="12" hidden="1">
      <c r="A11" s="24"/>
      <c r="B11" s="65"/>
      <c r="C11" s="16"/>
      <c r="D11" s="28"/>
      <c r="E11" s="65"/>
      <c r="F11" s="16"/>
      <c r="G11" s="84"/>
      <c r="H11" s="12"/>
      <c r="I11" s="11"/>
      <c r="J11" s="12"/>
      <c r="K11" s="11"/>
      <c r="L11" s="23"/>
    </row>
    <row r="12" spans="1:12" s="7" customFormat="1" ht="12">
      <c r="A12" s="56" t="s">
        <v>100</v>
      </c>
      <c r="B12" s="91"/>
      <c r="C12" s="176"/>
      <c r="D12" s="28"/>
      <c r="E12" s="65"/>
      <c r="F12" s="16"/>
      <c r="G12" s="84"/>
      <c r="H12" s="12"/>
      <c r="I12" s="11"/>
      <c r="J12" s="12"/>
      <c r="K12" s="11"/>
      <c r="L12" s="23"/>
    </row>
    <row r="13" spans="1:12" s="7" customFormat="1" ht="12">
      <c r="A13" s="24" t="s">
        <v>96</v>
      </c>
      <c r="B13" s="125">
        <f aca="true" t="shared" si="0" ref="B13:G15">B18+B28</f>
        <v>14699.2474</v>
      </c>
      <c r="C13" s="130">
        <f t="shared" si="0"/>
        <v>14972.442</v>
      </c>
      <c r="D13" s="133">
        <f t="shared" si="0"/>
        <v>15541.551</v>
      </c>
      <c r="E13" s="125">
        <f t="shared" si="0"/>
        <v>16143.128</v>
      </c>
      <c r="F13" s="130">
        <f t="shared" si="0"/>
        <v>16706.535</v>
      </c>
      <c r="G13" s="131">
        <f t="shared" si="0"/>
        <v>22883.8</v>
      </c>
      <c r="H13" s="12">
        <f>+((EXP((LN(D13)-LN(B13))/4))-1)*(100)</f>
        <v>1.4027690446164254</v>
      </c>
      <c r="I13" s="11">
        <f aca="true" t="shared" si="1" ref="I13:K14">((D13/C13)-1)*100</f>
        <v>3.8010432767079605</v>
      </c>
      <c r="J13" s="12">
        <f t="shared" si="1"/>
        <v>3.870765536850218</v>
      </c>
      <c r="K13" s="11">
        <f t="shared" si="1"/>
        <v>3.4900732993010886</v>
      </c>
      <c r="L13" s="23">
        <f>+((EXP((LN(G13)-LN(D13))/12))-1)*(100)</f>
        <v>3.276810101223293</v>
      </c>
    </row>
    <row r="14" spans="1:12" s="7" customFormat="1" ht="12">
      <c r="A14" s="24" t="s">
        <v>97</v>
      </c>
      <c r="B14" s="125">
        <f t="shared" si="0"/>
        <v>15358</v>
      </c>
      <c r="C14" s="130">
        <f t="shared" si="0"/>
        <v>18541.929</v>
      </c>
      <c r="D14" s="133">
        <f t="shared" si="0"/>
        <v>19566.756</v>
      </c>
      <c r="E14" s="125">
        <f t="shared" si="0"/>
        <v>20880.998</v>
      </c>
      <c r="F14" s="130">
        <f t="shared" si="0"/>
        <v>22247.578</v>
      </c>
      <c r="G14" s="131">
        <f t="shared" si="0"/>
        <v>40939.7</v>
      </c>
      <c r="H14" s="12">
        <f>+((EXP((LN(D14)-LN(B14))/4))-1)*(100)</f>
        <v>6.24195201524651</v>
      </c>
      <c r="I14" s="11">
        <f t="shared" si="1"/>
        <v>5.527078655084927</v>
      </c>
      <c r="J14" s="12">
        <f t="shared" si="1"/>
        <v>6.716708686917738</v>
      </c>
      <c r="K14" s="11">
        <f t="shared" si="1"/>
        <v>6.544610559322894</v>
      </c>
      <c r="L14" s="23">
        <f>+((EXP((LN(G14)-LN(D14))/12))-1)*(100)</f>
        <v>6.345426877886506</v>
      </c>
    </row>
    <row r="15" spans="1:12" s="7" customFormat="1" ht="12">
      <c r="A15" s="24" t="s">
        <v>98</v>
      </c>
      <c r="B15" s="125">
        <f t="shared" si="0"/>
        <v>30057.2474</v>
      </c>
      <c r="C15" s="130">
        <f t="shared" si="0"/>
        <v>33514.371</v>
      </c>
      <c r="D15" s="133">
        <f t="shared" si="0"/>
        <v>35108.307</v>
      </c>
      <c r="E15" s="125">
        <f t="shared" si="0"/>
        <v>37024.126000000004</v>
      </c>
      <c r="F15" s="130">
        <f t="shared" si="0"/>
        <v>38954.113</v>
      </c>
      <c r="G15" s="131">
        <f t="shared" si="0"/>
        <v>63823.5</v>
      </c>
      <c r="H15" s="12">
        <f>+((EXP((LN(D15)-LN(B15))/4))-1)*(100)</f>
        <v>3.9597365671876883</v>
      </c>
      <c r="I15" s="11">
        <f>((D15/C15)-1)*100</f>
        <v>4.755977667013367</v>
      </c>
      <c r="J15" s="12">
        <f>((E15/D15)-1)*100</f>
        <v>5.45688232702306</v>
      </c>
      <c r="K15" s="11">
        <f>((F15/E15)-1)*100</f>
        <v>5.21278206540241</v>
      </c>
      <c r="L15" s="23">
        <f>+((EXP((LN(G15)-LN(D15))/12))-1)*(100)</f>
        <v>5.106819365088788</v>
      </c>
    </row>
    <row r="16" spans="1:12" s="7" customFormat="1" ht="12">
      <c r="A16" s="24"/>
      <c r="B16" s="132"/>
      <c r="C16" s="178"/>
      <c r="D16" s="133"/>
      <c r="E16" s="125"/>
      <c r="F16" s="130"/>
      <c r="G16" s="131"/>
      <c r="H16" s="12"/>
      <c r="I16" s="11"/>
      <c r="J16" s="12"/>
      <c r="K16" s="11"/>
      <c r="L16" s="23"/>
    </row>
    <row r="17" spans="1:12" s="7" customFormat="1" ht="12">
      <c r="A17" s="174" t="s">
        <v>139</v>
      </c>
      <c r="B17" s="132"/>
      <c r="C17" s="178"/>
      <c r="D17" s="133"/>
      <c r="E17" s="125"/>
      <c r="F17" s="130"/>
      <c r="G17" s="131"/>
      <c r="H17" s="12"/>
      <c r="I17" s="11"/>
      <c r="J17" s="12"/>
      <c r="K17" s="11"/>
      <c r="L17" s="23"/>
    </row>
    <row r="18" spans="1:12" s="7" customFormat="1" ht="12">
      <c r="A18" s="24" t="s">
        <v>118</v>
      </c>
      <c r="B18" s="132">
        <v>4415.2474</v>
      </c>
      <c r="C18" s="178">
        <v>3819.061</v>
      </c>
      <c r="D18" s="133">
        <v>3752.007</v>
      </c>
      <c r="E18" s="125">
        <v>3841.521</v>
      </c>
      <c r="F18" s="130">
        <v>3917.93</v>
      </c>
      <c r="G18" s="131">
        <v>4576.8</v>
      </c>
      <c r="H18" s="12">
        <f>+((EXP((LN(D18)-LN(B18))/4))-1)*(100)</f>
        <v>-3.9876390562191832</v>
      </c>
      <c r="I18" s="11">
        <f aca="true" t="shared" si="2" ref="I18:K19">((D18/C18)-1)*100</f>
        <v>-1.7557719030934615</v>
      </c>
      <c r="J18" s="12">
        <f t="shared" si="2"/>
        <v>2.3857631395677092</v>
      </c>
      <c r="K18" s="11">
        <f t="shared" si="2"/>
        <v>1.9890298660348193</v>
      </c>
      <c r="L18" s="23">
        <f>+((EXP((LN(G18)-LN(D18))/12))-1)*(100)</f>
        <v>1.6696959018463797</v>
      </c>
    </row>
    <row r="19" spans="1:12" s="7" customFormat="1" ht="12">
      <c r="A19" s="24" t="s">
        <v>119</v>
      </c>
      <c r="B19" s="132">
        <v>7790</v>
      </c>
      <c r="C19" s="133">
        <v>6775.107</v>
      </c>
      <c r="D19" s="217">
        <v>7883.974</v>
      </c>
      <c r="E19" s="125">
        <v>8345.781</v>
      </c>
      <c r="F19" s="130">
        <v>8819.811</v>
      </c>
      <c r="G19" s="131">
        <v>14902</v>
      </c>
      <c r="H19" s="12">
        <f>+((EXP((LN(D19)-LN(B19))/4))-1)*(100)</f>
        <v>0.30023058156036786</v>
      </c>
      <c r="I19" s="11">
        <f t="shared" si="2"/>
        <v>16.366782103957924</v>
      </c>
      <c r="J19" s="12">
        <f t="shared" si="2"/>
        <v>5.857540879764445</v>
      </c>
      <c r="K19" s="11">
        <f t="shared" si="2"/>
        <v>5.6798758558366025</v>
      </c>
      <c r="L19" s="23">
        <f>+((EXP((LN(G19)-LN(D19))/12))-1)*(100)</f>
        <v>5.448793390221662</v>
      </c>
    </row>
    <row r="20" spans="1:12" s="7" customFormat="1" ht="12">
      <c r="A20" s="24" t="s">
        <v>117</v>
      </c>
      <c r="B20" s="132">
        <f aca="true" t="shared" si="3" ref="B20:G20">B19+B18</f>
        <v>12205.2474</v>
      </c>
      <c r="C20" s="133">
        <f t="shared" si="3"/>
        <v>10594.168</v>
      </c>
      <c r="D20" s="217">
        <f t="shared" si="3"/>
        <v>11635.981</v>
      </c>
      <c r="E20" s="125">
        <f t="shared" si="3"/>
        <v>12187.302000000001</v>
      </c>
      <c r="F20" s="130">
        <f t="shared" si="3"/>
        <v>12737.741</v>
      </c>
      <c r="G20" s="131">
        <f t="shared" si="3"/>
        <v>19478.8</v>
      </c>
      <c r="H20" s="12">
        <f>+((EXP((LN(D20)-LN(B20))/4))-1)*(100)</f>
        <v>-1.1869956147227634</v>
      </c>
      <c r="I20" s="11">
        <f>((D20/C20)-1)*100</f>
        <v>9.8338349929886</v>
      </c>
      <c r="J20" s="12">
        <f>((E20/D20)-1)*100</f>
        <v>4.738070644838643</v>
      </c>
      <c r="K20" s="11">
        <f>((F20/E20)-1)*100</f>
        <v>4.516495939790444</v>
      </c>
      <c r="L20" s="23">
        <f>+((EXP((LN(G20)-LN(D20))/12))-1)*(100)</f>
        <v>4.387044010395158</v>
      </c>
    </row>
    <row r="21" spans="1:12" s="7" customFormat="1" ht="12">
      <c r="A21" s="24"/>
      <c r="B21" s="132"/>
      <c r="C21" s="133"/>
      <c r="D21" s="217"/>
      <c r="E21" s="125"/>
      <c r="F21" s="130"/>
      <c r="G21" s="131"/>
      <c r="H21" s="12"/>
      <c r="I21" s="11"/>
      <c r="J21" s="12"/>
      <c r="K21" s="11"/>
      <c r="L21" s="23"/>
    </row>
    <row r="22" spans="1:12" s="7" customFormat="1" ht="12">
      <c r="A22" s="174" t="s">
        <v>140</v>
      </c>
      <c r="B22" s="132"/>
      <c r="C22" s="133"/>
      <c r="D22" s="217"/>
      <c r="E22" s="125"/>
      <c r="F22" s="130"/>
      <c r="G22" s="131"/>
      <c r="H22" s="12"/>
      <c r="I22" s="11"/>
      <c r="J22" s="12"/>
      <c r="K22" s="11"/>
      <c r="L22" s="23"/>
    </row>
    <row r="23" spans="1:12" s="7" customFormat="1" ht="12">
      <c r="A23" s="24" t="s">
        <v>118</v>
      </c>
      <c r="B23" s="108">
        <f aca="true" t="shared" si="4" ref="B23:G23">(B18/B13)*100</f>
        <v>30.037234423307957</v>
      </c>
      <c r="C23" s="113">
        <f t="shared" si="4"/>
        <v>25.50726862057639</v>
      </c>
      <c r="D23" s="218">
        <f t="shared" si="4"/>
        <v>24.141779671797238</v>
      </c>
      <c r="E23" s="110">
        <f t="shared" si="4"/>
        <v>23.79663346533584</v>
      </c>
      <c r="F23" s="111">
        <f t="shared" si="4"/>
        <v>23.45148171060007</v>
      </c>
      <c r="G23" s="112">
        <f t="shared" si="4"/>
        <v>20.000174796143998</v>
      </c>
      <c r="H23" s="12"/>
      <c r="I23" s="11"/>
      <c r="J23" s="12"/>
      <c r="K23" s="11"/>
      <c r="L23" s="23"/>
    </row>
    <row r="24" spans="1:12" s="7" customFormat="1" ht="12">
      <c r="A24" s="24" t="s">
        <v>119</v>
      </c>
      <c r="B24" s="108">
        <f aca="true" t="shared" si="5" ref="B24:E25">(B19/B14)*100</f>
        <v>50.72275035811955</v>
      </c>
      <c r="C24" s="113">
        <f t="shared" si="5"/>
        <v>36.53938595062034</v>
      </c>
      <c r="D24" s="218">
        <f t="shared" si="5"/>
        <v>40.2926984933016</v>
      </c>
      <c r="E24" s="108">
        <f t="shared" si="5"/>
        <v>39.9683051547632</v>
      </c>
      <c r="F24" s="111">
        <f aca="true" t="shared" si="6" ref="E24:G25">(F19/F14)*100</f>
        <v>39.643915396093895</v>
      </c>
      <c r="G24" s="112">
        <f t="shared" si="6"/>
        <v>36.39987591506533</v>
      </c>
      <c r="H24" s="12"/>
      <c r="I24" s="11"/>
      <c r="J24" s="12"/>
      <c r="K24" s="11"/>
      <c r="L24" s="23"/>
    </row>
    <row r="25" spans="1:12" s="7" customFormat="1" ht="12">
      <c r="A25" s="24" t="s">
        <v>117</v>
      </c>
      <c r="B25" s="108">
        <f t="shared" si="5"/>
        <v>40.60667045645703</v>
      </c>
      <c r="C25" s="113">
        <f t="shared" si="5"/>
        <v>31.610821518923927</v>
      </c>
      <c r="D25" s="218">
        <f t="shared" si="5"/>
        <v>33.14309915314344</v>
      </c>
      <c r="E25" s="110">
        <f t="shared" si="6"/>
        <v>32.917190266692586</v>
      </c>
      <c r="F25" s="111">
        <f t="shared" si="6"/>
        <v>32.699348076543295</v>
      </c>
      <c r="G25" s="112">
        <f t="shared" si="6"/>
        <v>30.519792866263995</v>
      </c>
      <c r="H25" s="12"/>
      <c r="I25" s="11"/>
      <c r="J25" s="12"/>
      <c r="K25" s="11"/>
      <c r="L25" s="23"/>
    </row>
    <row r="26" spans="1:12" s="7" customFormat="1" ht="12">
      <c r="A26" s="56"/>
      <c r="B26" s="132"/>
      <c r="C26" s="133"/>
      <c r="D26" s="217"/>
      <c r="E26" s="125"/>
      <c r="F26" s="130"/>
      <c r="G26" s="131"/>
      <c r="H26" s="12"/>
      <c r="I26" s="11"/>
      <c r="J26" s="12"/>
      <c r="K26" s="11"/>
      <c r="L26" s="23"/>
    </row>
    <row r="27" spans="1:12" s="7" customFormat="1" ht="12">
      <c r="A27" s="174" t="s">
        <v>141</v>
      </c>
      <c r="B27" s="132"/>
      <c r="C27" s="133"/>
      <c r="D27" s="217"/>
      <c r="E27" s="125"/>
      <c r="F27" s="130"/>
      <c r="G27" s="131"/>
      <c r="H27" s="12"/>
      <c r="I27" s="11"/>
      <c r="J27" s="12"/>
      <c r="K27" s="11"/>
      <c r="L27" s="23"/>
    </row>
    <row r="28" spans="1:12" s="7" customFormat="1" ht="12">
      <c r="A28" s="24" t="s">
        <v>118</v>
      </c>
      <c r="B28" s="132">
        <v>10284</v>
      </c>
      <c r="C28" s="133">
        <v>11153.381</v>
      </c>
      <c r="D28" s="217">
        <v>11789.544</v>
      </c>
      <c r="E28" s="125">
        <v>12301.607</v>
      </c>
      <c r="F28" s="130">
        <v>12788.605</v>
      </c>
      <c r="G28" s="131">
        <v>18307</v>
      </c>
      <c r="H28" s="12">
        <f>+((EXP((LN(D28)-LN(B28))/4))-1)*(100)</f>
        <v>3.47459492115878</v>
      </c>
      <c r="I28" s="11">
        <f aca="true" t="shared" si="7" ref="I28:K29">((D28/C28)-1)*100</f>
        <v>5.703768211630189</v>
      </c>
      <c r="J28" s="12">
        <f t="shared" si="7"/>
        <v>4.343365612783678</v>
      </c>
      <c r="K28" s="11">
        <f t="shared" si="7"/>
        <v>3.9588161123989662</v>
      </c>
      <c r="L28" s="23">
        <f>+((EXP((LN(G28)-LN(D28))/12))-1)*(100)</f>
        <v>3.7353272077481403</v>
      </c>
    </row>
    <row r="29" spans="1:12" s="7" customFormat="1" ht="12">
      <c r="A29" s="24" t="s">
        <v>119</v>
      </c>
      <c r="B29" s="132">
        <v>7568</v>
      </c>
      <c r="C29" s="133">
        <v>11766.822</v>
      </c>
      <c r="D29" s="217">
        <v>11682.782</v>
      </c>
      <c r="E29" s="125">
        <v>12535.217</v>
      </c>
      <c r="F29" s="130">
        <v>13427.767</v>
      </c>
      <c r="G29" s="131">
        <v>26037.7</v>
      </c>
      <c r="H29" s="12">
        <f>+((EXP((LN(D29)-LN(B29))/4))-1)*(100)</f>
        <v>11.465710175390242</v>
      </c>
      <c r="I29" s="11">
        <f t="shared" si="7"/>
        <v>-0.7142115347712474</v>
      </c>
      <c r="J29" s="12">
        <f t="shared" si="7"/>
        <v>7.296506945006764</v>
      </c>
      <c r="K29" s="11">
        <f t="shared" si="7"/>
        <v>7.120339440473988</v>
      </c>
      <c r="L29" s="23">
        <f>+((EXP((LN(G29)-LN(D29))/12))-1)*(100)</f>
        <v>6.90664376797312</v>
      </c>
    </row>
    <row r="30" spans="1:12" s="7" customFormat="1" ht="12">
      <c r="A30" s="24" t="s">
        <v>117</v>
      </c>
      <c r="B30" s="132">
        <f aca="true" t="shared" si="8" ref="B30:G30">B29+B28</f>
        <v>17852</v>
      </c>
      <c r="C30" s="133">
        <f t="shared" si="8"/>
        <v>22920.203</v>
      </c>
      <c r="D30" s="217">
        <f t="shared" si="8"/>
        <v>23472.326</v>
      </c>
      <c r="E30" s="125">
        <f t="shared" si="8"/>
        <v>24836.824</v>
      </c>
      <c r="F30" s="130">
        <f t="shared" si="8"/>
        <v>26216.372</v>
      </c>
      <c r="G30" s="131">
        <f t="shared" si="8"/>
        <v>44344.7</v>
      </c>
      <c r="H30" s="12">
        <f>+((EXP((LN(D30)-LN(B30))/4))-1)*(100)</f>
        <v>7.082206747986031</v>
      </c>
      <c r="I30" s="11">
        <f>((D30/C30)-1)*100</f>
        <v>2.4088922772629973</v>
      </c>
      <c r="J30" s="12">
        <f>((E30/D30)-1)*100</f>
        <v>5.81322021515891</v>
      </c>
      <c r="K30" s="11">
        <f>((F30/E30)-1)*100</f>
        <v>5.554446091819143</v>
      </c>
      <c r="L30" s="23">
        <f>+((EXP((LN(G30)-LN(D30))/12))-1)*(100)</f>
        <v>5.444467853536072</v>
      </c>
    </row>
    <row r="31" spans="1:12" s="7" customFormat="1" ht="12">
      <c r="A31" s="24"/>
      <c r="B31" s="132"/>
      <c r="C31" s="133"/>
      <c r="D31" s="217"/>
      <c r="E31" s="125"/>
      <c r="F31" s="130"/>
      <c r="G31" s="131"/>
      <c r="H31" s="12"/>
      <c r="I31" s="11"/>
      <c r="J31" s="12"/>
      <c r="K31" s="11"/>
      <c r="L31" s="23"/>
    </row>
    <row r="32" spans="1:12" s="7" customFormat="1" ht="12">
      <c r="A32" s="174" t="s">
        <v>142</v>
      </c>
      <c r="B32" s="132"/>
      <c r="C32" s="133"/>
      <c r="D32" s="217"/>
      <c r="E32" s="125"/>
      <c r="F32" s="130"/>
      <c r="G32" s="131"/>
      <c r="H32" s="12"/>
      <c r="I32" s="11"/>
      <c r="J32" s="12"/>
      <c r="K32" s="11"/>
      <c r="L32" s="23"/>
    </row>
    <row r="33" spans="1:12" s="7" customFormat="1" ht="12">
      <c r="A33" s="24" t="s">
        <v>118</v>
      </c>
      <c r="B33" s="108">
        <f aca="true" t="shared" si="9" ref="B33:G33">(B28/B13)*100</f>
        <v>69.96276557669205</v>
      </c>
      <c r="C33" s="113">
        <f t="shared" si="9"/>
        <v>74.49273137942362</v>
      </c>
      <c r="D33" s="218">
        <f t="shared" si="9"/>
        <v>75.85822032820276</v>
      </c>
      <c r="E33" s="110">
        <f t="shared" si="9"/>
        <v>76.20336653466417</v>
      </c>
      <c r="F33" s="111">
        <f t="shared" si="9"/>
        <v>76.54851828939992</v>
      </c>
      <c r="G33" s="112">
        <f t="shared" si="9"/>
        <v>79.999825203856</v>
      </c>
      <c r="H33" s="12"/>
      <c r="I33" s="11"/>
      <c r="J33" s="12"/>
      <c r="K33" s="11"/>
      <c r="L33" s="23"/>
    </row>
    <row r="34" spans="1:12" s="7" customFormat="1" ht="12">
      <c r="A34" s="24" t="s">
        <v>119</v>
      </c>
      <c r="B34" s="108">
        <f aca="true" t="shared" si="10" ref="B34:G35">(B29/B14)*100</f>
        <v>49.27724964188045</v>
      </c>
      <c r="C34" s="113">
        <f t="shared" si="10"/>
        <v>63.46061404937965</v>
      </c>
      <c r="D34" s="218">
        <f t="shared" si="10"/>
        <v>59.70730150669839</v>
      </c>
      <c r="E34" s="110">
        <f t="shared" si="10"/>
        <v>60.03169484523681</v>
      </c>
      <c r="F34" s="111">
        <f t="shared" si="10"/>
        <v>60.35608460390609</v>
      </c>
      <c r="G34" s="112">
        <f t="shared" si="10"/>
        <v>63.600124084934684</v>
      </c>
      <c r="H34" s="12"/>
      <c r="I34" s="11"/>
      <c r="J34" s="12"/>
      <c r="K34" s="11"/>
      <c r="L34" s="23"/>
    </row>
    <row r="35" spans="1:12" s="7" customFormat="1" ht="12">
      <c r="A35" s="24" t="s">
        <v>117</v>
      </c>
      <c r="B35" s="108">
        <f t="shared" si="10"/>
        <v>59.39332954354296</v>
      </c>
      <c r="C35" s="113">
        <f t="shared" si="10"/>
        <v>68.38917848107607</v>
      </c>
      <c r="D35" s="218">
        <f t="shared" si="10"/>
        <v>66.85690084685656</v>
      </c>
      <c r="E35" s="110">
        <f t="shared" si="10"/>
        <v>67.0828097333074</v>
      </c>
      <c r="F35" s="111">
        <f t="shared" si="10"/>
        <v>67.30065192345671</v>
      </c>
      <c r="G35" s="112">
        <f t="shared" si="10"/>
        <v>69.480207133736</v>
      </c>
      <c r="H35" s="12"/>
      <c r="I35" s="11"/>
      <c r="J35" s="12"/>
      <c r="K35" s="11"/>
      <c r="L35" s="23"/>
    </row>
    <row r="36" spans="1:12" s="7" customFormat="1" ht="12">
      <c r="A36" s="24"/>
      <c r="B36" s="132"/>
      <c r="C36" s="179"/>
      <c r="D36" s="219"/>
      <c r="E36" s="221"/>
      <c r="F36" s="126"/>
      <c r="G36" s="127"/>
      <c r="H36" s="12"/>
      <c r="I36" s="11"/>
      <c r="J36" s="12"/>
      <c r="K36" s="11"/>
      <c r="L36" s="23"/>
    </row>
    <row r="37" spans="1:12" s="7" customFormat="1" ht="12">
      <c r="A37" s="56" t="s">
        <v>130</v>
      </c>
      <c r="B37" s="125">
        <v>1064</v>
      </c>
      <c r="C37" s="130">
        <v>993</v>
      </c>
      <c r="D37" s="133">
        <v>974</v>
      </c>
      <c r="E37" s="125">
        <v>996</v>
      </c>
      <c r="F37" s="130">
        <v>1011</v>
      </c>
      <c r="G37" s="131">
        <v>1312</v>
      </c>
      <c r="H37" s="12">
        <f>+((EXP((LN(D37)-LN(B37))/4))-1)*(100)</f>
        <v>-2.1852538383938636</v>
      </c>
      <c r="I37" s="11">
        <f>((D37/C37)-1)*100</f>
        <v>-1.9133937562940573</v>
      </c>
      <c r="J37" s="12">
        <f>((E37/D37)-1)*100</f>
        <v>2.258726899383978</v>
      </c>
      <c r="K37" s="11">
        <f>((F37/E37)-1)*100</f>
        <v>1.5060240963855387</v>
      </c>
      <c r="L37" s="23">
        <f>+((EXP((LN(G37)-LN(D37))/12))-1)*(100)</f>
        <v>2.513542124889634</v>
      </c>
    </row>
    <row r="38" spans="1:12" s="7" customFormat="1" ht="12.75" thickBot="1">
      <c r="A38" s="36"/>
      <c r="B38" s="163"/>
      <c r="C38" s="164"/>
      <c r="D38" s="220"/>
      <c r="E38" s="169"/>
      <c r="F38" s="164"/>
      <c r="G38" s="165"/>
      <c r="H38" s="166"/>
      <c r="I38" s="167"/>
      <c r="J38" s="166"/>
      <c r="K38" s="167"/>
      <c r="L38" s="168"/>
    </row>
    <row r="39" s="7" customFormat="1" ht="12"/>
    <row r="40" spans="1:11" s="7" customFormat="1" ht="12">
      <c r="A40" s="7" t="s">
        <v>171</v>
      </c>
      <c r="K40" s="14"/>
    </row>
    <row r="41" s="7" customFormat="1" ht="12">
      <c r="A41" s="7" t="s">
        <v>160</v>
      </c>
    </row>
    <row r="42" spans="1:11" s="7" customFormat="1" ht="12">
      <c r="A42" s="7" t="s">
        <v>129</v>
      </c>
      <c r="K42" s="14"/>
    </row>
    <row r="43" spans="1:1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2" ht="12.75">
      <c r="A45" s="226" t="s">
        <v>202</v>
      </c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</sheetData>
  <mergeCells count="1">
    <mergeCell ref="A45:L45"/>
  </mergeCells>
  <printOptions horizontalCentered="1"/>
  <pageMargins left="0.75" right="0.5" top="0.5" bottom="0.5" header="0.5" footer="0.5"/>
  <pageSetup fitToHeight="1" fitToWidth="1" horizontalDpi="600" verticalDpi="600" orientation="landscape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7" width="8.7109375" style="0" customWidth="1"/>
    <col min="8" max="11" width="7.7109375" style="0" customWidth="1"/>
    <col min="12" max="12" width="9.57421875" style="0" customWidth="1"/>
  </cols>
  <sheetData>
    <row r="1" spans="1:12" ht="15.75">
      <c r="A1" s="3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5" t="s">
        <v>81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5" t="s">
        <v>37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8">
      <c r="A6" s="5" t="s">
        <v>158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3.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32" customFormat="1" ht="12.75" thickBot="1">
      <c r="A8" s="74"/>
      <c r="B8" s="59" t="s">
        <v>1</v>
      </c>
      <c r="C8" s="30"/>
      <c r="D8" s="31"/>
      <c r="E8" s="59" t="s">
        <v>2</v>
      </c>
      <c r="F8" s="30"/>
      <c r="G8" s="31"/>
      <c r="H8" s="30" t="s">
        <v>3</v>
      </c>
      <c r="I8" s="30"/>
      <c r="J8" s="30"/>
      <c r="K8" s="30"/>
      <c r="L8" s="31"/>
    </row>
    <row r="9" spans="1:12" s="32" customFormat="1" ht="12">
      <c r="A9" s="55" t="s">
        <v>22</v>
      </c>
      <c r="B9" s="55">
        <v>2000</v>
      </c>
      <c r="C9" s="39">
        <v>2003</v>
      </c>
      <c r="D9" s="60">
        <v>2004</v>
      </c>
      <c r="E9" s="59">
        <v>2005</v>
      </c>
      <c r="F9" s="170">
        <v>2006</v>
      </c>
      <c r="G9" s="171">
        <f>D9+12</f>
        <v>2016</v>
      </c>
      <c r="H9" s="33" t="s">
        <v>162</v>
      </c>
      <c r="I9" s="40" t="s">
        <v>101</v>
      </c>
      <c r="J9" s="54" t="s">
        <v>132</v>
      </c>
      <c r="K9" s="40" t="s">
        <v>155</v>
      </c>
      <c r="L9" s="160" t="s">
        <v>156</v>
      </c>
    </row>
    <row r="10" spans="1:12" s="7" customFormat="1" ht="12">
      <c r="A10" s="24"/>
      <c r="B10" s="24"/>
      <c r="C10" s="8"/>
      <c r="D10" s="19"/>
      <c r="E10" s="18"/>
      <c r="F10" s="14"/>
      <c r="G10" s="68"/>
      <c r="H10" s="14"/>
      <c r="I10" s="8"/>
      <c r="J10" s="14"/>
      <c r="K10" s="8"/>
      <c r="L10" s="68"/>
    </row>
    <row r="11" spans="1:12" s="7" customFormat="1" ht="12">
      <c r="A11" s="56" t="s">
        <v>37</v>
      </c>
      <c r="B11" s="61"/>
      <c r="C11" s="10"/>
      <c r="D11" s="62"/>
      <c r="E11" s="63"/>
      <c r="F11" s="17"/>
      <c r="G11" s="64"/>
      <c r="H11" s="12"/>
      <c r="I11" s="11"/>
      <c r="J11" s="12"/>
      <c r="K11" s="11"/>
      <c r="L11" s="23"/>
    </row>
    <row r="12" spans="1:12" s="7" customFormat="1" ht="12">
      <c r="A12" s="24" t="s">
        <v>146</v>
      </c>
      <c r="B12" s="63">
        <f>+(B14+B17+B20+B21+B23)</f>
        <v>217.53300000000002</v>
      </c>
      <c r="C12" s="10">
        <f>+(C14+C17+C20+C21+C23)</f>
        <v>210.6</v>
      </c>
      <c r="D12" s="64">
        <f>+(D14+D17+D20+D21+D23)</f>
        <v>211.295</v>
      </c>
      <c r="E12" s="61">
        <f>+(E14+E17+E20+E21+E22+E23)</f>
        <v>219.78000000000003</v>
      </c>
      <c r="F12" s="10">
        <f>+(F14+F17+F20+F21+F22+F23)</f>
        <v>223.1</v>
      </c>
      <c r="G12" s="62">
        <f>+(G14+G17+G20+G21+G22+G23)</f>
        <v>240.07000000000002</v>
      </c>
      <c r="H12" s="6">
        <f>+((EXP((LN(D12)-LN(B12))/4))-1)*(100)</f>
        <v>-0.72474352198445</v>
      </c>
      <c r="I12" s="6">
        <f aca="true" t="shared" si="0" ref="I12:K13">((D12/C12)-1)*100</f>
        <v>0.33000949667616464</v>
      </c>
      <c r="J12" s="6">
        <f t="shared" si="0"/>
        <v>4.015712629262436</v>
      </c>
      <c r="K12" s="6">
        <f t="shared" si="0"/>
        <v>1.5106015106014947</v>
      </c>
      <c r="L12" s="23">
        <f aca="true" t="shared" si="1" ref="L12:L23">+((EXP((LN(G12)-LN(D12))/12))-1)*(100)</f>
        <v>1.0696409073229773</v>
      </c>
    </row>
    <row r="13" spans="1:12" s="7" customFormat="1" ht="12">
      <c r="A13" s="24" t="s">
        <v>148</v>
      </c>
      <c r="B13" s="61">
        <f>B12</f>
        <v>217.53300000000002</v>
      </c>
      <c r="C13" s="153">
        <f>C12</f>
        <v>210.6</v>
      </c>
      <c r="D13" s="62">
        <f>D12</f>
        <v>211.295</v>
      </c>
      <c r="E13" s="61">
        <f>E12-E22</f>
        <v>212.08000000000004</v>
      </c>
      <c r="F13" s="10">
        <f>F12-F22</f>
        <v>213.1</v>
      </c>
      <c r="G13" s="45">
        <f>G12-G22</f>
        <v>224.66000000000003</v>
      </c>
      <c r="H13" s="6">
        <f aca="true" t="shared" si="2" ref="H13:H23">+((EXP((LN(D13)-LN(B13))/4))-1)*(100)</f>
        <v>-0.72474352198445</v>
      </c>
      <c r="I13" s="6">
        <f t="shared" si="0"/>
        <v>0.33000949667616464</v>
      </c>
      <c r="J13" s="6">
        <f t="shared" si="0"/>
        <v>0.3715184931020854</v>
      </c>
      <c r="K13" s="6">
        <f t="shared" si="0"/>
        <v>0.4809505846850026</v>
      </c>
      <c r="L13" s="23">
        <f>+((EXP((LN(G13)-LN(D13))/12))-1)*(100)</f>
        <v>0.5124157728687795</v>
      </c>
    </row>
    <row r="14" spans="1:12" s="7" customFormat="1" ht="12">
      <c r="A14" s="24" t="s">
        <v>38</v>
      </c>
      <c r="B14" s="61">
        <f aca="true" t="shared" si="3" ref="B14:G14">B15+B16</f>
        <v>170.513</v>
      </c>
      <c r="C14" s="10">
        <f t="shared" si="3"/>
        <v>161.639</v>
      </c>
      <c r="D14" s="64">
        <f t="shared" si="3"/>
        <v>161.7</v>
      </c>
      <c r="E14" s="63">
        <f t="shared" si="3"/>
        <v>161.79500000000002</v>
      </c>
      <c r="F14" s="45">
        <f t="shared" si="3"/>
        <v>162.01</v>
      </c>
      <c r="G14" s="64">
        <f t="shared" si="3"/>
        <v>165.235</v>
      </c>
      <c r="H14" s="6">
        <f t="shared" si="2"/>
        <v>-1.317957210602183</v>
      </c>
      <c r="I14" s="6">
        <f aca="true" t="shared" si="4" ref="I14:K23">((D14/C14)-1)*100</f>
        <v>0.03773841708991643</v>
      </c>
      <c r="J14" s="6">
        <f t="shared" si="4"/>
        <v>0.05875077303649778</v>
      </c>
      <c r="K14" s="6">
        <f t="shared" si="4"/>
        <v>0.13288420532153733</v>
      </c>
      <c r="L14" s="23">
        <f t="shared" si="1"/>
        <v>0.18037862412934036</v>
      </c>
    </row>
    <row r="15" spans="1:12" s="7" customFormat="1" ht="12">
      <c r="A15" s="24" t="s">
        <v>89</v>
      </c>
      <c r="B15" s="61">
        <v>149.422</v>
      </c>
      <c r="C15" s="10">
        <v>143.916</v>
      </c>
      <c r="D15" s="62">
        <v>144</v>
      </c>
      <c r="E15" s="63">
        <v>144.15</v>
      </c>
      <c r="F15" s="17">
        <v>144.4</v>
      </c>
      <c r="G15" s="64">
        <v>148</v>
      </c>
      <c r="H15" s="6">
        <f t="shared" si="2"/>
        <v>-0.9197744070512881</v>
      </c>
      <c r="I15" s="6">
        <f t="shared" si="4"/>
        <v>0.05836738097224625</v>
      </c>
      <c r="J15" s="6">
        <f t="shared" si="4"/>
        <v>0.10416666666666075</v>
      </c>
      <c r="K15" s="6">
        <f t="shared" si="4"/>
        <v>0.1734304543877796</v>
      </c>
      <c r="L15" s="23">
        <f t="shared" si="1"/>
        <v>0.2285856444358192</v>
      </c>
    </row>
    <row r="16" spans="1:12" s="7" customFormat="1" ht="12">
      <c r="A16" s="24" t="s">
        <v>90</v>
      </c>
      <c r="B16" s="61">
        <v>21.091</v>
      </c>
      <c r="C16" s="10">
        <v>17.723</v>
      </c>
      <c r="D16" s="62">
        <v>17.7</v>
      </c>
      <c r="E16" s="63">
        <v>17.645</v>
      </c>
      <c r="F16" s="45">
        <v>17.61</v>
      </c>
      <c r="G16" s="64">
        <v>17.235</v>
      </c>
      <c r="H16" s="6">
        <f t="shared" si="2"/>
        <v>-4.287419874924159</v>
      </c>
      <c r="I16" s="6">
        <f t="shared" si="4"/>
        <v>-0.12977486881453615</v>
      </c>
      <c r="J16" s="6">
        <f t="shared" si="4"/>
        <v>-0.3107344632768294</v>
      </c>
      <c r="K16" s="6">
        <f t="shared" si="4"/>
        <v>-0.19835647492207897</v>
      </c>
      <c r="L16" s="23">
        <f t="shared" si="1"/>
        <v>-0.221607750074293</v>
      </c>
    </row>
    <row r="17" spans="1:12" s="7" customFormat="1" ht="12">
      <c r="A17" s="24" t="s">
        <v>84</v>
      </c>
      <c r="B17" s="61">
        <f aca="true" t="shared" si="5" ref="B17:G17">B18+B19</f>
        <v>12.763</v>
      </c>
      <c r="C17" s="10">
        <f t="shared" si="5"/>
        <v>15.354</v>
      </c>
      <c r="D17" s="64">
        <f t="shared" si="5"/>
        <v>15.725000000000001</v>
      </c>
      <c r="E17" s="63">
        <f t="shared" si="5"/>
        <v>16.15</v>
      </c>
      <c r="F17" s="45">
        <f t="shared" si="5"/>
        <v>16.7</v>
      </c>
      <c r="G17" s="64">
        <f t="shared" si="5"/>
        <v>24.3</v>
      </c>
      <c r="H17" s="6">
        <f t="shared" si="2"/>
        <v>5.356047936187958</v>
      </c>
      <c r="I17" s="6">
        <f t="shared" si="4"/>
        <v>2.416308453823124</v>
      </c>
      <c r="J17" s="6">
        <f t="shared" si="4"/>
        <v>2.702702702702675</v>
      </c>
      <c r="K17" s="6">
        <f t="shared" si="4"/>
        <v>3.4055727554179516</v>
      </c>
      <c r="L17" s="23">
        <f t="shared" si="1"/>
        <v>3.693444611146268</v>
      </c>
    </row>
    <row r="18" spans="1:12" s="7" customFormat="1" ht="12">
      <c r="A18" s="24" t="s">
        <v>85</v>
      </c>
      <c r="B18" s="61">
        <v>5.762</v>
      </c>
      <c r="C18" s="10">
        <v>7.201</v>
      </c>
      <c r="D18" s="62">
        <v>7.3</v>
      </c>
      <c r="E18" s="63">
        <v>7.4</v>
      </c>
      <c r="F18" s="17">
        <v>7.5</v>
      </c>
      <c r="G18" s="64">
        <v>8.4</v>
      </c>
      <c r="H18" s="6">
        <f t="shared" si="2"/>
        <v>6.093164010616436</v>
      </c>
      <c r="I18" s="6">
        <f t="shared" si="4"/>
        <v>1.3748090542980096</v>
      </c>
      <c r="J18" s="6">
        <f t="shared" si="4"/>
        <v>1.3698630136986356</v>
      </c>
      <c r="K18" s="6">
        <f t="shared" si="4"/>
        <v>1.3513513513513375</v>
      </c>
      <c r="L18" s="23">
        <f t="shared" si="1"/>
        <v>1.1765117378662149</v>
      </c>
    </row>
    <row r="19" spans="1:12" s="7" customFormat="1" ht="12">
      <c r="A19" s="24" t="s">
        <v>86</v>
      </c>
      <c r="B19" s="75">
        <v>7.001</v>
      </c>
      <c r="C19" s="46">
        <v>8.153</v>
      </c>
      <c r="D19" s="76">
        <v>8.425</v>
      </c>
      <c r="E19" s="79">
        <v>8.75</v>
      </c>
      <c r="F19" s="80">
        <v>9.2</v>
      </c>
      <c r="G19" s="81">
        <v>15.9</v>
      </c>
      <c r="H19" s="6">
        <f t="shared" si="2"/>
        <v>4.737561387664657</v>
      </c>
      <c r="I19" s="6">
        <f t="shared" si="4"/>
        <v>3.3361952655464266</v>
      </c>
      <c r="J19" s="6">
        <f t="shared" si="4"/>
        <v>3.857566765578624</v>
      </c>
      <c r="K19" s="6">
        <f t="shared" si="4"/>
        <v>5.142857142857138</v>
      </c>
      <c r="L19" s="23">
        <f t="shared" si="1"/>
        <v>5.435193941650018</v>
      </c>
    </row>
    <row r="20" spans="1:12" s="7" customFormat="1" ht="12">
      <c r="A20" s="24" t="s">
        <v>39</v>
      </c>
      <c r="B20" s="61">
        <v>7.15</v>
      </c>
      <c r="C20" s="10">
        <v>6.791</v>
      </c>
      <c r="D20" s="62">
        <v>6.89</v>
      </c>
      <c r="E20" s="63">
        <v>6.985</v>
      </c>
      <c r="F20" s="17">
        <v>7.08</v>
      </c>
      <c r="G20" s="64">
        <v>7.915</v>
      </c>
      <c r="H20" s="6">
        <f t="shared" si="2"/>
        <v>-0.9217573221021125</v>
      </c>
      <c r="I20" s="6">
        <f t="shared" si="4"/>
        <v>1.4578118097481774</v>
      </c>
      <c r="J20" s="6">
        <f t="shared" si="4"/>
        <v>1.3788098693759077</v>
      </c>
      <c r="K20" s="6">
        <f t="shared" si="4"/>
        <v>1.3600572655690701</v>
      </c>
      <c r="L20" s="23">
        <f t="shared" si="1"/>
        <v>1.1624428626155536</v>
      </c>
    </row>
    <row r="21" spans="1:12" s="7" customFormat="1" ht="12">
      <c r="A21" s="24" t="s">
        <v>88</v>
      </c>
      <c r="B21" s="61">
        <v>20.407</v>
      </c>
      <c r="C21" s="10">
        <v>20.603</v>
      </c>
      <c r="D21" s="62">
        <v>20.8</v>
      </c>
      <c r="E21" s="63">
        <v>21</v>
      </c>
      <c r="F21" s="17">
        <v>21.19</v>
      </c>
      <c r="G21" s="64">
        <v>21.38</v>
      </c>
      <c r="H21" s="6">
        <f t="shared" si="2"/>
        <v>0.4780140458184867</v>
      </c>
      <c r="I21" s="6">
        <f t="shared" si="4"/>
        <v>0.9561714313449432</v>
      </c>
      <c r="J21" s="6">
        <f t="shared" si="4"/>
        <v>0.9615384615384581</v>
      </c>
      <c r="K21" s="6">
        <f t="shared" si="4"/>
        <v>0.9047619047619193</v>
      </c>
      <c r="L21" s="23">
        <f t="shared" si="1"/>
        <v>0.22945383406411946</v>
      </c>
    </row>
    <row r="22" spans="1:12" s="7" customFormat="1" ht="12">
      <c r="A22" s="24" t="s">
        <v>120</v>
      </c>
      <c r="B22" s="175" t="s">
        <v>93</v>
      </c>
      <c r="C22" s="11" t="s">
        <v>93</v>
      </c>
      <c r="D22" s="20" t="s">
        <v>93</v>
      </c>
      <c r="E22" s="91">
        <v>7.7</v>
      </c>
      <c r="F22" s="17">
        <v>10</v>
      </c>
      <c r="G22" s="64">
        <v>15.41</v>
      </c>
      <c r="H22" s="6" t="s">
        <v>93</v>
      </c>
      <c r="I22" s="6" t="s">
        <v>93</v>
      </c>
      <c r="J22" s="6" t="s">
        <v>93</v>
      </c>
      <c r="K22" s="6">
        <f t="shared" si="4"/>
        <v>29.87012987012987</v>
      </c>
      <c r="L22" s="23" t="s">
        <v>93</v>
      </c>
    </row>
    <row r="23" spans="1:12" s="7" customFormat="1" ht="12">
      <c r="A23" s="24" t="s">
        <v>87</v>
      </c>
      <c r="B23" s="61">
        <v>6.7</v>
      </c>
      <c r="C23" s="10">
        <v>6.213</v>
      </c>
      <c r="D23" s="62">
        <v>6.18</v>
      </c>
      <c r="E23" s="63">
        <v>6.15</v>
      </c>
      <c r="F23" s="17">
        <v>6.12</v>
      </c>
      <c r="G23" s="64">
        <v>5.83</v>
      </c>
      <c r="H23" s="6">
        <f t="shared" si="2"/>
        <v>-1.999471427177013</v>
      </c>
      <c r="I23" s="6">
        <f t="shared" si="4"/>
        <v>-0.5311443746982225</v>
      </c>
      <c r="J23" s="6">
        <f t="shared" si="4"/>
        <v>-0.4854368932038722</v>
      </c>
      <c r="K23" s="6">
        <f t="shared" si="4"/>
        <v>-0.4878048780487809</v>
      </c>
      <c r="L23" s="23">
        <f t="shared" si="1"/>
        <v>-0.484665613317381</v>
      </c>
    </row>
    <row r="24" spans="1:12" s="7" customFormat="1" ht="12">
      <c r="A24" s="24"/>
      <c r="B24" s="61"/>
      <c r="C24" s="37"/>
      <c r="D24" s="77"/>
      <c r="E24" s="82"/>
      <c r="F24" s="38"/>
      <c r="G24" s="78"/>
      <c r="H24" s="6"/>
      <c r="I24" s="6"/>
      <c r="J24" s="12"/>
      <c r="K24" s="11"/>
      <c r="L24" s="23"/>
    </row>
    <row r="25" spans="1:12" s="7" customFormat="1" ht="12">
      <c r="A25" s="24" t="s">
        <v>147</v>
      </c>
      <c r="B25" s="63">
        <f>+(B27+B30+B33+B34+B36)</f>
        <v>29.958</v>
      </c>
      <c r="C25" s="10">
        <f>+(C27+C30+C33+C34+C36)</f>
        <v>27.049</v>
      </c>
      <c r="D25" s="64">
        <f>+(D27+D30+D33+D34+D36)</f>
        <v>27.255000000000003</v>
      </c>
      <c r="E25" s="61">
        <f>+(E27+E30+E33+E34+E35+E36)</f>
        <v>27.900000000000002</v>
      </c>
      <c r="F25" s="10">
        <f>+(F27+F30+F33+F34+F35+F36)</f>
        <v>28.330000000000002</v>
      </c>
      <c r="G25" s="62">
        <f>+(G27+G30+G33+G34+G35+G36)</f>
        <v>32.809999999999995</v>
      </c>
      <c r="H25" s="6">
        <f>+((EXP((LN(D25)-LN(B25))/4))-1)*(100)</f>
        <v>-2.336262011789436</v>
      </c>
      <c r="I25" s="6">
        <f aca="true" t="shared" si="6" ref="I25:I36">((D25/C25)-1)*100</f>
        <v>0.761580834781328</v>
      </c>
      <c r="J25" s="6">
        <f aca="true" t="shared" si="7" ref="J25:J36">((E25/D25)-1)*100</f>
        <v>2.3665382498624155</v>
      </c>
      <c r="K25" s="6">
        <f aca="true" t="shared" si="8" ref="K25:K36">((F25/E25)-1)*100</f>
        <v>1.541218637992836</v>
      </c>
      <c r="L25" s="23">
        <f aca="true" t="shared" si="9" ref="L25:L36">+((EXP((LN(G25)-LN(D25))/12))-1)*(100)</f>
        <v>1.5578123050131287</v>
      </c>
    </row>
    <row r="26" spans="1:12" s="7" customFormat="1" ht="12">
      <c r="A26" s="24" t="s">
        <v>149</v>
      </c>
      <c r="B26" s="61">
        <f>B25</f>
        <v>29.958</v>
      </c>
      <c r="C26" s="153">
        <f>C25</f>
        <v>27.049</v>
      </c>
      <c r="D26" s="62">
        <f>D25</f>
        <v>27.255000000000003</v>
      </c>
      <c r="E26" s="63">
        <v>27.5</v>
      </c>
      <c r="F26" s="45">
        <v>27.89</v>
      </c>
      <c r="G26" s="62">
        <v>32.315</v>
      </c>
      <c r="H26" s="6">
        <f aca="true" t="shared" si="10" ref="H26:H46">+((EXP((LN(D26)-LN(B26))/4))-1)*(100)</f>
        <v>-2.336262011789436</v>
      </c>
      <c r="I26" s="6">
        <f>((D26/C26)-1)*100</f>
        <v>0.761580834781328</v>
      </c>
      <c r="J26" s="6">
        <f>((E26/D26)-1)*100</f>
        <v>0.8989176297926837</v>
      </c>
      <c r="K26" s="6">
        <f>((F26/E26)-1)*100</f>
        <v>1.4181818181818295</v>
      </c>
      <c r="L26" s="23">
        <f>+((EXP((LN(G26)-LN(D26))/12))-1)*(100)</f>
        <v>1.4292383937350994</v>
      </c>
    </row>
    <row r="27" spans="1:12" s="7" customFormat="1" ht="12">
      <c r="A27" s="24" t="s">
        <v>38</v>
      </c>
      <c r="B27" s="63">
        <f aca="true" t="shared" si="11" ref="B27:G27">B28+B29</f>
        <v>21.491999999999997</v>
      </c>
      <c r="C27" s="10">
        <f t="shared" si="11"/>
        <v>18.79</v>
      </c>
      <c r="D27" s="64">
        <f t="shared" si="11"/>
        <v>18.82</v>
      </c>
      <c r="E27" s="63">
        <f t="shared" si="11"/>
        <v>18.855</v>
      </c>
      <c r="F27" s="17">
        <f t="shared" si="11"/>
        <v>18.905</v>
      </c>
      <c r="G27" s="64">
        <f t="shared" si="11"/>
        <v>19.49</v>
      </c>
      <c r="H27" s="6">
        <f t="shared" si="10"/>
        <v>-3.264540973894048</v>
      </c>
      <c r="I27" s="6">
        <f t="shared" si="6"/>
        <v>0.15965939329432022</v>
      </c>
      <c r="J27" s="6">
        <f t="shared" si="7"/>
        <v>0.18597236981934273</v>
      </c>
      <c r="K27" s="6">
        <f t="shared" si="8"/>
        <v>0.26518164942985756</v>
      </c>
      <c r="L27" s="23">
        <f t="shared" si="9"/>
        <v>0.2919368026163882</v>
      </c>
    </row>
    <row r="28" spans="1:12" s="7" customFormat="1" ht="12">
      <c r="A28" s="24" t="s">
        <v>89</v>
      </c>
      <c r="B28" s="63">
        <v>18.089</v>
      </c>
      <c r="C28" s="10">
        <v>16.483</v>
      </c>
      <c r="D28" s="62">
        <v>16.52</v>
      </c>
      <c r="E28" s="63">
        <v>16.565</v>
      </c>
      <c r="F28" s="17">
        <v>16.62</v>
      </c>
      <c r="G28" s="64">
        <v>17.27</v>
      </c>
      <c r="H28" s="6">
        <f t="shared" si="10"/>
        <v>-2.2427736163534218</v>
      </c>
      <c r="I28" s="6">
        <f t="shared" si="6"/>
        <v>0.22447370017593116</v>
      </c>
      <c r="J28" s="6">
        <f t="shared" si="7"/>
        <v>0.27239709443100946</v>
      </c>
      <c r="K28" s="6">
        <f t="shared" si="8"/>
        <v>0.3320253546634344</v>
      </c>
      <c r="L28" s="23">
        <f t="shared" si="9"/>
        <v>0.37067801848837956</v>
      </c>
    </row>
    <row r="29" spans="1:12" s="7" customFormat="1" ht="12">
      <c r="A29" s="24" t="s">
        <v>90</v>
      </c>
      <c r="B29" s="63">
        <v>3.403</v>
      </c>
      <c r="C29" s="10">
        <v>2.307</v>
      </c>
      <c r="D29" s="62">
        <v>2.3</v>
      </c>
      <c r="E29" s="63">
        <v>2.29</v>
      </c>
      <c r="F29" s="17">
        <v>2.285</v>
      </c>
      <c r="G29" s="64">
        <v>2.22</v>
      </c>
      <c r="H29" s="6">
        <f t="shared" si="10"/>
        <v>-9.329403735417074</v>
      </c>
      <c r="I29" s="6">
        <f t="shared" si="6"/>
        <v>-0.30342436064153544</v>
      </c>
      <c r="J29" s="6">
        <f t="shared" si="7"/>
        <v>-0.43478260869563856</v>
      </c>
      <c r="K29" s="6">
        <f t="shared" si="8"/>
        <v>-0.21834061135370675</v>
      </c>
      <c r="L29" s="23">
        <f t="shared" si="9"/>
        <v>-0.294581314010367</v>
      </c>
    </row>
    <row r="30" spans="1:12" s="7" customFormat="1" ht="12">
      <c r="A30" s="24" t="s">
        <v>84</v>
      </c>
      <c r="B30" s="63">
        <f aca="true" t="shared" si="12" ref="B30:G30">B31+B32</f>
        <v>4.634</v>
      </c>
      <c r="C30" s="10">
        <f t="shared" si="12"/>
        <v>4.496</v>
      </c>
      <c r="D30" s="64">
        <f t="shared" si="12"/>
        <v>4.64</v>
      </c>
      <c r="E30" s="63">
        <f t="shared" si="12"/>
        <v>4.8100000000000005</v>
      </c>
      <c r="F30" s="17">
        <f t="shared" si="12"/>
        <v>5.029999999999999</v>
      </c>
      <c r="G30" s="64">
        <f t="shared" si="12"/>
        <v>8.315</v>
      </c>
      <c r="H30" s="6">
        <f t="shared" si="10"/>
        <v>0.03235373839280964</v>
      </c>
      <c r="I30" s="6">
        <f t="shared" si="6"/>
        <v>3.2028469750889466</v>
      </c>
      <c r="J30" s="6">
        <f t="shared" si="7"/>
        <v>3.6637931034482873</v>
      </c>
      <c r="K30" s="6">
        <f t="shared" si="8"/>
        <v>4.573804573804541</v>
      </c>
      <c r="L30" s="23">
        <f t="shared" si="9"/>
        <v>4.981318455370931</v>
      </c>
    </row>
    <row r="31" spans="1:12" s="7" customFormat="1" ht="12">
      <c r="A31" s="24" t="s">
        <v>85</v>
      </c>
      <c r="B31" s="63">
        <v>1.986</v>
      </c>
      <c r="C31" s="10">
        <v>1.787</v>
      </c>
      <c r="D31" s="62">
        <v>1.82</v>
      </c>
      <c r="E31" s="63">
        <v>1.85</v>
      </c>
      <c r="F31" s="17">
        <v>1.88</v>
      </c>
      <c r="G31" s="64">
        <v>2.15</v>
      </c>
      <c r="H31" s="6">
        <f t="shared" si="10"/>
        <v>-2.158514926676236</v>
      </c>
      <c r="I31" s="6">
        <f t="shared" si="6"/>
        <v>1.8466703973139431</v>
      </c>
      <c r="J31" s="6">
        <f t="shared" si="7"/>
        <v>1.6483516483516425</v>
      </c>
      <c r="K31" s="6">
        <f t="shared" si="8"/>
        <v>1.621621621621605</v>
      </c>
      <c r="L31" s="23">
        <f t="shared" si="9"/>
        <v>1.398280262327578</v>
      </c>
    </row>
    <row r="32" spans="1:12" s="7" customFormat="1" ht="12">
      <c r="A32" s="24" t="s">
        <v>86</v>
      </c>
      <c r="B32" s="63">
        <v>2.648</v>
      </c>
      <c r="C32" s="10">
        <v>2.709</v>
      </c>
      <c r="D32" s="62">
        <v>2.82</v>
      </c>
      <c r="E32" s="63">
        <v>2.96</v>
      </c>
      <c r="F32" s="45">
        <v>3.15</v>
      </c>
      <c r="G32" s="64">
        <v>6.165</v>
      </c>
      <c r="H32" s="6">
        <f t="shared" si="10"/>
        <v>1.585747796078496</v>
      </c>
      <c r="I32" s="6">
        <f t="shared" si="6"/>
        <v>4.097452934662238</v>
      </c>
      <c r="J32" s="6">
        <f t="shared" si="7"/>
        <v>4.964539007092195</v>
      </c>
      <c r="K32" s="6">
        <f t="shared" si="8"/>
        <v>6.4189189189189255</v>
      </c>
      <c r="L32" s="23">
        <f t="shared" si="9"/>
        <v>6.735035216922247</v>
      </c>
    </row>
    <row r="33" spans="1:12" s="7" customFormat="1" ht="12">
      <c r="A33" s="24" t="s">
        <v>39</v>
      </c>
      <c r="B33" s="63">
        <v>2.191</v>
      </c>
      <c r="C33" s="10">
        <v>2.192</v>
      </c>
      <c r="D33" s="62">
        <v>2.225</v>
      </c>
      <c r="E33" s="63">
        <v>2.265</v>
      </c>
      <c r="F33" s="45">
        <v>2.295</v>
      </c>
      <c r="G33" s="64">
        <v>2.6</v>
      </c>
      <c r="H33" s="6">
        <f t="shared" si="10"/>
        <v>0.38571334173433947</v>
      </c>
      <c r="I33" s="6">
        <f t="shared" si="6"/>
        <v>1.5054744525547337</v>
      </c>
      <c r="J33" s="6">
        <f t="shared" si="7"/>
        <v>1.7977528089887729</v>
      </c>
      <c r="K33" s="6">
        <f t="shared" si="8"/>
        <v>1.3245033112582627</v>
      </c>
      <c r="L33" s="23">
        <f t="shared" si="9"/>
        <v>1.306414402669298</v>
      </c>
    </row>
    <row r="34" spans="1:12" s="7" customFormat="1" ht="12">
      <c r="A34" s="24" t="s">
        <v>88</v>
      </c>
      <c r="B34" s="63">
        <v>1.28</v>
      </c>
      <c r="C34" s="17">
        <v>1.296</v>
      </c>
      <c r="D34" s="64">
        <v>1.3</v>
      </c>
      <c r="E34" s="61">
        <v>1.315</v>
      </c>
      <c r="F34" s="10">
        <v>1.33</v>
      </c>
      <c r="G34" s="64">
        <v>1.36</v>
      </c>
      <c r="H34" s="6">
        <f t="shared" si="10"/>
        <v>0.3883568217609046</v>
      </c>
      <c r="I34" s="6">
        <f t="shared" si="6"/>
        <v>0.30864197530864335</v>
      </c>
      <c r="J34" s="6">
        <f t="shared" si="7"/>
        <v>1.1538461538461497</v>
      </c>
      <c r="K34" s="6">
        <f t="shared" si="8"/>
        <v>1.1406844106463865</v>
      </c>
      <c r="L34" s="23">
        <f t="shared" si="9"/>
        <v>0.3767114077914746</v>
      </c>
    </row>
    <row r="35" spans="1:12" s="7" customFormat="1" ht="12">
      <c r="A35" s="24" t="s">
        <v>120</v>
      </c>
      <c r="B35" s="175" t="s">
        <v>93</v>
      </c>
      <c r="C35" s="11" t="s">
        <v>93</v>
      </c>
      <c r="D35" s="20" t="s">
        <v>93</v>
      </c>
      <c r="E35" s="91">
        <v>0.385</v>
      </c>
      <c r="F35" s="17">
        <v>0.5</v>
      </c>
      <c r="G35" s="64">
        <v>0.785</v>
      </c>
      <c r="H35" s="6" t="s">
        <v>93</v>
      </c>
      <c r="I35" s="6" t="s">
        <v>93</v>
      </c>
      <c r="J35" s="6" t="s">
        <v>93</v>
      </c>
      <c r="K35" s="6">
        <f t="shared" si="8"/>
        <v>29.87012987012987</v>
      </c>
      <c r="L35" s="23" t="s">
        <v>93</v>
      </c>
    </row>
    <row r="36" spans="1:12" s="7" customFormat="1" ht="12">
      <c r="A36" s="24" t="s">
        <v>87</v>
      </c>
      <c r="B36" s="63">
        <v>0.361</v>
      </c>
      <c r="C36" s="17">
        <v>0.275</v>
      </c>
      <c r="D36" s="64">
        <v>0.27</v>
      </c>
      <c r="E36" s="61">
        <v>0.27</v>
      </c>
      <c r="F36" s="10">
        <v>0.27</v>
      </c>
      <c r="G36" s="64">
        <v>0.26</v>
      </c>
      <c r="H36" s="6">
        <f t="shared" si="10"/>
        <v>-7.0040274636782645</v>
      </c>
      <c r="I36" s="6">
        <f t="shared" si="6"/>
        <v>-1.8181818181818188</v>
      </c>
      <c r="J36" s="6">
        <f t="shared" si="7"/>
        <v>0</v>
      </c>
      <c r="K36" s="6">
        <f t="shared" si="8"/>
        <v>0</v>
      </c>
      <c r="L36" s="23">
        <f t="shared" si="9"/>
        <v>-0.3140086914051543</v>
      </c>
    </row>
    <row r="37" spans="1:12" s="7" customFormat="1" ht="12">
      <c r="A37" s="24"/>
      <c r="B37" s="63"/>
      <c r="C37" s="17"/>
      <c r="D37" s="64"/>
      <c r="E37" s="61"/>
      <c r="F37" s="10"/>
      <c r="G37" s="62"/>
      <c r="H37" s="6"/>
      <c r="I37" s="12"/>
      <c r="J37" s="11"/>
      <c r="K37" s="11"/>
      <c r="L37" s="23"/>
    </row>
    <row r="38" spans="1:12" s="7" customFormat="1" ht="12">
      <c r="A38" s="24" t="s">
        <v>150</v>
      </c>
      <c r="B38" s="63">
        <f aca="true" t="shared" si="13" ref="B38:G39">(B25/B12)*1000</f>
        <v>137.71703603591178</v>
      </c>
      <c r="C38" s="10">
        <f t="shared" si="13"/>
        <v>128.4377967711301</v>
      </c>
      <c r="D38" s="64">
        <f t="shared" si="13"/>
        <v>128.99027426110416</v>
      </c>
      <c r="E38" s="63">
        <f t="shared" si="13"/>
        <v>126.94512694512694</v>
      </c>
      <c r="F38" s="10">
        <f t="shared" si="13"/>
        <v>126.98341550874048</v>
      </c>
      <c r="G38" s="64">
        <f t="shared" si="13"/>
        <v>136.6684716957554</v>
      </c>
      <c r="H38" s="6">
        <f t="shared" si="10"/>
        <v>-1.6232831291267957</v>
      </c>
      <c r="I38" s="6">
        <f aca="true" t="shared" si="14" ref="I38:K42">((D38/C38)-1)*100</f>
        <v>0.4301517963271717</v>
      </c>
      <c r="J38" s="6">
        <f t="shared" si="14"/>
        <v>-1.5855050527587844</v>
      </c>
      <c r="K38" s="6">
        <f t="shared" si="14"/>
        <v>0.03016150720782651</v>
      </c>
      <c r="L38" s="23">
        <f>+((EXP((LN(G38)-LN(D38))/12))-1)*(100)</f>
        <v>0.48300497885191973</v>
      </c>
    </row>
    <row r="39" spans="1:12" s="7" customFormat="1" ht="12">
      <c r="A39" s="24" t="s">
        <v>151</v>
      </c>
      <c r="B39" s="63">
        <f t="shared" si="13"/>
        <v>137.71703603591178</v>
      </c>
      <c r="C39" s="10">
        <f t="shared" si="13"/>
        <v>128.4377967711301</v>
      </c>
      <c r="D39" s="64">
        <f t="shared" si="13"/>
        <v>128.99027426110416</v>
      </c>
      <c r="E39" s="63">
        <f t="shared" si="13"/>
        <v>129.6680497925311</v>
      </c>
      <c r="F39" s="10">
        <f t="shared" si="13"/>
        <v>130.87752229000472</v>
      </c>
      <c r="G39" s="64">
        <f t="shared" si="13"/>
        <v>143.83957980948986</v>
      </c>
      <c r="H39" s="6">
        <f t="shared" si="10"/>
        <v>-1.6232831291267957</v>
      </c>
      <c r="I39" s="6">
        <f>((D39/C39)-1)*100</f>
        <v>0.4301517963271717</v>
      </c>
      <c r="J39" s="6">
        <f>((E39/D39)-1)*100</f>
        <v>0.5254470038996706</v>
      </c>
      <c r="K39" s="6">
        <f>((F39/E39)-1)*100</f>
        <v>0.9327451900516648</v>
      </c>
      <c r="L39" s="23">
        <f>+((EXP((LN(G39)-LN(D39))/12))-1)*(100)</f>
        <v>0.9121486274273671</v>
      </c>
    </row>
    <row r="40" spans="1:12" s="7" customFormat="1" ht="12">
      <c r="A40" s="24" t="s">
        <v>38</v>
      </c>
      <c r="B40" s="63">
        <f aca="true" t="shared" si="15" ref="B40:G40">(B27/B14)*1000</f>
        <v>126.04317559364972</v>
      </c>
      <c r="C40" s="10">
        <f t="shared" si="15"/>
        <v>116.24669788850461</v>
      </c>
      <c r="D40" s="64">
        <f t="shared" si="15"/>
        <v>116.38837353123068</v>
      </c>
      <c r="E40" s="63">
        <f t="shared" si="15"/>
        <v>116.53635773664203</v>
      </c>
      <c r="F40" s="10">
        <f t="shared" si="15"/>
        <v>116.69032775754584</v>
      </c>
      <c r="G40" s="64">
        <f t="shared" si="15"/>
        <v>117.95321814385571</v>
      </c>
      <c r="H40" s="6">
        <f t="shared" si="10"/>
        <v>-1.9725815439858296</v>
      </c>
      <c r="I40" s="6">
        <f t="shared" si="14"/>
        <v>0.12187498251516882</v>
      </c>
      <c r="J40" s="6">
        <f t="shared" si="14"/>
        <v>0.1271468969979539</v>
      </c>
      <c r="K40" s="6">
        <f t="shared" si="14"/>
        <v>0.13212187500468708</v>
      </c>
      <c r="L40" s="23">
        <f>+((EXP((LN(G40)-LN(D40))/12))-1)*(100)</f>
        <v>0.11135731369671387</v>
      </c>
    </row>
    <row r="41" spans="1:12" s="7" customFormat="1" ht="12">
      <c r="A41" s="24" t="s">
        <v>84</v>
      </c>
      <c r="B41" s="63">
        <f aca="true" t="shared" si="16" ref="B41:G41">(B30/B17)*1000</f>
        <v>363.0807803807882</v>
      </c>
      <c r="C41" s="10">
        <f t="shared" si="16"/>
        <v>292.8227172072425</v>
      </c>
      <c r="D41" s="64">
        <f t="shared" si="16"/>
        <v>295.07154213036563</v>
      </c>
      <c r="E41" s="63">
        <f t="shared" si="16"/>
        <v>297.8328173374614</v>
      </c>
      <c r="F41" s="10">
        <f t="shared" si="16"/>
        <v>301.1976047904191</v>
      </c>
      <c r="G41" s="64">
        <f t="shared" si="16"/>
        <v>342.18106995884773</v>
      </c>
      <c r="H41" s="6">
        <f t="shared" si="10"/>
        <v>-5.053050396328073</v>
      </c>
      <c r="I41" s="6">
        <f t="shared" si="14"/>
        <v>0.7679817141822198</v>
      </c>
      <c r="J41" s="6">
        <f t="shared" si="14"/>
        <v>0.9357985480944242</v>
      </c>
      <c r="K41" s="6">
        <f t="shared" si="14"/>
        <v>1.1297571177810273</v>
      </c>
      <c r="L41" s="23">
        <f>+((EXP((LN(G41)-LN(D41))/12))-1)*(100)</f>
        <v>1.242001217197708</v>
      </c>
    </row>
    <row r="42" spans="1:12" s="7" customFormat="1" ht="12">
      <c r="A42" s="24" t="s">
        <v>39</v>
      </c>
      <c r="B42" s="63">
        <f aca="true" t="shared" si="17" ref="B42:G42">(B33/B20)*1000</f>
        <v>306.4335664335664</v>
      </c>
      <c r="C42" s="10">
        <f t="shared" si="17"/>
        <v>322.7801501987925</v>
      </c>
      <c r="D42" s="64">
        <f t="shared" si="17"/>
        <v>322.9317851959362</v>
      </c>
      <c r="E42" s="63">
        <f t="shared" si="17"/>
        <v>324.2662848962062</v>
      </c>
      <c r="F42" s="10">
        <f t="shared" si="17"/>
        <v>324.1525423728813</v>
      </c>
      <c r="G42" s="64">
        <f t="shared" si="17"/>
        <v>328.49020846494</v>
      </c>
      <c r="H42" s="6">
        <f t="shared" si="10"/>
        <v>1.3196344913857905</v>
      </c>
      <c r="I42" s="6">
        <f t="shared" si="14"/>
        <v>0.04697779496363186</v>
      </c>
      <c r="J42" s="6">
        <f t="shared" si="14"/>
        <v>0.4132450757240447</v>
      </c>
      <c r="K42" s="6">
        <f t="shared" si="14"/>
        <v>-0.035076888539697926</v>
      </c>
      <c r="L42" s="23">
        <f>+((EXP((LN(G42)-LN(D42))/12))-1)*(100)</f>
        <v>0.1423171841048232</v>
      </c>
    </row>
    <row r="43" spans="1:12" s="7" customFormat="1" ht="12">
      <c r="A43" s="24"/>
      <c r="B43" s="63"/>
      <c r="C43" s="38"/>
      <c r="D43" s="78"/>
      <c r="E43" s="83"/>
      <c r="F43" s="37"/>
      <c r="G43" s="77"/>
      <c r="H43" s="6"/>
      <c r="I43" s="12"/>
      <c r="J43" s="11"/>
      <c r="K43" s="11"/>
      <c r="L43" s="23"/>
    </row>
    <row r="44" spans="1:12" s="7" customFormat="1" ht="12">
      <c r="A44" s="24" t="s">
        <v>40</v>
      </c>
      <c r="B44" s="63">
        <v>631.629</v>
      </c>
      <c r="C44" s="17">
        <v>625.011</v>
      </c>
      <c r="D44" s="64">
        <v>618.633</v>
      </c>
      <c r="E44" s="61">
        <v>635.045</v>
      </c>
      <c r="F44" s="10">
        <v>647.64</v>
      </c>
      <c r="G44" s="62">
        <v>750.26</v>
      </c>
      <c r="H44" s="6">
        <f t="shared" si="10"/>
        <v>-0.5184014220995903</v>
      </c>
      <c r="I44" s="12">
        <f aca="true" t="shared" si="18" ref="I44:K46">((D44/C44)-1)*100</f>
        <v>-1.0204620398680864</v>
      </c>
      <c r="J44" s="11">
        <f t="shared" si="18"/>
        <v>2.6529460924328285</v>
      </c>
      <c r="K44" s="12">
        <f t="shared" si="18"/>
        <v>1.9833240164082833</v>
      </c>
      <c r="L44" s="23">
        <f>+((EXP((LN(G44)-LN(D44))/12))-1)*(100)</f>
        <v>1.6205542191926936</v>
      </c>
    </row>
    <row r="45" spans="1:12" s="7" customFormat="1" ht="12">
      <c r="A45" s="24" t="s">
        <v>152</v>
      </c>
      <c r="B45" s="63">
        <v>631.629</v>
      </c>
      <c r="C45" s="17">
        <v>625.011</v>
      </c>
      <c r="D45" s="64">
        <v>618.633</v>
      </c>
      <c r="E45" s="61">
        <v>627.545</v>
      </c>
      <c r="F45" s="10">
        <v>637.74</v>
      </c>
      <c r="G45" s="62">
        <v>738.36</v>
      </c>
      <c r="H45" s="6">
        <f t="shared" si="10"/>
        <v>-0.5184014220995903</v>
      </c>
      <c r="I45" s="12">
        <f>((D45/C45)-1)*100</f>
        <v>-1.0204620398680864</v>
      </c>
      <c r="J45" s="11">
        <f>((E45/D45)-1)*100</f>
        <v>1.44059563586163</v>
      </c>
      <c r="K45" s="12">
        <f>((F45/E45)-1)*100</f>
        <v>1.624584691137687</v>
      </c>
      <c r="L45" s="23">
        <f>+((EXP((LN(G45)-LN(D45))/12))-1)*(100)</f>
        <v>1.4852493623858543</v>
      </c>
    </row>
    <row r="46" spans="1:12" s="7" customFormat="1" ht="12.75" thickBot="1">
      <c r="A46" s="36" t="s">
        <v>41</v>
      </c>
      <c r="B46" s="70">
        <v>315.1</v>
      </c>
      <c r="C46" s="26">
        <v>315.413</v>
      </c>
      <c r="D46" s="67">
        <v>313.545</v>
      </c>
      <c r="E46" s="66">
        <v>318.5</v>
      </c>
      <c r="F46" s="27">
        <v>324</v>
      </c>
      <c r="G46" s="73">
        <v>379.2</v>
      </c>
      <c r="H46" s="92">
        <f t="shared" si="10"/>
        <v>-0.12360250713217003</v>
      </c>
      <c r="I46" s="21">
        <f t="shared" si="18"/>
        <v>-0.5922393813824978</v>
      </c>
      <c r="J46" s="22">
        <f t="shared" si="18"/>
        <v>1.5803154252180596</v>
      </c>
      <c r="K46" s="21">
        <f t="shared" si="18"/>
        <v>1.7268445839874413</v>
      </c>
      <c r="L46" s="29">
        <f>+((EXP((LN(G46)-LN(D46))/12))-1)*(100)</f>
        <v>1.5969578880823176</v>
      </c>
    </row>
    <row r="47" spans="1:12" s="7" customFormat="1" ht="12">
      <c r="A47" s="14"/>
      <c r="B47" s="9"/>
      <c r="C47" s="17"/>
      <c r="D47" s="9"/>
      <c r="E47" s="17"/>
      <c r="F47" s="9"/>
      <c r="G47" s="17"/>
      <c r="H47" s="12"/>
      <c r="I47" s="12"/>
      <c r="J47" s="12"/>
      <c r="K47" s="12"/>
      <c r="L47" s="12"/>
    </row>
    <row r="48" s="7" customFormat="1" ht="12">
      <c r="A48" s="7" t="s">
        <v>196</v>
      </c>
    </row>
    <row r="49" s="7" customFormat="1" ht="12">
      <c r="A49" s="7" t="s">
        <v>195</v>
      </c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2" ht="12.75">
      <c r="A51" s="226" t="s">
        <v>205</v>
      </c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</sheetData>
  <mergeCells count="1">
    <mergeCell ref="A51:L51"/>
  </mergeCells>
  <printOptions horizontalCentered="1" verticalCentered="1"/>
  <pageMargins left="0" right="0" top="0.4" bottom="0.4" header="0.5" footer="0.5"/>
  <pageSetup horizontalDpi="300" verticalDpi="3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7" width="8.7109375" style="0" customWidth="1"/>
    <col min="8" max="11" width="7.7109375" style="0" customWidth="1"/>
    <col min="12" max="12" width="9.8515625" style="0" customWidth="1"/>
  </cols>
  <sheetData>
    <row r="1" spans="1:12" ht="15.75">
      <c r="A1" s="3" t="s">
        <v>99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5" t="s">
        <v>21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5" t="s">
        <v>43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8">
      <c r="A6" s="5" t="s">
        <v>154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3.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32" customFormat="1" ht="12.75" thickBot="1">
      <c r="A8" s="190" t="s">
        <v>44</v>
      </c>
      <c r="B8" s="59" t="s">
        <v>1</v>
      </c>
      <c r="C8" s="30"/>
      <c r="D8" s="31"/>
      <c r="E8" s="59" t="s">
        <v>2</v>
      </c>
      <c r="F8" s="30"/>
      <c r="G8" s="31"/>
      <c r="H8" s="30" t="s">
        <v>3</v>
      </c>
      <c r="I8" s="30"/>
      <c r="J8" s="30"/>
      <c r="K8" s="30"/>
      <c r="L8" s="31"/>
    </row>
    <row r="9" spans="1:12" s="32" customFormat="1" ht="12">
      <c r="A9" s="189" t="s">
        <v>45</v>
      </c>
      <c r="B9" s="55">
        <v>2000</v>
      </c>
      <c r="C9" s="39">
        <v>2003</v>
      </c>
      <c r="D9" s="60">
        <v>2004</v>
      </c>
      <c r="E9" s="59">
        <v>2005</v>
      </c>
      <c r="F9" s="170">
        <v>2006</v>
      </c>
      <c r="G9" s="171">
        <f>D9+12</f>
        <v>2016</v>
      </c>
      <c r="H9" s="33" t="s">
        <v>162</v>
      </c>
      <c r="I9" s="40" t="s">
        <v>101</v>
      </c>
      <c r="J9" s="54" t="s">
        <v>132</v>
      </c>
      <c r="K9" s="40" t="s">
        <v>155</v>
      </c>
      <c r="L9" s="160" t="s">
        <v>156</v>
      </c>
    </row>
    <row r="10" spans="1:12" s="7" customFormat="1" ht="12">
      <c r="A10" s="24"/>
      <c r="B10" s="24"/>
      <c r="C10" s="8"/>
      <c r="D10" s="19"/>
      <c r="E10" s="24"/>
      <c r="F10" s="8"/>
      <c r="G10" s="19"/>
      <c r="H10" s="14"/>
      <c r="I10" s="8"/>
      <c r="J10" s="14"/>
      <c r="K10" s="8"/>
      <c r="L10" s="68"/>
    </row>
    <row r="11" spans="1:12" s="7" customFormat="1" ht="12">
      <c r="A11" s="56" t="s">
        <v>46</v>
      </c>
      <c r="B11" s="24"/>
      <c r="C11" s="8"/>
      <c r="D11" s="19"/>
      <c r="E11" s="24"/>
      <c r="F11" s="8"/>
      <c r="G11" s="19"/>
      <c r="H11" s="14"/>
      <c r="I11" s="8"/>
      <c r="J11" s="14"/>
      <c r="K11" s="8"/>
      <c r="L11" s="68"/>
    </row>
    <row r="12" spans="1:12" s="7" customFormat="1" ht="12">
      <c r="A12" s="24" t="s">
        <v>47</v>
      </c>
      <c r="B12" s="24">
        <v>288</v>
      </c>
      <c r="C12" s="8">
        <v>266</v>
      </c>
      <c r="D12" s="19">
        <v>266</v>
      </c>
      <c r="E12" s="24">
        <v>266</v>
      </c>
      <c r="F12" s="8">
        <v>266</v>
      </c>
      <c r="G12" s="19">
        <v>266</v>
      </c>
      <c r="H12" s="14"/>
      <c r="I12" s="8"/>
      <c r="J12" s="14"/>
      <c r="K12" s="8"/>
      <c r="L12" s="68"/>
    </row>
    <row r="13" spans="1:12" s="7" customFormat="1" ht="12">
      <c r="A13" s="24" t="s">
        <v>48</v>
      </c>
      <c r="B13" s="24">
        <v>165</v>
      </c>
      <c r="C13" s="8">
        <v>218</v>
      </c>
      <c r="D13" s="19">
        <v>223</v>
      </c>
      <c r="E13" s="24">
        <v>234</v>
      </c>
      <c r="F13" s="8">
        <v>234</v>
      </c>
      <c r="G13" s="19">
        <v>234</v>
      </c>
      <c r="H13" s="14"/>
      <c r="I13" s="8"/>
      <c r="J13" s="14"/>
      <c r="K13" s="8"/>
      <c r="L13" s="68"/>
    </row>
    <row r="14" spans="1:12" s="7" customFormat="1" ht="12">
      <c r="A14" s="71" t="s">
        <v>49</v>
      </c>
      <c r="B14" s="24">
        <f aca="true" t="shared" si="0" ref="B14:G14">SUM(B12:B13)</f>
        <v>453</v>
      </c>
      <c r="C14" s="8">
        <f t="shared" si="0"/>
        <v>484</v>
      </c>
      <c r="D14" s="19">
        <f t="shared" si="0"/>
        <v>489</v>
      </c>
      <c r="E14" s="24">
        <f t="shared" si="0"/>
        <v>500</v>
      </c>
      <c r="F14" s="8">
        <f t="shared" si="0"/>
        <v>500</v>
      </c>
      <c r="G14" s="19">
        <f t="shared" si="0"/>
        <v>500</v>
      </c>
      <c r="H14" s="14"/>
      <c r="I14" s="8"/>
      <c r="J14" s="14"/>
      <c r="K14" s="8"/>
      <c r="L14" s="68"/>
    </row>
    <row r="15" spans="1:12" s="7" customFormat="1" ht="12">
      <c r="A15" s="24"/>
      <c r="B15" s="24"/>
      <c r="C15" s="8"/>
      <c r="D15" s="19"/>
      <c r="E15" s="24"/>
      <c r="F15" s="8"/>
      <c r="G15" s="19"/>
      <c r="H15" s="14"/>
      <c r="I15" s="8"/>
      <c r="J15" s="14"/>
      <c r="K15" s="8"/>
      <c r="L15" s="68"/>
    </row>
    <row r="16" spans="1:12" s="7" customFormat="1" ht="12">
      <c r="A16" s="56" t="s">
        <v>50</v>
      </c>
      <c r="B16" s="24"/>
      <c r="C16" s="8"/>
      <c r="D16" s="19"/>
      <c r="E16" s="24"/>
      <c r="F16" s="46"/>
      <c r="G16" s="76"/>
      <c r="H16" s="14"/>
      <c r="I16" s="8"/>
      <c r="J16" s="14"/>
      <c r="K16" s="8"/>
      <c r="L16" s="68"/>
    </row>
    <row r="17" spans="1:12" s="7" customFormat="1" ht="12">
      <c r="A17" s="24" t="s">
        <v>51</v>
      </c>
      <c r="B17" s="61">
        <v>15.159</v>
      </c>
      <c r="C17" s="10">
        <v>12.824</v>
      </c>
      <c r="D17" s="62">
        <v>12.9297</v>
      </c>
      <c r="E17" s="61">
        <v>13.0475</v>
      </c>
      <c r="F17" s="10">
        <v>13.333</v>
      </c>
      <c r="G17" s="62">
        <v>17.067</v>
      </c>
      <c r="H17" s="12">
        <f>+((EXP((LN(D17)-LN(B17))/4))-1)*(100)</f>
        <v>-3.8986532516994687</v>
      </c>
      <c r="I17" s="11">
        <f aca="true" t="shared" si="1" ref="I17:K24">((D17/C17)-1)*100</f>
        <v>0.824235807860263</v>
      </c>
      <c r="J17" s="12">
        <f t="shared" si="1"/>
        <v>0.9110806901938773</v>
      </c>
      <c r="K17" s="11">
        <f t="shared" si="1"/>
        <v>2.1881586510825946</v>
      </c>
      <c r="L17" s="23">
        <f aca="true" t="shared" si="2" ref="L17:L25">+((EXP((LN(G17)-LN(D17))/12))-1)*(100)</f>
        <v>2.3404671414789524</v>
      </c>
    </row>
    <row r="18" spans="1:12" s="7" customFormat="1" ht="12">
      <c r="A18" s="24" t="s">
        <v>52</v>
      </c>
      <c r="B18" s="61">
        <v>10.761</v>
      </c>
      <c r="C18" s="10">
        <v>11.426</v>
      </c>
      <c r="D18" s="62">
        <v>12.2251</v>
      </c>
      <c r="E18" s="61">
        <v>13.0631</v>
      </c>
      <c r="F18" s="10">
        <v>13.929</v>
      </c>
      <c r="G18" s="62">
        <v>17.829</v>
      </c>
      <c r="H18" s="12">
        <f aca="true" t="shared" si="3" ref="H18:H25">+((EXP((LN(D18)-LN(B18))/4))-1)*(100)</f>
        <v>3.2404638743394942</v>
      </c>
      <c r="I18" s="11">
        <f t="shared" si="1"/>
        <v>6.993698582180974</v>
      </c>
      <c r="J18" s="12">
        <f t="shared" si="1"/>
        <v>6.854749654399561</v>
      </c>
      <c r="K18" s="11">
        <f t="shared" si="1"/>
        <v>6.62859505017952</v>
      </c>
      <c r="L18" s="23">
        <f t="shared" si="2"/>
        <v>3.1944198263304635</v>
      </c>
    </row>
    <row r="19" spans="1:12" s="7" customFormat="1" ht="12">
      <c r="A19" s="24" t="s">
        <v>53</v>
      </c>
      <c r="B19" s="61">
        <f aca="true" t="shared" si="4" ref="B19:G19">B20+B21</f>
        <v>39.878</v>
      </c>
      <c r="C19" s="10">
        <f t="shared" si="4"/>
        <v>35.524</v>
      </c>
      <c r="D19" s="62">
        <f t="shared" si="4"/>
        <v>34.9383</v>
      </c>
      <c r="E19" s="61">
        <f t="shared" si="4"/>
        <v>35.5631</v>
      </c>
      <c r="F19" s="10">
        <f t="shared" si="4"/>
        <v>36.211</v>
      </c>
      <c r="G19" s="62">
        <f t="shared" si="4"/>
        <v>40.937</v>
      </c>
      <c r="H19" s="12">
        <f t="shared" si="3"/>
        <v>-3.2519767851545422</v>
      </c>
      <c r="I19" s="11">
        <f t="shared" si="1"/>
        <v>-1.6487445107532972</v>
      </c>
      <c r="J19" s="12">
        <f t="shared" si="1"/>
        <v>1.7882953664030588</v>
      </c>
      <c r="K19" s="11">
        <f t="shared" si="1"/>
        <v>1.8218321799843062</v>
      </c>
      <c r="L19" s="23">
        <f t="shared" si="2"/>
        <v>1.3291781598610886</v>
      </c>
    </row>
    <row r="20" spans="1:12" s="7" customFormat="1" ht="12">
      <c r="A20" s="24" t="s">
        <v>54</v>
      </c>
      <c r="B20" s="63">
        <v>22.844</v>
      </c>
      <c r="C20" s="10">
        <v>20.231</v>
      </c>
      <c r="D20" s="62">
        <v>19.9899</v>
      </c>
      <c r="E20" s="61">
        <v>20.3463</v>
      </c>
      <c r="F20" s="10">
        <v>20.731</v>
      </c>
      <c r="G20" s="62">
        <v>23.73</v>
      </c>
      <c r="H20" s="12">
        <f t="shared" si="3"/>
        <v>-3.281485512954485</v>
      </c>
      <c r="I20" s="11">
        <f t="shared" si="1"/>
        <v>-1.191735455489118</v>
      </c>
      <c r="J20" s="12">
        <f t="shared" si="1"/>
        <v>1.782900364684159</v>
      </c>
      <c r="K20" s="11">
        <f t="shared" si="1"/>
        <v>1.8907614652295512</v>
      </c>
      <c r="L20" s="23">
        <f t="shared" si="2"/>
        <v>1.4395373335467587</v>
      </c>
    </row>
    <row r="21" spans="1:12" s="7" customFormat="1" ht="12">
      <c r="A21" s="24" t="s">
        <v>55</v>
      </c>
      <c r="B21" s="61">
        <v>17.034</v>
      </c>
      <c r="C21" s="10">
        <v>15.293</v>
      </c>
      <c r="D21" s="62">
        <v>14.9484</v>
      </c>
      <c r="E21" s="61">
        <v>15.2168</v>
      </c>
      <c r="F21" s="10">
        <v>15.48</v>
      </c>
      <c r="G21" s="62">
        <v>17.207</v>
      </c>
      <c r="H21" s="12">
        <f t="shared" si="3"/>
        <v>-3.212445482489068</v>
      </c>
      <c r="I21" s="11">
        <f t="shared" si="1"/>
        <v>-2.25331851173739</v>
      </c>
      <c r="J21" s="12">
        <f t="shared" si="1"/>
        <v>1.795509887345803</v>
      </c>
      <c r="K21" s="11">
        <f t="shared" si="1"/>
        <v>1.7296672099258892</v>
      </c>
      <c r="L21" s="23">
        <f t="shared" si="2"/>
        <v>1.1795019643006555</v>
      </c>
    </row>
    <row r="22" spans="1:12" s="7" customFormat="1" ht="12">
      <c r="A22" s="24" t="s">
        <v>56</v>
      </c>
      <c r="B22" s="63">
        <f aca="true" t="shared" si="5" ref="B22:G22">B23+B24</f>
        <v>2.8895999999999997</v>
      </c>
      <c r="C22" s="10">
        <f t="shared" si="5"/>
        <v>3.0095</v>
      </c>
      <c r="D22" s="64">
        <f t="shared" si="5"/>
        <v>2.9762</v>
      </c>
      <c r="E22" s="61">
        <f t="shared" si="5"/>
        <v>3.0302</v>
      </c>
      <c r="F22" s="10">
        <f t="shared" si="5"/>
        <v>3.0302</v>
      </c>
      <c r="G22" s="62">
        <f t="shared" si="5"/>
        <v>3.0302</v>
      </c>
      <c r="H22" s="12">
        <f t="shared" si="3"/>
        <v>0.7409625112181573</v>
      </c>
      <c r="I22" s="11">
        <f t="shared" si="1"/>
        <v>-1.1064960956969627</v>
      </c>
      <c r="J22" s="12">
        <f t="shared" si="1"/>
        <v>1.8143941939385844</v>
      </c>
      <c r="K22" s="11">
        <f t="shared" si="1"/>
        <v>0</v>
      </c>
      <c r="L22" s="23">
        <f t="shared" si="2"/>
        <v>0.14995653027711775</v>
      </c>
    </row>
    <row r="23" spans="1:12" s="7" customFormat="1" ht="12">
      <c r="A23" s="24" t="s">
        <v>57</v>
      </c>
      <c r="B23" s="61">
        <v>1.4416</v>
      </c>
      <c r="C23" s="10">
        <v>1.529</v>
      </c>
      <c r="D23" s="62">
        <v>1.4969</v>
      </c>
      <c r="E23" s="61">
        <v>1.5328</v>
      </c>
      <c r="F23" s="10">
        <v>1.5328</v>
      </c>
      <c r="G23" s="62">
        <v>1.5328</v>
      </c>
      <c r="H23" s="12">
        <f t="shared" si="3"/>
        <v>0.9455093387328972</v>
      </c>
      <c r="I23" s="11">
        <f t="shared" si="1"/>
        <v>-2.0994113799869263</v>
      </c>
      <c r="J23" s="12">
        <f t="shared" si="1"/>
        <v>2.398289798917763</v>
      </c>
      <c r="K23" s="11">
        <f t="shared" si="1"/>
        <v>0</v>
      </c>
      <c r="L23" s="23">
        <f t="shared" si="2"/>
        <v>0.19769370095918948</v>
      </c>
    </row>
    <row r="24" spans="1:12" s="7" customFormat="1" ht="12">
      <c r="A24" s="24" t="s">
        <v>58</v>
      </c>
      <c r="B24" s="61">
        <v>1.448</v>
      </c>
      <c r="C24" s="10">
        <v>1.4805</v>
      </c>
      <c r="D24" s="62">
        <v>1.4793</v>
      </c>
      <c r="E24" s="61">
        <v>1.4974</v>
      </c>
      <c r="F24" s="10">
        <v>1.4974</v>
      </c>
      <c r="G24" s="62">
        <v>1.4974</v>
      </c>
      <c r="H24" s="12">
        <f t="shared" si="3"/>
        <v>0.5360744884951751</v>
      </c>
      <c r="I24" s="11">
        <f t="shared" si="1"/>
        <v>-0.0810536980749621</v>
      </c>
      <c r="J24" s="12">
        <f t="shared" si="1"/>
        <v>1.223551679848578</v>
      </c>
      <c r="K24" s="11">
        <f t="shared" si="1"/>
        <v>0</v>
      </c>
      <c r="L24" s="23">
        <f t="shared" si="2"/>
        <v>0.10139526943484523</v>
      </c>
    </row>
    <row r="25" spans="1:12" s="7" customFormat="1" ht="12">
      <c r="A25" s="71" t="s">
        <v>59</v>
      </c>
      <c r="B25" s="61">
        <f aca="true" t="shared" si="6" ref="B25:G25">SUM(B17+B18+B19+B22)</f>
        <v>68.6876</v>
      </c>
      <c r="C25" s="10">
        <f t="shared" si="6"/>
        <v>62.783500000000004</v>
      </c>
      <c r="D25" s="62">
        <f t="shared" si="6"/>
        <v>63.0693</v>
      </c>
      <c r="E25" s="61">
        <f t="shared" si="6"/>
        <v>64.70389999999999</v>
      </c>
      <c r="F25" s="10">
        <f t="shared" si="6"/>
        <v>66.50319999999999</v>
      </c>
      <c r="G25" s="62">
        <f t="shared" si="6"/>
        <v>78.86319999999999</v>
      </c>
      <c r="H25" s="12">
        <f t="shared" si="3"/>
        <v>-2.110768906727145</v>
      </c>
      <c r="I25" s="11">
        <f>((D25/C25)-1)*100</f>
        <v>0.4552151441063357</v>
      </c>
      <c r="J25" s="12">
        <f>((E25/D25)-1)*100</f>
        <v>2.591752247131307</v>
      </c>
      <c r="K25" s="11">
        <f>((F25/E25)-1)*100</f>
        <v>2.7808215578968287</v>
      </c>
      <c r="L25" s="23">
        <f t="shared" si="2"/>
        <v>1.879787873778449</v>
      </c>
    </row>
    <row r="26" spans="1:12" s="7" customFormat="1" ht="12">
      <c r="A26" s="24"/>
      <c r="B26" s="61"/>
      <c r="C26" s="10"/>
      <c r="D26" s="62"/>
      <c r="E26" s="61"/>
      <c r="F26" s="10"/>
      <c r="G26" s="62"/>
      <c r="H26" s="12"/>
      <c r="I26" s="11"/>
      <c r="J26" s="12"/>
      <c r="K26" s="11"/>
      <c r="L26" s="23"/>
    </row>
    <row r="27" spans="1:12" s="7" customFormat="1" ht="12">
      <c r="A27" s="56" t="s">
        <v>60</v>
      </c>
      <c r="B27" s="61"/>
      <c r="C27" s="10"/>
      <c r="D27" s="62"/>
      <c r="E27" s="61"/>
      <c r="F27" s="10"/>
      <c r="G27" s="62"/>
      <c r="H27" s="12"/>
      <c r="I27" s="11"/>
      <c r="J27" s="12"/>
      <c r="K27" s="11"/>
      <c r="L27" s="23"/>
    </row>
    <row r="28" spans="1:12" s="7" customFormat="1" ht="12">
      <c r="A28" s="24" t="s">
        <v>51</v>
      </c>
      <c r="B28" s="61">
        <v>16.5347</v>
      </c>
      <c r="C28" s="10">
        <v>13.994</v>
      </c>
      <c r="D28" s="62">
        <v>14.1797</v>
      </c>
      <c r="E28" s="61">
        <v>14.223</v>
      </c>
      <c r="F28" s="10">
        <v>14.617</v>
      </c>
      <c r="G28" s="62">
        <v>18.7118</v>
      </c>
      <c r="H28" s="12">
        <f>+((EXP((LN(D28)-LN(B28))/4))-1)*(100)</f>
        <v>-3.7684057476574773</v>
      </c>
      <c r="I28" s="11">
        <f aca="true" t="shared" si="7" ref="I28:K32">((D28/C28)-1)*100</f>
        <v>1.326997284550524</v>
      </c>
      <c r="J28" s="12">
        <f t="shared" si="7"/>
        <v>0.30536612199130175</v>
      </c>
      <c r="K28" s="11">
        <f t="shared" si="7"/>
        <v>2.770161006819949</v>
      </c>
      <c r="L28" s="23">
        <f>+((EXP((LN(G28)-LN(D28))/12))-1)*(100)</f>
        <v>2.3381064538309904</v>
      </c>
    </row>
    <row r="29" spans="1:12" s="7" customFormat="1" ht="12">
      <c r="A29" s="24" t="s">
        <v>52</v>
      </c>
      <c r="B29" s="61">
        <v>11.623</v>
      </c>
      <c r="C29" s="10">
        <v>12.323</v>
      </c>
      <c r="D29" s="62">
        <v>13.201</v>
      </c>
      <c r="E29" s="61">
        <v>14.059</v>
      </c>
      <c r="F29" s="10">
        <v>14.945</v>
      </c>
      <c r="G29" s="62">
        <v>19.13</v>
      </c>
      <c r="H29" s="12">
        <f>+((EXP((LN(D29)-LN(B29))/4))-1)*(100)</f>
        <v>3.233855730039825</v>
      </c>
      <c r="I29" s="11">
        <f t="shared" si="7"/>
        <v>7.124888420027586</v>
      </c>
      <c r="J29" s="12">
        <f t="shared" si="7"/>
        <v>6.499507613059596</v>
      </c>
      <c r="K29" s="11">
        <f t="shared" si="7"/>
        <v>6.302012945444213</v>
      </c>
      <c r="L29" s="23">
        <f>+((EXP((LN(G29)-LN(D29))/12))-1)*(100)</f>
        <v>3.1396559215534303</v>
      </c>
    </row>
    <row r="30" spans="1:12" s="7" customFormat="1" ht="12">
      <c r="A30" s="24" t="s">
        <v>53</v>
      </c>
      <c r="B30" s="61">
        <v>21.222</v>
      </c>
      <c r="C30" s="10">
        <v>18.63</v>
      </c>
      <c r="D30" s="62">
        <v>18.593</v>
      </c>
      <c r="E30" s="61">
        <v>18.683</v>
      </c>
      <c r="F30" s="10">
        <v>18.821</v>
      </c>
      <c r="G30" s="62">
        <v>22.338</v>
      </c>
      <c r="H30" s="12">
        <f>+((EXP((LN(D30)-LN(B30))/4))-1)*(100)</f>
        <v>-3.252268696577687</v>
      </c>
      <c r="I30" s="11">
        <f t="shared" si="7"/>
        <v>-0.19860440150294423</v>
      </c>
      <c r="J30" s="12">
        <f t="shared" si="7"/>
        <v>0.48405313827784013</v>
      </c>
      <c r="K30" s="11">
        <f t="shared" si="7"/>
        <v>0.7386394048065181</v>
      </c>
      <c r="L30" s="23">
        <f>+((EXP((LN(G30)-LN(D30))/12))-1)*(100)</f>
        <v>1.540952923074812</v>
      </c>
    </row>
    <row r="31" spans="1:12" s="7" customFormat="1" ht="12">
      <c r="A31" s="24" t="s">
        <v>56</v>
      </c>
      <c r="B31" s="61">
        <v>3.529</v>
      </c>
      <c r="C31" s="10">
        <v>3.288</v>
      </c>
      <c r="D31" s="62">
        <v>3.171</v>
      </c>
      <c r="E31" s="61">
        <v>3.171</v>
      </c>
      <c r="F31" s="10">
        <v>3.171</v>
      </c>
      <c r="G31" s="62">
        <v>3.171</v>
      </c>
      <c r="H31" s="12">
        <f>+((EXP((LN(D31)-LN(B31))/4))-1)*(100)</f>
        <v>-2.63874891356779</v>
      </c>
      <c r="I31" s="11">
        <f t="shared" si="7"/>
        <v>-3.558394160583944</v>
      </c>
      <c r="J31" s="12">
        <f t="shared" si="7"/>
        <v>0</v>
      </c>
      <c r="K31" s="11">
        <f t="shared" si="7"/>
        <v>0</v>
      </c>
      <c r="L31" s="23">
        <f>+((EXP((LN(G31)-LN(D31))/12))-1)*(100)</f>
        <v>0</v>
      </c>
    </row>
    <row r="32" spans="1:12" s="7" customFormat="1" ht="12.75" thickBot="1">
      <c r="A32" s="72" t="s">
        <v>59</v>
      </c>
      <c r="B32" s="66">
        <f aca="true" t="shared" si="8" ref="B32:G32">SUM(B28:B31)</f>
        <v>52.908699999999996</v>
      </c>
      <c r="C32" s="27">
        <f t="shared" si="8"/>
        <v>48.235</v>
      </c>
      <c r="D32" s="73">
        <f t="shared" si="8"/>
        <v>49.1447</v>
      </c>
      <c r="E32" s="66">
        <f t="shared" si="8"/>
        <v>50.136</v>
      </c>
      <c r="F32" s="27">
        <f t="shared" si="8"/>
        <v>51.554</v>
      </c>
      <c r="G32" s="73">
        <f t="shared" si="8"/>
        <v>63.3508</v>
      </c>
      <c r="H32" s="224">
        <f>+((EXP((LN(D32)-LN(B32))/4))-1)*(100)</f>
        <v>-1.8280541001328698</v>
      </c>
      <c r="I32" s="22">
        <f t="shared" si="7"/>
        <v>1.8859749144811921</v>
      </c>
      <c r="J32" s="21">
        <f t="shared" si="7"/>
        <v>2.0171045911359764</v>
      </c>
      <c r="K32" s="22">
        <f t="shared" si="7"/>
        <v>2.8283070049465397</v>
      </c>
      <c r="L32" s="29">
        <f>+((EXP((LN(G32)-LN(D32))/12))-1)*(100)</f>
        <v>2.1385334891003804</v>
      </c>
    </row>
    <row r="33" s="7" customFormat="1" ht="12"/>
    <row r="34" s="7" customFormat="1" ht="12">
      <c r="A34" s="7" t="s">
        <v>172</v>
      </c>
    </row>
    <row r="35" s="7" customFormat="1" ht="12"/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2" ht="12.75">
      <c r="A37" s="226" t="s">
        <v>203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</sheetData>
  <mergeCells count="1">
    <mergeCell ref="A37:L37"/>
  </mergeCells>
  <printOptions horizontalCentered="1"/>
  <pageMargins left="0.75" right="0.5" top="1.15" bottom="0.15" header="0.5" footer="0.5"/>
  <pageSetup fitToHeight="1" fitToWidth="1"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7" width="8.7109375" style="0" customWidth="1"/>
    <col min="8" max="11" width="7.7109375" style="0" customWidth="1"/>
    <col min="12" max="12" width="10.7109375" style="0" customWidth="1"/>
  </cols>
  <sheetData>
    <row r="1" spans="1:12" ht="15.75">
      <c r="A1" s="3" t="s">
        <v>103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5" t="s">
        <v>21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5" t="s">
        <v>62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8">
      <c r="A6" s="5" t="s">
        <v>154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3.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32" customFormat="1" ht="12.75" thickBot="1">
      <c r="A8" s="190" t="s">
        <v>44</v>
      </c>
      <c r="B8" s="59" t="s">
        <v>1</v>
      </c>
      <c r="C8" s="30"/>
      <c r="D8" s="31"/>
      <c r="E8" s="59" t="s">
        <v>2</v>
      </c>
      <c r="F8" s="30"/>
      <c r="G8" s="31"/>
      <c r="H8" s="30" t="s">
        <v>3</v>
      </c>
      <c r="I8" s="30"/>
      <c r="J8" s="30"/>
      <c r="K8" s="30"/>
      <c r="L8" s="31"/>
    </row>
    <row r="9" spans="1:12" s="32" customFormat="1" ht="12">
      <c r="A9" s="189" t="s">
        <v>45</v>
      </c>
      <c r="B9" s="55">
        <v>2000</v>
      </c>
      <c r="C9" s="39">
        <v>2003</v>
      </c>
      <c r="D9" s="60">
        <v>2004</v>
      </c>
      <c r="E9" s="59">
        <v>2005</v>
      </c>
      <c r="F9" s="170">
        <v>2006</v>
      </c>
      <c r="G9" s="171">
        <f>D9+12</f>
        <v>2016</v>
      </c>
      <c r="H9" s="33" t="s">
        <v>162</v>
      </c>
      <c r="I9" s="40" t="s">
        <v>101</v>
      </c>
      <c r="J9" s="54" t="s">
        <v>132</v>
      </c>
      <c r="K9" s="40" t="s">
        <v>155</v>
      </c>
      <c r="L9" s="160" t="s">
        <v>156</v>
      </c>
    </row>
    <row r="10" spans="1:12" s="7" customFormat="1" ht="12">
      <c r="A10" s="24"/>
      <c r="B10" s="24"/>
      <c r="C10" s="8"/>
      <c r="D10" s="19"/>
      <c r="E10" s="24"/>
      <c r="F10" s="8"/>
      <c r="G10" s="68"/>
      <c r="H10" s="14"/>
      <c r="I10" s="8"/>
      <c r="J10" s="14"/>
      <c r="K10" s="8"/>
      <c r="L10" s="68"/>
    </row>
    <row r="11" spans="1:12" s="7" customFormat="1" ht="12">
      <c r="A11" s="56" t="s">
        <v>50</v>
      </c>
      <c r="B11" s="24"/>
      <c r="C11" s="150"/>
      <c r="D11" s="19"/>
      <c r="E11" s="24"/>
      <c r="F11" s="8"/>
      <c r="G11" s="68"/>
      <c r="H11" s="14"/>
      <c r="I11" s="8"/>
      <c r="J11" s="14"/>
      <c r="K11" s="8"/>
      <c r="L11" s="68"/>
    </row>
    <row r="12" spans="1:12" s="7" customFormat="1" ht="12">
      <c r="A12" s="24" t="s">
        <v>51</v>
      </c>
      <c r="B12" s="61">
        <v>14.921</v>
      </c>
      <c r="C12" s="151">
        <v>12.6187</v>
      </c>
      <c r="D12" s="62">
        <v>12.7224</v>
      </c>
      <c r="E12" s="61">
        <v>12.8369</v>
      </c>
      <c r="F12" s="10">
        <v>13.1155</v>
      </c>
      <c r="G12" s="64">
        <v>16.7888</v>
      </c>
      <c r="H12" s="12">
        <f>+((EXP((LN(D12)-LN(B12))/4))-1)*(100)</f>
        <v>-3.9067728232886068</v>
      </c>
      <c r="I12" s="11">
        <f>((D12/C12)-1)*100</f>
        <v>0.8217962230657738</v>
      </c>
      <c r="J12" s="12">
        <f>((E12/D12)-1)*100</f>
        <v>0.8999874237565209</v>
      </c>
      <c r="K12" s="11">
        <f>((F12/E12)-1)*100</f>
        <v>2.1703059149794868</v>
      </c>
      <c r="L12" s="23">
        <f aca="true" t="shared" si="0" ref="L12:L20">+((EXP((LN(G12)-LN(D12))/12))-1)*(100)</f>
        <v>2.3381474017646564</v>
      </c>
    </row>
    <row r="13" spans="1:12" s="7" customFormat="1" ht="12">
      <c r="A13" s="24" t="s">
        <v>52</v>
      </c>
      <c r="B13" s="61">
        <v>9.217</v>
      </c>
      <c r="C13" s="151">
        <v>9.892</v>
      </c>
      <c r="D13" s="62">
        <v>10.649</v>
      </c>
      <c r="E13" s="61">
        <v>11.342</v>
      </c>
      <c r="F13" s="10">
        <v>12.056</v>
      </c>
      <c r="G13" s="64">
        <v>15.432</v>
      </c>
      <c r="H13" s="12">
        <f aca="true" t="shared" si="1" ref="H13:H20">+((EXP((LN(D13)-LN(B13))/4))-1)*(100)</f>
        <v>3.6763764358715756</v>
      </c>
      <c r="I13" s="11">
        <f aca="true" t="shared" si="2" ref="I13:K20">((D13/C13)-1)*100</f>
        <v>7.652648604933288</v>
      </c>
      <c r="J13" s="12">
        <f t="shared" si="2"/>
        <v>6.507653300779426</v>
      </c>
      <c r="K13" s="11">
        <f t="shared" si="2"/>
        <v>6.295186034209133</v>
      </c>
      <c r="L13" s="23">
        <f t="shared" si="0"/>
        <v>3.139759795415231</v>
      </c>
    </row>
    <row r="14" spans="1:12" s="7" customFormat="1" ht="12">
      <c r="A14" s="24" t="s">
        <v>53</v>
      </c>
      <c r="B14" s="63">
        <f aca="true" t="shared" si="3" ref="B14:G14">B15+B16</f>
        <v>27.003</v>
      </c>
      <c r="C14" s="151">
        <f t="shared" si="3"/>
        <v>22.598</v>
      </c>
      <c r="D14" s="64">
        <f t="shared" si="3"/>
        <v>21.737000000000002</v>
      </c>
      <c r="E14" s="61">
        <f t="shared" si="3"/>
        <v>21.82</v>
      </c>
      <c r="F14" s="10">
        <f t="shared" si="3"/>
        <v>21.938000000000002</v>
      </c>
      <c r="G14" s="64">
        <f t="shared" si="3"/>
        <v>24.829</v>
      </c>
      <c r="H14" s="12">
        <f t="shared" si="1"/>
        <v>-5.278864154585971</v>
      </c>
      <c r="I14" s="11">
        <f t="shared" si="2"/>
        <v>-3.810071687759964</v>
      </c>
      <c r="J14" s="12">
        <f t="shared" si="2"/>
        <v>0.3818374200671659</v>
      </c>
      <c r="K14" s="11">
        <f t="shared" si="2"/>
        <v>0.5407882676443654</v>
      </c>
      <c r="L14" s="23">
        <f t="shared" si="0"/>
        <v>1.1144681645666843</v>
      </c>
    </row>
    <row r="15" spans="1:12" s="7" customFormat="1" ht="12">
      <c r="A15" s="24" t="s">
        <v>54</v>
      </c>
      <c r="B15" s="61">
        <v>16.286</v>
      </c>
      <c r="C15" s="151">
        <v>13.577</v>
      </c>
      <c r="D15" s="62">
        <v>13.174</v>
      </c>
      <c r="E15" s="61">
        <v>13.24</v>
      </c>
      <c r="F15" s="10">
        <v>13.333</v>
      </c>
      <c r="G15" s="64">
        <v>15.276</v>
      </c>
      <c r="H15" s="12">
        <f t="shared" si="1"/>
        <v>-5.163436789074893</v>
      </c>
      <c r="I15" s="11">
        <f t="shared" si="2"/>
        <v>-2.9682551373646615</v>
      </c>
      <c r="J15" s="12">
        <f t="shared" si="2"/>
        <v>0.5009867921663913</v>
      </c>
      <c r="K15" s="11">
        <f t="shared" si="2"/>
        <v>0.7024169184290052</v>
      </c>
      <c r="L15" s="23">
        <f t="shared" si="0"/>
        <v>1.2412889864263033</v>
      </c>
    </row>
    <row r="16" spans="1:12" s="7" customFormat="1" ht="12">
      <c r="A16" s="24" t="s">
        <v>55</v>
      </c>
      <c r="B16" s="61">
        <v>10.717</v>
      </c>
      <c r="C16" s="151">
        <v>9.021</v>
      </c>
      <c r="D16" s="62">
        <v>8.563</v>
      </c>
      <c r="E16" s="61">
        <v>8.58</v>
      </c>
      <c r="F16" s="10">
        <v>8.605</v>
      </c>
      <c r="G16" s="64">
        <v>9.553</v>
      </c>
      <c r="H16" s="12">
        <f t="shared" si="1"/>
        <v>-5.455084434962243</v>
      </c>
      <c r="I16" s="11">
        <f t="shared" si="2"/>
        <v>-5.07704245649041</v>
      </c>
      <c r="J16" s="12">
        <f t="shared" si="2"/>
        <v>0.19852855307718187</v>
      </c>
      <c r="K16" s="11">
        <f t="shared" si="2"/>
        <v>0.2913752913753065</v>
      </c>
      <c r="L16" s="23">
        <f t="shared" si="0"/>
        <v>0.9158740696048273</v>
      </c>
    </row>
    <row r="17" spans="1:12" s="7" customFormat="1" ht="12">
      <c r="A17" s="24" t="s">
        <v>56</v>
      </c>
      <c r="B17" s="63">
        <f aca="true" t="shared" si="4" ref="B17:G17">B18+B19</f>
        <v>2.032</v>
      </c>
      <c r="C17" s="151">
        <f t="shared" si="4"/>
        <v>1.927</v>
      </c>
      <c r="D17" s="64">
        <f t="shared" si="4"/>
        <v>1.842</v>
      </c>
      <c r="E17" s="61">
        <f t="shared" si="4"/>
        <v>1.842</v>
      </c>
      <c r="F17" s="10">
        <f t="shared" si="4"/>
        <v>1.842</v>
      </c>
      <c r="G17" s="64">
        <f t="shared" si="4"/>
        <v>1.842</v>
      </c>
      <c r="H17" s="12">
        <f t="shared" si="1"/>
        <v>-2.4243438107356075</v>
      </c>
      <c r="I17" s="11">
        <f t="shared" si="2"/>
        <v>-4.411001556824079</v>
      </c>
      <c r="J17" s="12">
        <f t="shared" si="2"/>
        <v>0</v>
      </c>
      <c r="K17" s="11">
        <f t="shared" si="2"/>
        <v>0</v>
      </c>
      <c r="L17" s="23">
        <f t="shared" si="0"/>
        <v>0</v>
      </c>
    </row>
    <row r="18" spans="1:12" s="7" customFormat="1" ht="12">
      <c r="A18" s="24" t="s">
        <v>57</v>
      </c>
      <c r="B18" s="61">
        <v>1.091</v>
      </c>
      <c r="C18" s="151">
        <v>1.064</v>
      </c>
      <c r="D18" s="62">
        <v>0.993</v>
      </c>
      <c r="E18" s="17">
        <v>0.993</v>
      </c>
      <c r="F18" s="10">
        <v>0.993</v>
      </c>
      <c r="G18" s="62">
        <v>0.993</v>
      </c>
      <c r="H18" s="12">
        <f t="shared" si="1"/>
        <v>-2.3255162500824156</v>
      </c>
      <c r="I18" s="11">
        <f t="shared" si="2"/>
        <v>-6.672932330827075</v>
      </c>
      <c r="J18" s="12">
        <f t="shared" si="2"/>
        <v>0</v>
      </c>
      <c r="K18" s="11">
        <f t="shared" si="2"/>
        <v>0</v>
      </c>
      <c r="L18" s="23">
        <f t="shared" si="0"/>
        <v>0</v>
      </c>
    </row>
    <row r="19" spans="1:12" s="7" customFormat="1" ht="12">
      <c r="A19" s="24" t="s">
        <v>58</v>
      </c>
      <c r="B19" s="61">
        <v>0.941</v>
      </c>
      <c r="C19" s="151">
        <v>0.863</v>
      </c>
      <c r="D19" s="62">
        <v>0.849</v>
      </c>
      <c r="E19" s="17">
        <v>0.849</v>
      </c>
      <c r="F19" s="10">
        <v>0.849</v>
      </c>
      <c r="G19" s="62">
        <v>0.849</v>
      </c>
      <c r="H19" s="12">
        <f t="shared" si="1"/>
        <v>-2.5393021591250564</v>
      </c>
      <c r="I19" s="11">
        <f t="shared" si="2"/>
        <v>-1.6222479721900385</v>
      </c>
      <c r="J19" s="12">
        <f t="shared" si="2"/>
        <v>0</v>
      </c>
      <c r="K19" s="11">
        <f t="shared" si="2"/>
        <v>0</v>
      </c>
      <c r="L19" s="23">
        <f t="shared" si="0"/>
        <v>0</v>
      </c>
    </row>
    <row r="20" spans="1:12" s="7" customFormat="1" ht="12">
      <c r="A20" s="57" t="s">
        <v>59</v>
      </c>
      <c r="B20" s="61">
        <f aca="true" t="shared" si="5" ref="B20:G20">SUM(B12+B13+B14+B17)</f>
        <v>53.173</v>
      </c>
      <c r="C20" s="151">
        <f t="shared" si="5"/>
        <v>47.0357</v>
      </c>
      <c r="D20" s="62">
        <f t="shared" si="5"/>
        <v>46.9504</v>
      </c>
      <c r="E20" s="61">
        <f t="shared" si="5"/>
        <v>47.8409</v>
      </c>
      <c r="F20" s="10">
        <f t="shared" si="5"/>
        <v>48.9515</v>
      </c>
      <c r="G20" s="64">
        <f t="shared" si="5"/>
        <v>58.891799999999996</v>
      </c>
      <c r="H20" s="12">
        <f t="shared" si="1"/>
        <v>-3.063567353408836</v>
      </c>
      <c r="I20" s="11">
        <f t="shared" si="2"/>
        <v>-0.18135161164816171</v>
      </c>
      <c r="J20" s="12">
        <f t="shared" si="2"/>
        <v>1.8966824563794837</v>
      </c>
      <c r="K20" s="11">
        <f t="shared" si="2"/>
        <v>2.3214446216522022</v>
      </c>
      <c r="L20" s="23">
        <f t="shared" si="0"/>
        <v>1.9063611849816198</v>
      </c>
    </row>
    <row r="21" spans="1:12" s="7" customFormat="1" ht="12">
      <c r="A21" s="24"/>
      <c r="B21" s="61"/>
      <c r="C21" s="10"/>
      <c r="D21" s="62"/>
      <c r="E21" s="187"/>
      <c r="F21" s="188"/>
      <c r="G21" s="69"/>
      <c r="H21" s="47"/>
      <c r="I21" s="48"/>
      <c r="J21" s="47"/>
      <c r="K21" s="48"/>
      <c r="L21" s="161"/>
    </row>
    <row r="22" spans="1:12" s="7" customFormat="1" ht="12">
      <c r="A22" s="56" t="s">
        <v>60</v>
      </c>
      <c r="B22" s="61"/>
      <c r="C22" s="10"/>
      <c r="D22" s="62"/>
      <c r="E22" s="187"/>
      <c r="F22" s="188"/>
      <c r="G22" s="69"/>
      <c r="H22" s="47"/>
      <c r="I22" s="48"/>
      <c r="J22" s="47"/>
      <c r="K22" s="48"/>
      <c r="L22" s="161"/>
    </row>
    <row r="23" spans="1:12" s="7" customFormat="1" ht="12">
      <c r="A23" s="24" t="s">
        <v>51</v>
      </c>
      <c r="B23" s="61">
        <v>16.408</v>
      </c>
      <c r="C23" s="10">
        <v>13.881</v>
      </c>
      <c r="D23" s="62">
        <v>14.066</v>
      </c>
      <c r="E23" s="61">
        <v>14.1082</v>
      </c>
      <c r="F23" s="10">
        <v>14.5006</v>
      </c>
      <c r="G23" s="64">
        <v>18.5618</v>
      </c>
      <c r="H23" s="12">
        <f>+((EXP((LN(D23)-LN(B23))/4))-1)*(100)</f>
        <v>-3.7770335883062667</v>
      </c>
      <c r="I23" s="11">
        <f aca="true" t="shared" si="6" ref="I23:K27">((D23/C23)-1)*100</f>
        <v>1.3327570059793903</v>
      </c>
      <c r="J23" s="12">
        <f t="shared" si="6"/>
        <v>0.3000142186833532</v>
      </c>
      <c r="K23" s="11">
        <f t="shared" si="6"/>
        <v>2.7813611941991168</v>
      </c>
      <c r="L23" s="23">
        <f>+((EXP((LN(G23)-LN(D23))/12))-1)*(100)</f>
        <v>2.3381251386692448</v>
      </c>
    </row>
    <row r="24" spans="1:12" s="7" customFormat="1" ht="12">
      <c r="A24" s="24" t="s">
        <v>52</v>
      </c>
      <c r="B24" s="61">
        <v>11.245</v>
      </c>
      <c r="C24" s="10">
        <v>11.966</v>
      </c>
      <c r="D24" s="62">
        <v>12.832</v>
      </c>
      <c r="E24" s="61">
        <v>13.666</v>
      </c>
      <c r="F24" s="10">
        <v>14.527</v>
      </c>
      <c r="G24" s="64">
        <v>18.595</v>
      </c>
      <c r="H24" s="12">
        <f>+((EXP((LN(D24)-LN(B24))/4))-1)*(100)</f>
        <v>3.3555310564194807</v>
      </c>
      <c r="I24" s="11">
        <f t="shared" si="6"/>
        <v>7.237171987297364</v>
      </c>
      <c r="J24" s="12">
        <f t="shared" si="6"/>
        <v>6.499376558603487</v>
      </c>
      <c r="K24" s="11">
        <f t="shared" si="6"/>
        <v>6.300307332064969</v>
      </c>
      <c r="L24" s="23">
        <f>+((EXP((LN(G24)-LN(D24))/12))-1)*(100)</f>
        <v>3.1395310977141655</v>
      </c>
    </row>
    <row r="25" spans="1:12" s="7" customFormat="1" ht="12">
      <c r="A25" s="24" t="s">
        <v>53</v>
      </c>
      <c r="B25" s="61">
        <v>20.946</v>
      </c>
      <c r="C25" s="10">
        <v>18.349</v>
      </c>
      <c r="D25" s="62">
        <v>18.297</v>
      </c>
      <c r="E25" s="61">
        <v>18.388</v>
      </c>
      <c r="F25" s="10">
        <v>18.526</v>
      </c>
      <c r="G25" s="64">
        <v>21.99</v>
      </c>
      <c r="H25" s="12">
        <f>+((EXP((LN(D25)-LN(B25))/4))-1)*(100)</f>
        <v>-3.323772011598436</v>
      </c>
      <c r="I25" s="11">
        <f t="shared" si="6"/>
        <v>-0.2833941904190951</v>
      </c>
      <c r="J25" s="12">
        <f t="shared" si="6"/>
        <v>0.4973492922337064</v>
      </c>
      <c r="K25" s="11">
        <f t="shared" si="6"/>
        <v>0.7504894496410675</v>
      </c>
      <c r="L25" s="23">
        <f>+((EXP((LN(G25)-LN(D25))/12))-1)*(100)</f>
        <v>1.543885758078667</v>
      </c>
    </row>
    <row r="26" spans="1:12" s="7" customFormat="1" ht="12">
      <c r="A26" s="24" t="s">
        <v>56</v>
      </c>
      <c r="B26" s="61">
        <v>3.469</v>
      </c>
      <c r="C26" s="10">
        <v>3.227</v>
      </c>
      <c r="D26" s="62">
        <v>3.1056</v>
      </c>
      <c r="E26" s="17">
        <v>3.1056</v>
      </c>
      <c r="F26" s="10">
        <v>3.1056</v>
      </c>
      <c r="G26" s="62">
        <v>3.1056</v>
      </c>
      <c r="H26" s="12">
        <f>+((EXP((LN(D26)-LN(B26))/4))-1)*(100)</f>
        <v>-2.7285691022539083</v>
      </c>
      <c r="I26" s="11">
        <f t="shared" si="6"/>
        <v>-3.7620080570189063</v>
      </c>
      <c r="J26" s="12">
        <f t="shared" si="6"/>
        <v>0</v>
      </c>
      <c r="K26" s="11">
        <f t="shared" si="6"/>
        <v>0</v>
      </c>
      <c r="L26" s="23">
        <f>+((EXP((LN(G26)-LN(D26))/12))-1)*(100)</f>
        <v>0</v>
      </c>
    </row>
    <row r="27" spans="1:12" s="7" customFormat="1" ht="12">
      <c r="A27" s="57" t="s">
        <v>59</v>
      </c>
      <c r="B27" s="61">
        <f aca="true" t="shared" si="7" ref="B27:G27">SUM(B23:B26)</f>
        <v>52.068000000000005</v>
      </c>
      <c r="C27" s="10">
        <f t="shared" si="7"/>
        <v>47.422999999999995</v>
      </c>
      <c r="D27" s="62">
        <f t="shared" si="7"/>
        <v>48.30060000000001</v>
      </c>
      <c r="E27" s="61">
        <f t="shared" si="7"/>
        <v>49.2678</v>
      </c>
      <c r="F27" s="10">
        <f t="shared" si="7"/>
        <v>50.659200000000006</v>
      </c>
      <c r="G27" s="64">
        <f t="shared" si="7"/>
        <v>62.2524</v>
      </c>
      <c r="H27" s="12">
        <f>+((EXP((LN(D27)-LN(B27))/4))-1)*(100)</f>
        <v>-1.8601460409766846</v>
      </c>
      <c r="I27" s="11">
        <f t="shared" si="6"/>
        <v>1.8505788330557271</v>
      </c>
      <c r="J27" s="12">
        <f t="shared" si="6"/>
        <v>2.0024595967751857</v>
      </c>
      <c r="K27" s="11">
        <f t="shared" si="6"/>
        <v>2.8241569544408485</v>
      </c>
      <c r="L27" s="23">
        <f>+((EXP((LN(G27)-LN(D27))/12))-1)*(100)</f>
        <v>2.137125506768167</v>
      </c>
    </row>
    <row r="28" spans="1:12" s="7" customFormat="1" ht="12">
      <c r="A28" s="24"/>
      <c r="B28" s="61"/>
      <c r="C28" s="10"/>
      <c r="D28" s="62"/>
      <c r="E28" s="187"/>
      <c r="F28" s="188"/>
      <c r="G28" s="69"/>
      <c r="H28" s="47"/>
      <c r="I28" s="48"/>
      <c r="J28" s="47"/>
      <c r="K28" s="48"/>
      <c r="L28" s="161"/>
    </row>
    <row r="29" spans="1:12" s="7" customFormat="1" ht="12">
      <c r="A29" s="56" t="s">
        <v>63</v>
      </c>
      <c r="B29" s="61"/>
      <c r="C29" s="10"/>
      <c r="D29" s="62"/>
      <c r="E29" s="187"/>
      <c r="F29" s="188"/>
      <c r="G29" s="69"/>
      <c r="H29" s="47"/>
      <c r="I29" s="48"/>
      <c r="J29" s="47"/>
      <c r="K29" s="48"/>
      <c r="L29" s="161"/>
    </row>
    <row r="30" spans="1:12" s="7" customFormat="1" ht="12">
      <c r="A30" s="24" t="s">
        <v>51</v>
      </c>
      <c r="B30" s="61">
        <v>24.987</v>
      </c>
      <c r="C30" s="10">
        <v>22.7435</v>
      </c>
      <c r="D30" s="62">
        <v>23.8569</v>
      </c>
      <c r="E30" s="61">
        <v>24.2148</v>
      </c>
      <c r="F30" s="10">
        <v>24.594</v>
      </c>
      <c r="G30" s="64">
        <v>31.482</v>
      </c>
      <c r="H30" s="12">
        <f>+((EXP((LN(D30)-LN(B30))/4))-1)*(100)</f>
        <v>-1.1503870085218026</v>
      </c>
      <c r="I30" s="11">
        <f aca="true" t="shared" si="8" ref="I30:K34">((D30/C30)-1)*100</f>
        <v>4.895464638248281</v>
      </c>
      <c r="J30" s="12">
        <f t="shared" si="8"/>
        <v>1.500194912163777</v>
      </c>
      <c r="K30" s="11">
        <f t="shared" si="8"/>
        <v>1.5659844392685418</v>
      </c>
      <c r="L30" s="23">
        <f>+((EXP((LN(G30)-LN(D30))/12))-1)*(100)</f>
        <v>2.3381021359216048</v>
      </c>
    </row>
    <row r="31" spans="1:12" s="7" customFormat="1" ht="12">
      <c r="A31" s="24" t="s">
        <v>52</v>
      </c>
      <c r="B31" s="61">
        <v>8.101</v>
      </c>
      <c r="C31" s="10">
        <v>9.149</v>
      </c>
      <c r="D31" s="62">
        <v>9.982</v>
      </c>
      <c r="E31" s="61">
        <v>10.63</v>
      </c>
      <c r="F31" s="10">
        <v>11.3</v>
      </c>
      <c r="G31" s="64">
        <v>14.464</v>
      </c>
      <c r="H31" s="12">
        <f>+((EXP((LN(D31)-LN(B31))/4))-1)*(100)</f>
        <v>5.358537466145363</v>
      </c>
      <c r="I31" s="11">
        <f t="shared" si="8"/>
        <v>9.104820198928842</v>
      </c>
      <c r="J31" s="12">
        <f t="shared" si="8"/>
        <v>6.491685033059524</v>
      </c>
      <c r="K31" s="11">
        <f t="shared" si="8"/>
        <v>6.302916274694259</v>
      </c>
      <c r="L31" s="23">
        <f>+((EXP((LN(G31)-LN(D31))/12))-1)*(100)</f>
        <v>3.1389179036489523</v>
      </c>
    </row>
    <row r="32" spans="1:12" s="7" customFormat="1" ht="12">
      <c r="A32" s="24" t="s">
        <v>53</v>
      </c>
      <c r="B32" s="61">
        <v>8.744</v>
      </c>
      <c r="C32" s="10">
        <v>7.9998</v>
      </c>
      <c r="D32" s="62">
        <v>8.35</v>
      </c>
      <c r="E32" s="61">
        <v>8.493</v>
      </c>
      <c r="F32" s="10">
        <v>8.6199</v>
      </c>
      <c r="G32" s="64">
        <v>10.231</v>
      </c>
      <c r="H32" s="12">
        <f>+((EXP((LN(D32)-LN(B32))/4))-1)*(100)</f>
        <v>-1.146037679603129</v>
      </c>
      <c r="I32" s="11">
        <f t="shared" si="8"/>
        <v>4.377609440235997</v>
      </c>
      <c r="J32" s="12">
        <f t="shared" si="8"/>
        <v>1.7125748502994087</v>
      </c>
      <c r="K32" s="11">
        <f t="shared" si="8"/>
        <v>1.4941716707876918</v>
      </c>
      <c r="L32" s="23">
        <f>+((EXP((LN(G32)-LN(D32))/12))-1)*(100)</f>
        <v>1.7074191435380692</v>
      </c>
    </row>
    <row r="33" spans="1:12" s="7" customFormat="1" ht="12">
      <c r="A33" s="24" t="s">
        <v>56</v>
      </c>
      <c r="B33" s="61">
        <v>4.193</v>
      </c>
      <c r="C33" s="10">
        <v>3.8553</v>
      </c>
      <c r="D33" s="62">
        <v>4.0268</v>
      </c>
      <c r="E33" s="17">
        <v>4.027</v>
      </c>
      <c r="F33" s="10">
        <v>4.027</v>
      </c>
      <c r="G33" s="62">
        <v>4.027</v>
      </c>
      <c r="H33" s="12">
        <f>+((EXP((LN(D33)-LN(B33))/4))-1)*(100)</f>
        <v>-1.0060167624689198</v>
      </c>
      <c r="I33" s="11">
        <f t="shared" si="8"/>
        <v>4.44842165330841</v>
      </c>
      <c r="J33" s="12">
        <f t="shared" si="8"/>
        <v>0.004966722956201153</v>
      </c>
      <c r="K33" s="11">
        <f t="shared" si="8"/>
        <v>0</v>
      </c>
      <c r="L33" s="23">
        <f>+((EXP((LN(G33)-LN(D33))/12))-1)*(100)</f>
        <v>0.0004138841580569874</v>
      </c>
    </row>
    <row r="34" spans="1:12" s="7" customFormat="1" ht="12">
      <c r="A34" s="57" t="s">
        <v>59</v>
      </c>
      <c r="B34" s="61">
        <f aca="true" t="shared" si="9" ref="B34:G34">SUM(B30:B33)</f>
        <v>46.025</v>
      </c>
      <c r="C34" s="10">
        <f t="shared" si="9"/>
        <v>43.7476</v>
      </c>
      <c r="D34" s="62">
        <f t="shared" si="9"/>
        <v>46.2157</v>
      </c>
      <c r="E34" s="61">
        <f t="shared" si="9"/>
        <v>47.3648</v>
      </c>
      <c r="F34" s="10">
        <f t="shared" si="9"/>
        <v>48.54090000000001</v>
      </c>
      <c r="G34" s="64">
        <f t="shared" si="9"/>
        <v>60.204</v>
      </c>
      <c r="H34" s="12">
        <f>+((EXP((LN(D34)-LN(B34))/4))-1)*(100)</f>
        <v>0.1034244482425617</v>
      </c>
      <c r="I34" s="11">
        <f t="shared" si="8"/>
        <v>5.6416809150673375</v>
      </c>
      <c r="J34" s="12">
        <f t="shared" si="8"/>
        <v>2.4863844970432147</v>
      </c>
      <c r="K34" s="11">
        <f t="shared" si="8"/>
        <v>2.4830675945005654</v>
      </c>
      <c r="L34" s="23">
        <f>+((EXP((LN(G34)-LN(D34))/12))-1)*(100)</f>
        <v>2.227949787009975</v>
      </c>
    </row>
    <row r="35" spans="1:12" s="7" customFormat="1" ht="12">
      <c r="A35" s="24"/>
      <c r="B35" s="61"/>
      <c r="C35" s="10"/>
      <c r="D35" s="62"/>
      <c r="E35" s="187"/>
      <c r="F35" s="188"/>
      <c r="G35" s="69"/>
      <c r="H35" s="47"/>
      <c r="I35" s="48"/>
      <c r="J35" s="47"/>
      <c r="K35" s="48"/>
      <c r="L35" s="161"/>
    </row>
    <row r="36" spans="1:12" s="7" customFormat="1" ht="12">
      <c r="A36" s="56" t="s">
        <v>64</v>
      </c>
      <c r="B36" s="61"/>
      <c r="C36" s="10"/>
      <c r="D36" s="62"/>
      <c r="E36" s="187"/>
      <c r="F36" s="188"/>
      <c r="G36" s="69"/>
      <c r="H36" s="47"/>
      <c r="I36" s="48"/>
      <c r="J36" s="47"/>
      <c r="K36" s="48"/>
      <c r="L36" s="161"/>
    </row>
    <row r="37" spans="1:12" s="7" customFormat="1" ht="12">
      <c r="A37" s="24" t="s">
        <v>65</v>
      </c>
      <c r="B37" s="201">
        <v>7.713</v>
      </c>
      <c r="C37" s="202">
        <v>7.009849</v>
      </c>
      <c r="D37" s="186">
        <v>6.80012</v>
      </c>
      <c r="E37" s="152">
        <v>6.65885</v>
      </c>
      <c r="F37" s="153">
        <v>6.7</v>
      </c>
      <c r="G37" s="155">
        <v>7.567</v>
      </c>
      <c r="H37" s="12">
        <f aca="true" t="shared" si="10" ref="H37:H42">+((EXP((LN(D37)-LN(B37))/4))-1)*(100)</f>
        <v>-3.1001039131109076</v>
      </c>
      <c r="I37" s="11">
        <f aca="true" t="shared" si="11" ref="I37:J42">((D37/C37)-1)*100</f>
        <v>-2.9919189414779113</v>
      </c>
      <c r="J37" s="12">
        <f t="shared" si="11"/>
        <v>-2.077463338882246</v>
      </c>
      <c r="K37" s="157">
        <f aca="true" t="shared" si="12" ref="K37:K42">((F37/E37)-1)*100</f>
        <v>0.6179745751894172</v>
      </c>
      <c r="L37" s="23">
        <f aca="true" t="shared" si="13" ref="L37:L42">+((EXP((LN(G37)-LN(D37))/12))-1)*(100)</f>
        <v>0.8944467191504657</v>
      </c>
    </row>
    <row r="38" spans="1:12" s="7" customFormat="1" ht="12">
      <c r="A38" s="24" t="s">
        <v>66</v>
      </c>
      <c r="B38" s="201">
        <v>5.925</v>
      </c>
      <c r="C38" s="202">
        <v>5.417171</v>
      </c>
      <c r="D38" s="186">
        <v>5.38883</v>
      </c>
      <c r="E38" s="152">
        <v>5.32518</v>
      </c>
      <c r="F38" s="153">
        <v>5.292</v>
      </c>
      <c r="G38" s="155">
        <v>5.59</v>
      </c>
      <c r="H38" s="12">
        <f t="shared" si="10"/>
        <v>-2.3434152298820954</v>
      </c>
      <c r="I38" s="11">
        <f t="shared" si="11"/>
        <v>-0.5231697504103239</v>
      </c>
      <c r="J38" s="12">
        <f t="shared" si="11"/>
        <v>-1.1811469279973563</v>
      </c>
      <c r="K38" s="157">
        <f t="shared" si="12"/>
        <v>-0.6230775297736413</v>
      </c>
      <c r="L38" s="23">
        <f t="shared" si="13"/>
        <v>0.3058918510191022</v>
      </c>
    </row>
    <row r="39" spans="1:12" s="7" customFormat="1" ht="12">
      <c r="A39" s="24" t="s">
        <v>67</v>
      </c>
      <c r="B39" s="201">
        <v>3.205</v>
      </c>
      <c r="C39" s="202">
        <v>2.814498</v>
      </c>
      <c r="D39" s="186">
        <v>2.68354</v>
      </c>
      <c r="E39" s="152">
        <v>2.6208416</v>
      </c>
      <c r="F39" s="153">
        <v>2.626</v>
      </c>
      <c r="G39" s="155">
        <v>2.991</v>
      </c>
      <c r="H39" s="12">
        <f t="shared" si="10"/>
        <v>-4.3422834008323585</v>
      </c>
      <c r="I39" s="11">
        <f t="shared" si="11"/>
        <v>-4.652978968185451</v>
      </c>
      <c r="J39" s="12">
        <f t="shared" si="11"/>
        <v>-2.3364063885762842</v>
      </c>
      <c r="K39" s="157">
        <f t="shared" si="12"/>
        <v>0.19682227266233365</v>
      </c>
      <c r="L39" s="23">
        <f t="shared" si="13"/>
        <v>0.9080224134322634</v>
      </c>
    </row>
    <row r="40" spans="1:12" s="7" customFormat="1" ht="12">
      <c r="A40" s="57" t="s">
        <v>49</v>
      </c>
      <c r="B40" s="201">
        <f aca="true" t="shared" si="14" ref="B40:G40">SUM((B37+B38)*2)+B39</f>
        <v>30.481</v>
      </c>
      <c r="C40" s="203">
        <f t="shared" si="14"/>
        <v>27.668537999999998</v>
      </c>
      <c r="D40" s="204">
        <f t="shared" si="14"/>
        <v>27.061439999999997</v>
      </c>
      <c r="E40" s="203">
        <f t="shared" si="14"/>
        <v>26.5889016</v>
      </c>
      <c r="F40" s="203">
        <f t="shared" si="14"/>
        <v>26.610000000000003</v>
      </c>
      <c r="G40" s="204">
        <f t="shared" si="14"/>
        <v>29.305</v>
      </c>
      <c r="H40" s="12">
        <f t="shared" si="10"/>
        <v>-2.9310296456114493</v>
      </c>
      <c r="I40" s="11">
        <f t="shared" si="11"/>
        <v>-2.1941817092034355</v>
      </c>
      <c r="J40" s="12">
        <f t="shared" si="11"/>
        <v>-1.7461687182943608</v>
      </c>
      <c r="K40" s="157">
        <f t="shared" si="12"/>
        <v>0.07935040084545708</v>
      </c>
      <c r="L40" s="23">
        <f t="shared" si="13"/>
        <v>0.6659435545915526</v>
      </c>
    </row>
    <row r="41" spans="1:12" s="7" customFormat="1" ht="12">
      <c r="A41" s="24" t="s">
        <v>68</v>
      </c>
      <c r="B41" s="205">
        <v>15.002</v>
      </c>
      <c r="C41" s="202">
        <v>17.481</v>
      </c>
      <c r="D41" s="186">
        <v>19.754</v>
      </c>
      <c r="E41" s="152">
        <v>21.088</v>
      </c>
      <c r="F41" s="153">
        <v>22.064</v>
      </c>
      <c r="G41" s="155">
        <v>28.353</v>
      </c>
      <c r="H41" s="12">
        <f t="shared" si="10"/>
        <v>7.121457253231145</v>
      </c>
      <c r="I41" s="11">
        <f t="shared" si="11"/>
        <v>13.00268863337337</v>
      </c>
      <c r="J41" s="12">
        <f t="shared" si="11"/>
        <v>6.753062670851473</v>
      </c>
      <c r="K41" s="157">
        <f t="shared" si="12"/>
        <v>4.628224582701068</v>
      </c>
      <c r="L41" s="23">
        <f t="shared" si="13"/>
        <v>3.0572771843381252</v>
      </c>
    </row>
    <row r="42" spans="1:12" s="7" customFormat="1" ht="12.75" thickBot="1">
      <c r="A42" s="58" t="s">
        <v>69</v>
      </c>
      <c r="B42" s="206">
        <f aca="true" t="shared" si="15" ref="B42:G42">B40+B41</f>
        <v>45.483000000000004</v>
      </c>
      <c r="C42" s="207">
        <f t="shared" si="15"/>
        <v>45.149538</v>
      </c>
      <c r="D42" s="208">
        <f t="shared" si="15"/>
        <v>46.815439999999995</v>
      </c>
      <c r="E42" s="206">
        <f t="shared" si="15"/>
        <v>47.6769016</v>
      </c>
      <c r="F42" s="207">
        <f t="shared" si="15"/>
        <v>48.67400000000001</v>
      </c>
      <c r="G42" s="208">
        <f t="shared" si="15"/>
        <v>57.658</v>
      </c>
      <c r="H42" s="92">
        <f t="shared" si="10"/>
        <v>0.7244725276939423</v>
      </c>
      <c r="I42" s="22">
        <f t="shared" si="11"/>
        <v>3.6897431818682103</v>
      </c>
      <c r="J42" s="22">
        <f t="shared" si="11"/>
        <v>1.8401228312710627</v>
      </c>
      <c r="K42" s="158">
        <f t="shared" si="12"/>
        <v>2.09136576945681</v>
      </c>
      <c r="L42" s="29">
        <f t="shared" si="13"/>
        <v>1.751121651197196</v>
      </c>
    </row>
    <row r="43" s="7" customFormat="1" ht="12"/>
    <row r="44" s="7" customFormat="1" ht="12">
      <c r="A44" s="7" t="s">
        <v>172</v>
      </c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2" ht="12.75">
      <c r="A47" s="226" t="s">
        <v>204</v>
      </c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</sheetData>
  <mergeCells count="1">
    <mergeCell ref="A47:L47"/>
  </mergeCells>
  <printOptions horizontalCentered="1"/>
  <pageMargins left="0.75" right="0.5" top="0.75" bottom="0.5" header="0.5" footer="0.5"/>
  <pageSetup fitToHeight="1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Federal Aviation Administration</dc:creator>
  <cp:keywords/>
  <dc:description/>
  <cp:lastModifiedBy>Jon Pietrak</cp:lastModifiedBy>
  <cp:lastPrinted>2005-03-03T22:10:21Z</cp:lastPrinted>
  <dcterms:created xsi:type="dcterms:W3CDTF">1999-10-05T20:15:51Z</dcterms:created>
  <dcterms:modified xsi:type="dcterms:W3CDTF">2005-05-19T13:45:29Z</dcterms:modified>
  <cp:category/>
  <cp:version/>
  <cp:contentType/>
  <cp:contentStatus/>
</cp:coreProperties>
</file>