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55" windowHeight="6150" activeTab="0"/>
  </bookViews>
  <sheets>
    <sheet name="MPPI" sheetId="1" r:id="rId1"/>
    <sheet name="BPI" sheetId="2" r:id="rId2"/>
    <sheet name="Sheet3" sheetId="3" r:id="rId3"/>
  </sheets>
  <definedNames>
    <definedName name="_xlnm.Print_Titles" localSheetId="0">'MPPI'!$1:$3</definedName>
  </definedNames>
  <calcPr fullCalcOnLoad="1"/>
</workbook>
</file>

<file path=xl/sharedStrings.xml><?xml version="1.0" encoding="utf-8"?>
<sst xmlns="http://schemas.openxmlformats.org/spreadsheetml/2006/main" count="84" uniqueCount="8">
  <si>
    <t>Week Ending</t>
  </si>
  <si>
    <t>Monthly Performance Price Index (MPPI)</t>
  </si>
  <si>
    <t>BPI =</t>
  </si>
  <si>
    <t>Base Price Index (BPI)</t>
  </si>
  <si>
    <t>Average Selling Prices Asphalt Cement US$/ST</t>
  </si>
  <si>
    <t>NM PFH 12-1(6), CUBA - LA CUEVA</t>
  </si>
  <si>
    <r>
      <t xml:space="preserve">Monthly MPPI/BPI Ratio </t>
    </r>
    <r>
      <rPr>
        <b/>
        <sz val="8"/>
        <rFont val="Arial"/>
        <family val="2"/>
      </rPr>
      <t>(Min = 0.4, Max = 1.6)</t>
    </r>
  </si>
  <si>
    <t xml:space="preserve"> 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</si>
</sst>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\-mmm\-yyyy"/>
    <numFmt numFmtId="165" formatCode="mmmm\ d\,\ 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00%"/>
    <numFmt numFmtId="171" formatCode="0.000"/>
  </numFmts>
  <fonts count="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21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165" fontId="0" fillId="0" borderId="3" xfId="0" applyNumberFormat="1" applyBorder="1" applyAlignment="1">
      <alignment/>
    </xf>
    <xf numFmtId="0" fontId="0" fillId="0" borderId="3" xfId="0" applyBorder="1" applyAlignment="1">
      <alignment/>
    </xf>
    <xf numFmtId="0" fontId="0" fillId="2" borderId="3" xfId="0" applyFill="1" applyBorder="1" applyAlignment="1">
      <alignment/>
    </xf>
    <xf numFmtId="165" fontId="0" fillId="0" borderId="4" xfId="0" applyNumberFormat="1" applyBorder="1" applyAlignment="1">
      <alignment/>
    </xf>
    <xf numFmtId="0" fontId="0" fillId="2" borderId="4" xfId="0" applyFill="1" applyBorder="1" applyAlignment="1">
      <alignment/>
    </xf>
    <xf numFmtId="165" fontId="0" fillId="0" borderId="5" xfId="0" applyNumberFormat="1" applyBorder="1" applyAlignment="1">
      <alignment/>
    </xf>
    <xf numFmtId="0" fontId="1" fillId="0" borderId="0" xfId="0" applyFont="1" applyAlignment="1">
      <alignment horizontal="centerContinuous" wrapText="1"/>
    </xf>
    <xf numFmtId="0" fontId="0" fillId="0" borderId="0" xfId="0" applyAlignment="1">
      <alignment horizontal="centerContinuous" wrapText="1"/>
    </xf>
    <xf numFmtId="0" fontId="1" fillId="0" borderId="6" xfId="0" applyFont="1" applyBorder="1" applyAlignment="1">
      <alignment horizontal="right" wrapText="1"/>
    </xf>
    <xf numFmtId="2" fontId="0" fillId="0" borderId="3" xfId="0" applyNumberFormat="1" applyBorder="1" applyAlignment="1">
      <alignment/>
    </xf>
    <xf numFmtId="165" fontId="0" fillId="0" borderId="7" xfId="0" applyNumberFormat="1" applyBorder="1" applyAlignment="1">
      <alignment/>
    </xf>
    <xf numFmtId="2" fontId="0" fillId="0" borderId="4" xfId="0" applyNumberFormat="1" applyBorder="1" applyAlignment="1">
      <alignment/>
    </xf>
    <xf numFmtId="2" fontId="0" fillId="0" borderId="7" xfId="0" applyNumberFormat="1" applyBorder="1" applyAlignment="1">
      <alignment/>
    </xf>
    <xf numFmtId="2" fontId="0" fillId="0" borderId="5" xfId="0" applyNumberFormat="1" applyBorder="1" applyAlignment="1">
      <alignment/>
    </xf>
    <xf numFmtId="2" fontId="0" fillId="0" borderId="8" xfId="0" applyNumberFormat="1" applyFont="1" applyBorder="1" applyAlignment="1">
      <alignment/>
    </xf>
    <xf numFmtId="0" fontId="0" fillId="0" borderId="0" xfId="0" applyFont="1" applyAlignment="1">
      <alignment/>
    </xf>
    <xf numFmtId="2" fontId="0" fillId="0" borderId="9" xfId="0" applyNumberFormat="1" applyBorder="1" applyAlignment="1">
      <alignment/>
    </xf>
    <xf numFmtId="171" fontId="1" fillId="0" borderId="10" xfId="0" applyNumberFormat="1" applyFont="1" applyBorder="1" applyAlignment="1">
      <alignment horizontal="left" wrapText="1"/>
    </xf>
    <xf numFmtId="0" fontId="0" fillId="2" borderId="9" xfId="0" applyFill="1" applyBorder="1" applyAlignment="1">
      <alignment/>
    </xf>
    <xf numFmtId="0" fontId="0" fillId="2" borderId="11" xfId="0" applyFill="1" applyBorder="1" applyAlignment="1">
      <alignment/>
    </xf>
    <xf numFmtId="0" fontId="0" fillId="2" borderId="12" xfId="0" applyFill="1" applyBorder="1" applyAlignment="1">
      <alignment/>
    </xf>
    <xf numFmtId="0" fontId="0" fillId="2" borderId="13" xfId="0" applyFill="1" applyBorder="1" applyAlignment="1">
      <alignment/>
    </xf>
    <xf numFmtId="165" fontId="0" fillId="0" borderId="9" xfId="0" applyNumberFormat="1" applyBorder="1" applyAlignment="1">
      <alignment/>
    </xf>
    <xf numFmtId="165" fontId="0" fillId="0" borderId="11" xfId="0" applyNumberFormat="1" applyBorder="1" applyAlignment="1">
      <alignment/>
    </xf>
    <xf numFmtId="165" fontId="0" fillId="0" borderId="14" xfId="0" applyNumberFormat="1" applyBorder="1" applyAlignment="1">
      <alignment/>
    </xf>
    <xf numFmtId="2" fontId="0" fillId="0" borderId="15" xfId="0" applyNumberFormat="1" applyBorder="1" applyAlignment="1">
      <alignment/>
    </xf>
    <xf numFmtId="2" fontId="0" fillId="0" borderId="16" xfId="0" applyNumberFormat="1" applyBorder="1" applyAlignment="1">
      <alignment/>
    </xf>
    <xf numFmtId="2" fontId="0" fillId="0" borderId="17" xfId="0" applyNumberFormat="1" applyBorder="1" applyAlignment="1">
      <alignment/>
    </xf>
    <xf numFmtId="0" fontId="0" fillId="2" borderId="18" xfId="0" applyFill="1" applyBorder="1" applyAlignment="1">
      <alignment/>
    </xf>
    <xf numFmtId="165" fontId="0" fillId="0" borderId="13" xfId="0" applyNumberFormat="1" applyBorder="1" applyAlignment="1">
      <alignment/>
    </xf>
    <xf numFmtId="165" fontId="0" fillId="0" borderId="6" xfId="0" applyNumberFormat="1" applyBorder="1" applyAlignment="1">
      <alignment/>
    </xf>
    <xf numFmtId="2" fontId="0" fillId="0" borderId="0" xfId="0" applyNumberFormat="1" applyBorder="1" applyAlignment="1">
      <alignment/>
    </xf>
    <xf numFmtId="0" fontId="0" fillId="2" borderId="0" xfId="0" applyFill="1" applyBorder="1" applyAlignment="1">
      <alignment/>
    </xf>
    <xf numFmtId="0" fontId="0" fillId="2" borderId="19" xfId="0" applyFill="1" applyBorder="1" applyAlignment="1">
      <alignment/>
    </xf>
    <xf numFmtId="0" fontId="0" fillId="0" borderId="9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0" xfId="0" applyBorder="1" applyAlignment="1">
      <alignment/>
    </xf>
    <xf numFmtId="171" fontId="0" fillId="0" borderId="14" xfId="0" applyNumberFormat="1" applyBorder="1" applyAlignment="1">
      <alignment/>
    </xf>
    <xf numFmtId="171" fontId="0" fillId="0" borderId="20" xfId="0" applyNumberFormat="1" applyBorder="1" applyAlignment="1">
      <alignment/>
    </xf>
    <xf numFmtId="0" fontId="0" fillId="2" borderId="13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11" xfId="0" applyFill="1" applyBorder="1" applyAlignment="1">
      <alignment/>
    </xf>
    <xf numFmtId="0" fontId="0" fillId="0" borderId="12" xfId="0" applyBorder="1" applyAlignment="1">
      <alignment/>
    </xf>
    <xf numFmtId="171" fontId="0" fillId="0" borderId="11" xfId="0" applyNumberFormat="1" applyBorder="1" applyAlignment="1">
      <alignment/>
    </xf>
    <xf numFmtId="171" fontId="0" fillId="0" borderId="12" xfId="0" applyNumberFormat="1" applyBorder="1" applyAlignment="1">
      <alignment/>
    </xf>
    <xf numFmtId="0" fontId="0" fillId="2" borderId="13" xfId="0" applyFill="1" applyBorder="1" applyAlignment="1">
      <alignment/>
    </xf>
    <xf numFmtId="0" fontId="0" fillId="0" borderId="18" xfId="0" applyBorder="1" applyAlignment="1">
      <alignment/>
    </xf>
    <xf numFmtId="0" fontId="0" fillId="2" borderId="18" xfId="0" applyFill="1" applyBorder="1" applyAlignment="1">
      <alignment/>
    </xf>
    <xf numFmtId="171" fontId="0" fillId="0" borderId="6" xfId="0" applyNumberFormat="1" applyBorder="1" applyAlignment="1">
      <alignment/>
    </xf>
    <xf numFmtId="171" fontId="0" fillId="0" borderId="10" xfId="0" applyNumberFormat="1" applyBorder="1" applyAlignment="1">
      <alignment/>
    </xf>
    <xf numFmtId="0" fontId="0" fillId="2" borderId="12" xfId="0" applyFill="1" applyBorder="1" applyAlignment="1">
      <alignment/>
    </xf>
    <xf numFmtId="0" fontId="0" fillId="2" borderId="14" xfId="0" applyFill="1" applyBorder="1" applyAlignment="1">
      <alignment/>
    </xf>
    <xf numFmtId="0" fontId="0" fillId="2" borderId="20" xfId="0" applyFill="1" applyBorder="1" applyAlignment="1">
      <alignment/>
    </xf>
    <xf numFmtId="0" fontId="1" fillId="0" borderId="9" xfId="0" applyFont="1" applyBorder="1" applyAlignment="1">
      <alignment horizontal="center" wrapText="1"/>
    </xf>
    <xf numFmtId="0" fontId="0" fillId="0" borderId="5" xfId="0" applyBorder="1" applyAlignment="1">
      <alignment wrapText="1"/>
    </xf>
    <xf numFmtId="0" fontId="1" fillId="0" borderId="9" xfId="0" applyFont="1" applyBorder="1" applyAlignment="1">
      <alignment horizontal="center"/>
    </xf>
    <xf numFmtId="0" fontId="0" fillId="0" borderId="5" xfId="0" applyBorder="1" applyAlignment="1">
      <alignment/>
    </xf>
    <xf numFmtId="0" fontId="1" fillId="0" borderId="13" xfId="0" applyFont="1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166"/>
  <sheetViews>
    <sheetView tabSelected="1" workbookViewId="0" topLeftCell="A127">
      <selection activeCell="H144" sqref="H144"/>
    </sheetView>
  </sheetViews>
  <sheetFormatPr defaultColWidth="9.140625" defaultRowHeight="12.75"/>
  <cols>
    <col min="2" max="2" width="18.00390625" style="0" bestFit="1" customWidth="1"/>
    <col min="3" max="3" width="22.00390625" style="0" customWidth="1"/>
    <col min="4" max="4" width="18.28125" style="0" customWidth="1"/>
    <col min="5" max="5" width="13.7109375" style="0" customWidth="1"/>
    <col min="6" max="6" width="8.7109375" style="0" customWidth="1"/>
  </cols>
  <sheetData>
    <row r="1" spans="2:5" ht="13.5" thickBot="1">
      <c r="B1" s="10" t="s">
        <v>5</v>
      </c>
      <c r="C1" s="11"/>
      <c r="D1" s="11"/>
      <c r="E1" s="11"/>
    </row>
    <row r="2" spans="2:6" ht="26.25" customHeight="1">
      <c r="B2" s="62" t="s">
        <v>0</v>
      </c>
      <c r="C2" s="60" t="s">
        <v>4</v>
      </c>
      <c r="D2" s="60" t="s">
        <v>1</v>
      </c>
      <c r="E2" s="64" t="s">
        <v>6</v>
      </c>
      <c r="F2" s="65"/>
    </row>
    <row r="3" spans="2:16" ht="15.75" customHeight="1" thickBot="1">
      <c r="B3" s="63"/>
      <c r="C3" s="61"/>
      <c r="D3" s="61"/>
      <c r="E3" s="12" t="s">
        <v>2</v>
      </c>
      <c r="F3" s="21">
        <f>BPI!D11</f>
        <v>293.125</v>
      </c>
      <c r="G3" s="1"/>
      <c r="H3" s="1"/>
      <c r="I3" s="1"/>
      <c r="J3" s="1"/>
      <c r="K3" s="1"/>
      <c r="L3" s="1"/>
      <c r="M3" s="1"/>
      <c r="N3" s="1"/>
      <c r="O3" s="1"/>
      <c r="P3" s="1"/>
    </row>
    <row r="4" spans="2:6" ht="12.75" hidden="1">
      <c r="B4" s="4">
        <v>38779</v>
      </c>
      <c r="C4" s="5"/>
      <c r="D4" s="6"/>
      <c r="E4" s="52"/>
      <c r="F4" s="54"/>
    </row>
    <row r="5" spans="2:6" ht="12.75" hidden="1">
      <c r="B5" s="4">
        <f aca="true" t="shared" si="0" ref="B5:B62">B4+7</f>
        <v>38786</v>
      </c>
      <c r="C5" s="5"/>
      <c r="D5" s="6"/>
      <c r="E5" s="48"/>
      <c r="F5" s="57"/>
    </row>
    <row r="6" spans="2:6" ht="12.75" hidden="1">
      <c r="B6" s="4">
        <f t="shared" si="0"/>
        <v>38793</v>
      </c>
      <c r="C6" s="5"/>
      <c r="D6" s="6"/>
      <c r="E6" s="48"/>
      <c r="F6" s="57"/>
    </row>
    <row r="7" spans="2:6" ht="12.75" hidden="1">
      <c r="B7" s="4">
        <f t="shared" si="0"/>
        <v>38800</v>
      </c>
      <c r="C7" s="5"/>
      <c r="D7" s="6"/>
      <c r="E7" s="58"/>
      <c r="F7" s="59"/>
    </row>
    <row r="8" spans="2:6" ht="12.75">
      <c r="B8" s="4">
        <v>38885</v>
      </c>
      <c r="C8" s="20">
        <f>(250+300+260+400+250+400)/6</f>
        <v>310</v>
      </c>
      <c r="D8" s="6"/>
      <c r="E8" s="48"/>
      <c r="F8" s="49"/>
    </row>
    <row r="9" spans="2:6" ht="12.75">
      <c r="B9" s="7">
        <f>B8+7</f>
        <v>38892</v>
      </c>
      <c r="C9" s="15">
        <f>(260+325+275+400+275+425)/6</f>
        <v>326.6666666666667</v>
      </c>
      <c r="D9" s="15">
        <f>SUM(C8:C9)/COUNTA(C8:C9)</f>
        <v>318.33333333333337</v>
      </c>
      <c r="E9" s="42">
        <f>D9/F$3</f>
        <v>1.085998578535892</v>
      </c>
      <c r="F9" s="43"/>
    </row>
    <row r="10" spans="2:6" ht="12.75">
      <c r="B10" s="14">
        <f>B9+7</f>
        <v>38899</v>
      </c>
      <c r="C10" s="16">
        <f>(260+325+275+400+275+440)/6</f>
        <v>329.1666666666667</v>
      </c>
      <c r="D10" s="6"/>
      <c r="E10" s="48"/>
      <c r="F10" s="49"/>
    </row>
    <row r="11" spans="2:6" ht="12.75">
      <c r="B11" s="4">
        <f t="shared" si="0"/>
        <v>38906</v>
      </c>
      <c r="C11" s="13">
        <f>(275+350+290+400+300+440)/6</f>
        <v>342.5</v>
      </c>
      <c r="D11" s="6"/>
      <c r="E11" s="48"/>
      <c r="F11" s="49"/>
    </row>
    <row r="12" spans="2:6" ht="12.75">
      <c r="B12" s="4">
        <f t="shared" si="0"/>
        <v>38913</v>
      </c>
      <c r="C12" s="13">
        <f>(275+350+290+400+300+440)/6</f>
        <v>342.5</v>
      </c>
      <c r="D12" s="6"/>
      <c r="E12" s="48"/>
      <c r="F12" s="49"/>
    </row>
    <row r="13" spans="2:6" ht="12.75">
      <c r="B13" s="7">
        <f t="shared" si="0"/>
        <v>38920</v>
      </c>
      <c r="C13" s="15">
        <f>(275+350+290+400+300+440)/6</f>
        <v>342.5</v>
      </c>
      <c r="D13" s="15">
        <f>SUM(C10:C13)/COUNTA(C10:C13)</f>
        <v>339.1666666666667</v>
      </c>
      <c r="E13" s="42">
        <f>D13/F$3</f>
        <v>1.1570717839374556</v>
      </c>
      <c r="F13" s="43"/>
    </row>
    <row r="14" spans="2:6" ht="12.75">
      <c r="B14" s="14">
        <f t="shared" si="0"/>
        <v>38927</v>
      </c>
      <c r="C14" s="16">
        <f>(275+350+300+400+325+440)/6</f>
        <v>348.3333333333333</v>
      </c>
      <c r="D14" s="6"/>
      <c r="E14" s="48"/>
      <c r="F14" s="49"/>
    </row>
    <row r="15" spans="2:6" ht="12.75">
      <c r="B15" s="4">
        <f t="shared" si="0"/>
        <v>38934</v>
      </c>
      <c r="C15" s="13">
        <f>(300+350+325+400+350+440)/6</f>
        <v>360.8333333333333</v>
      </c>
      <c r="D15" s="6"/>
      <c r="E15" s="48"/>
      <c r="F15" s="49"/>
    </row>
    <row r="16" spans="2:6" ht="12.75">
      <c r="B16" s="4">
        <f t="shared" si="0"/>
        <v>38941</v>
      </c>
      <c r="C16" s="13">
        <f>(300+350+325+430+350+450)/6</f>
        <v>367.5</v>
      </c>
      <c r="D16" s="6"/>
      <c r="E16" s="48"/>
      <c r="F16" s="49"/>
    </row>
    <row r="17" spans="2:6" ht="12.75">
      <c r="B17" s="4">
        <f t="shared" si="0"/>
        <v>38948</v>
      </c>
      <c r="C17" s="13">
        <f>(300+350+325+430+350+450)/6</f>
        <v>367.5</v>
      </c>
      <c r="D17" s="6"/>
      <c r="E17" s="48"/>
      <c r="F17" s="49"/>
    </row>
    <row r="18" spans="2:6" ht="12.75">
      <c r="B18" s="7">
        <f t="shared" si="0"/>
        <v>38955</v>
      </c>
      <c r="C18" s="15">
        <f>(300+350+325+430+350+450)/6</f>
        <v>367.5</v>
      </c>
      <c r="D18" s="15">
        <f>SUM(C15:C18)/COUNTA(C15:C18)</f>
        <v>365.8333333333333</v>
      </c>
      <c r="E18" s="42">
        <f>D18/F$3</f>
        <v>1.248045486851457</v>
      </c>
      <c r="F18" s="43"/>
    </row>
    <row r="19" spans="2:6" ht="12.75">
      <c r="B19" s="4">
        <f t="shared" si="0"/>
        <v>38962</v>
      </c>
      <c r="C19" s="16">
        <f>(300+350+325+430+350+450)/6</f>
        <v>367.5</v>
      </c>
      <c r="D19" s="6"/>
      <c r="E19" s="48"/>
      <c r="F19" s="49"/>
    </row>
    <row r="20" spans="2:6" ht="12.75">
      <c r="B20" s="4">
        <f t="shared" si="0"/>
        <v>38969</v>
      </c>
      <c r="C20" s="13">
        <f>(300+350+325+430+350+450)/6</f>
        <v>367.5</v>
      </c>
      <c r="D20" s="6"/>
      <c r="E20" s="48"/>
      <c r="F20" s="49"/>
    </row>
    <row r="21" spans="2:6" ht="12.75">
      <c r="B21" s="4">
        <f t="shared" si="0"/>
        <v>38976</v>
      </c>
      <c r="C21" s="13">
        <f>(300+350+325+410+350+450)/6</f>
        <v>364.1666666666667</v>
      </c>
      <c r="D21" s="6"/>
      <c r="E21" s="48"/>
      <c r="F21" s="49"/>
    </row>
    <row r="22" spans="2:6" ht="12.75">
      <c r="B22" s="4">
        <f t="shared" si="0"/>
        <v>38983</v>
      </c>
      <c r="C22" s="15">
        <f>(300+350+325+410+350+440)/6</f>
        <v>362.5</v>
      </c>
      <c r="D22" s="15">
        <f>SUM(C19:C22)/COUNTA(C19:C22)</f>
        <v>365.4166666666667</v>
      </c>
      <c r="E22" s="42">
        <f>D22/F$3</f>
        <v>1.2466240227434258</v>
      </c>
      <c r="F22" s="43"/>
    </row>
    <row r="23" spans="2:6" ht="12.75">
      <c r="B23" s="14">
        <f t="shared" si="0"/>
        <v>38990</v>
      </c>
      <c r="C23" s="16">
        <f>(300+350+325+410+350+440)/6</f>
        <v>362.5</v>
      </c>
      <c r="D23" s="6"/>
      <c r="E23" s="48"/>
      <c r="F23" s="49"/>
    </row>
    <row r="24" spans="2:6" ht="12.75">
      <c r="B24" s="4">
        <f t="shared" si="0"/>
        <v>38997</v>
      </c>
      <c r="C24" s="13">
        <f>(300+350+325+390+350+430)/6</f>
        <v>357.5</v>
      </c>
      <c r="D24" s="6"/>
      <c r="E24" s="48"/>
      <c r="F24" s="49"/>
    </row>
    <row r="25" spans="2:6" ht="12.75">
      <c r="B25" s="4">
        <f t="shared" si="0"/>
        <v>39004</v>
      </c>
      <c r="C25" s="13">
        <f>(300+350+325+390+350+430)/6</f>
        <v>357.5</v>
      </c>
      <c r="D25" s="6"/>
      <c r="E25" s="48"/>
      <c r="F25" s="49"/>
    </row>
    <row r="26" spans="2:6" ht="12.75">
      <c r="B26" s="4">
        <f t="shared" si="0"/>
        <v>39011</v>
      </c>
      <c r="C26" s="15">
        <f>(300+350+325+390+350+430)/6</f>
        <v>357.5</v>
      </c>
      <c r="D26" s="15">
        <f>SUM(C23:C26)/COUNTA(C23:C26)</f>
        <v>358.75</v>
      </c>
      <c r="E26" s="42">
        <f>D26/F$3</f>
        <v>1.2238805970149254</v>
      </c>
      <c r="F26" s="43"/>
    </row>
    <row r="27" spans="2:6" ht="12.75">
      <c r="B27" s="14">
        <f t="shared" si="0"/>
        <v>39018</v>
      </c>
      <c r="C27" s="16">
        <f>(300+350+325+375+350+430)/6</f>
        <v>355</v>
      </c>
      <c r="D27" s="6"/>
      <c r="E27" s="48"/>
      <c r="F27" s="49"/>
    </row>
    <row r="28" spans="2:6" ht="12.75">
      <c r="B28" s="4">
        <f t="shared" si="0"/>
        <v>39025</v>
      </c>
      <c r="C28" s="13">
        <f>(300+350+325+375+340+430)/6</f>
        <v>353.3333333333333</v>
      </c>
      <c r="D28" s="6"/>
      <c r="E28" s="48"/>
      <c r="F28" s="49"/>
    </row>
    <row r="29" spans="2:6" ht="12.75">
      <c r="B29" s="4">
        <f t="shared" si="0"/>
        <v>39032</v>
      </c>
      <c r="C29" s="13">
        <f>(300+350+325+375+340+430)/6</f>
        <v>353.3333333333333</v>
      </c>
      <c r="D29" s="6"/>
      <c r="E29" s="48"/>
      <c r="F29" s="49"/>
    </row>
    <row r="30" spans="2:6" ht="12.75">
      <c r="B30" s="4">
        <f t="shared" si="0"/>
        <v>39039</v>
      </c>
      <c r="C30" s="13">
        <f>(300+350+325+375+340+420)/6</f>
        <v>351.6666666666667</v>
      </c>
      <c r="D30" s="6"/>
      <c r="E30" s="48"/>
      <c r="F30" s="49"/>
    </row>
    <row r="31" spans="2:6" ht="12.75">
      <c r="B31" s="7">
        <f t="shared" si="0"/>
        <v>39046</v>
      </c>
      <c r="C31" s="15">
        <f>(300+350+325+375+340+420)/6</f>
        <v>351.6666666666667</v>
      </c>
      <c r="D31" s="15">
        <f>SUM(C28:C31)/COUNTA(C28:C31)</f>
        <v>352.5</v>
      </c>
      <c r="E31" s="42">
        <f>D31/F$3</f>
        <v>1.2025586353944564</v>
      </c>
      <c r="F31" s="43"/>
    </row>
    <row r="32" spans="2:6" ht="12.75">
      <c r="B32" s="4">
        <f t="shared" si="0"/>
        <v>39053</v>
      </c>
      <c r="C32" s="16">
        <f aca="true" t="shared" si="1" ref="C32:C37">(300+350+325+360+340+405)/6</f>
        <v>346.6666666666667</v>
      </c>
      <c r="D32" s="6"/>
      <c r="E32" s="48"/>
      <c r="F32" s="49"/>
    </row>
    <row r="33" spans="2:6" ht="12.75">
      <c r="B33" s="4">
        <f t="shared" si="0"/>
        <v>39060</v>
      </c>
      <c r="C33" s="13">
        <f t="shared" si="1"/>
        <v>346.6666666666667</v>
      </c>
      <c r="D33" s="6"/>
      <c r="E33" s="48"/>
      <c r="F33" s="49"/>
    </row>
    <row r="34" spans="2:6" ht="12.75">
      <c r="B34" s="4">
        <f t="shared" si="0"/>
        <v>39067</v>
      </c>
      <c r="C34" s="13">
        <f t="shared" si="1"/>
        <v>346.6666666666667</v>
      </c>
      <c r="D34" s="6"/>
      <c r="E34" s="48"/>
      <c r="F34" s="49"/>
    </row>
    <row r="35" spans="2:6" ht="12.75">
      <c r="B35" s="7">
        <f>B34+7</f>
        <v>39074</v>
      </c>
      <c r="C35" s="15">
        <f t="shared" si="1"/>
        <v>346.6666666666667</v>
      </c>
      <c r="D35" s="15">
        <f>SUM(C32:C35)/COUNTA(C32:C35)</f>
        <v>346.6666666666667</v>
      </c>
      <c r="E35" s="42">
        <f>D35/F$3</f>
        <v>1.1826581378820185</v>
      </c>
      <c r="F35" s="43"/>
    </row>
    <row r="36" spans="2:6" ht="12.75">
      <c r="B36" s="4">
        <f t="shared" si="0"/>
        <v>39081</v>
      </c>
      <c r="C36" s="16">
        <f t="shared" si="1"/>
        <v>346.6666666666667</v>
      </c>
      <c r="D36" s="6"/>
      <c r="E36" s="48"/>
      <c r="F36" s="49"/>
    </row>
    <row r="37" spans="2:6" ht="12.75">
      <c r="B37" s="4">
        <f t="shared" si="0"/>
        <v>39088</v>
      </c>
      <c r="C37" s="13">
        <f t="shared" si="1"/>
        <v>346.6666666666667</v>
      </c>
      <c r="D37" s="6"/>
      <c r="E37" s="48"/>
      <c r="F37" s="49"/>
    </row>
    <row r="38" spans="2:6" ht="12.75">
      <c r="B38" s="4">
        <f t="shared" si="0"/>
        <v>39095</v>
      </c>
      <c r="C38" s="13">
        <f>(300+350+325+360+340+405)/6</f>
        <v>346.6666666666667</v>
      </c>
      <c r="D38" s="6"/>
      <c r="E38" s="48"/>
      <c r="F38" s="49"/>
    </row>
    <row r="39" spans="2:6" ht="12.75">
      <c r="B39" s="4">
        <f t="shared" si="0"/>
        <v>39102</v>
      </c>
      <c r="C39" s="13">
        <f>(300+350+325+360+340+380)/6</f>
        <v>342.5</v>
      </c>
      <c r="D39" s="6"/>
      <c r="E39" s="48"/>
      <c r="F39" s="49"/>
    </row>
    <row r="40" spans="2:6" ht="12.75">
      <c r="B40" s="7">
        <f t="shared" si="0"/>
        <v>39109</v>
      </c>
      <c r="C40" s="15">
        <f>(300+350+325+360+340+380)/6</f>
        <v>342.5</v>
      </c>
      <c r="D40" s="15">
        <f>SUM(C37:C40)/COUNTA(C37:C40)</f>
        <v>344.58333333333337</v>
      </c>
      <c r="E40" s="42">
        <f>D40/F$3</f>
        <v>1.1755508173418623</v>
      </c>
      <c r="F40" s="43"/>
    </row>
    <row r="41" spans="2:6" ht="12.75">
      <c r="B41" s="4">
        <f t="shared" si="0"/>
        <v>39116</v>
      </c>
      <c r="C41" s="16">
        <f>(300+350+325+360+340+380)/6</f>
        <v>342.5</v>
      </c>
      <c r="D41" s="6"/>
      <c r="E41" s="48"/>
      <c r="F41" s="49"/>
    </row>
    <row r="42" spans="2:6" ht="12.75">
      <c r="B42" s="4">
        <f t="shared" si="0"/>
        <v>39123</v>
      </c>
      <c r="C42" s="13">
        <f>(300+350+325+360+340+380)/6</f>
        <v>342.5</v>
      </c>
      <c r="D42" s="6"/>
      <c r="E42" s="48"/>
      <c r="F42" s="49"/>
    </row>
    <row r="43" spans="2:6" ht="12.75">
      <c r="B43" s="4">
        <f t="shared" si="0"/>
        <v>39130</v>
      </c>
      <c r="C43" s="13">
        <f>(310+350+330+355+340+370)/6</f>
        <v>342.5</v>
      </c>
      <c r="D43" s="6"/>
      <c r="E43" s="48"/>
      <c r="F43" s="49"/>
    </row>
    <row r="44" spans="2:6" ht="12.75">
      <c r="B44" s="7">
        <f t="shared" si="0"/>
        <v>39137</v>
      </c>
      <c r="C44" s="15">
        <f>(310+350+330+355+340+370)/6</f>
        <v>342.5</v>
      </c>
      <c r="D44" s="15">
        <f>SUM(C41:C44)/COUNTA(C41:C44)</f>
        <v>342.5</v>
      </c>
      <c r="E44" s="42">
        <f>D44/F$3</f>
        <v>1.1684434968017057</v>
      </c>
      <c r="F44" s="43"/>
    </row>
    <row r="45" spans="2:6" ht="12.75">
      <c r="B45" s="4">
        <f t="shared" si="0"/>
        <v>39144</v>
      </c>
      <c r="C45" s="16">
        <f>(310+350+330+355+340+370)/6</f>
        <v>342.5</v>
      </c>
      <c r="D45" s="6"/>
      <c r="E45" s="48"/>
      <c r="F45" s="49"/>
    </row>
    <row r="46" spans="2:6" ht="12.75">
      <c r="B46" s="4">
        <f t="shared" si="0"/>
        <v>39151</v>
      </c>
      <c r="C46" s="13">
        <f aca="true" t="shared" si="2" ref="C46:C51">(310+350+330+355+330+370)/6</f>
        <v>340.8333333333333</v>
      </c>
      <c r="D46" s="6"/>
      <c r="E46" s="48"/>
      <c r="F46" s="49"/>
    </row>
    <row r="47" spans="2:6" ht="12.75">
      <c r="B47" s="4">
        <f t="shared" si="0"/>
        <v>39158</v>
      </c>
      <c r="C47" s="13">
        <f t="shared" si="2"/>
        <v>340.8333333333333</v>
      </c>
      <c r="D47" s="6"/>
      <c r="E47" s="48"/>
      <c r="F47" s="49"/>
    </row>
    <row r="48" spans="2:6" ht="12.75">
      <c r="B48" s="7">
        <f t="shared" si="0"/>
        <v>39165</v>
      </c>
      <c r="C48" s="15">
        <f t="shared" si="2"/>
        <v>340.8333333333333</v>
      </c>
      <c r="D48" s="15">
        <f>SUM(C45:C48)/COUNTA(C45:C48)</f>
        <v>341.24999999999994</v>
      </c>
      <c r="E48" s="42">
        <f>D48/F$3</f>
        <v>1.1641791044776117</v>
      </c>
      <c r="F48" s="43"/>
    </row>
    <row r="49" spans="2:6" ht="12.75">
      <c r="B49" s="4">
        <f t="shared" si="0"/>
        <v>39172</v>
      </c>
      <c r="C49" s="16">
        <f t="shared" si="2"/>
        <v>340.8333333333333</v>
      </c>
      <c r="D49" s="6"/>
      <c r="E49" s="48"/>
      <c r="F49" s="49"/>
    </row>
    <row r="50" spans="2:6" ht="12.75">
      <c r="B50" s="4">
        <f t="shared" si="0"/>
        <v>39179</v>
      </c>
      <c r="C50" s="13">
        <f t="shared" si="2"/>
        <v>340.8333333333333</v>
      </c>
      <c r="D50" s="6"/>
      <c r="E50" s="48"/>
      <c r="F50" s="49"/>
    </row>
    <row r="51" spans="2:6" ht="12.75">
      <c r="B51" s="4">
        <f t="shared" si="0"/>
        <v>39186</v>
      </c>
      <c r="C51" s="13">
        <f t="shared" si="2"/>
        <v>340.8333333333333</v>
      </c>
      <c r="D51" s="6"/>
      <c r="E51" s="48"/>
      <c r="F51" s="49"/>
    </row>
    <row r="52" spans="2:6" ht="12.75">
      <c r="B52" s="7">
        <f t="shared" si="0"/>
        <v>39193</v>
      </c>
      <c r="C52" s="15">
        <f>(310+350+330+355+330+370)/6</f>
        <v>340.8333333333333</v>
      </c>
      <c r="D52" s="15">
        <f>SUM(C49:C52)/COUNTA(C49:C52)</f>
        <v>340.8333333333333</v>
      </c>
      <c r="E52" s="42">
        <f>D52/F$3</f>
        <v>1.1627576403695805</v>
      </c>
      <c r="F52" s="43"/>
    </row>
    <row r="53" spans="2:6" ht="12.75">
      <c r="B53" s="4">
        <f t="shared" si="0"/>
        <v>39200</v>
      </c>
      <c r="C53" s="16">
        <f>(325+350+330+350+330+370)/6</f>
        <v>342.5</v>
      </c>
      <c r="D53" s="6"/>
      <c r="E53" s="48"/>
      <c r="F53" s="49"/>
    </row>
    <row r="54" spans="2:6" ht="12.75">
      <c r="B54" s="4">
        <f t="shared" si="0"/>
        <v>39207</v>
      </c>
      <c r="C54" s="13">
        <f>(325+350+330+350+330+370)/6</f>
        <v>342.5</v>
      </c>
      <c r="D54" s="6"/>
      <c r="E54" s="48"/>
      <c r="F54" s="49"/>
    </row>
    <row r="55" spans="2:6" ht="12.75">
      <c r="B55" s="4">
        <f t="shared" si="0"/>
        <v>39214</v>
      </c>
      <c r="C55" s="13">
        <f>(325+350+330+350+330+370)/6</f>
        <v>342.5</v>
      </c>
      <c r="D55" s="6"/>
      <c r="E55" s="48"/>
      <c r="F55" s="49"/>
    </row>
    <row r="56" spans="2:6" ht="12.75">
      <c r="B56" s="4">
        <f t="shared" si="0"/>
        <v>39221</v>
      </c>
      <c r="C56" s="13">
        <f>(325+350+330+350+320+370)/6</f>
        <v>340.8333333333333</v>
      </c>
      <c r="D56" s="6"/>
      <c r="E56" s="48"/>
      <c r="F56" s="49"/>
    </row>
    <row r="57" spans="2:6" ht="12.75">
      <c r="B57" s="7">
        <f t="shared" si="0"/>
        <v>39228</v>
      </c>
      <c r="C57" s="15">
        <f>(325+350+330+350+320+370)/6</f>
        <v>340.8333333333333</v>
      </c>
      <c r="D57" s="15">
        <f>SUM(C54:C57)/COUNTA(C54:C57)</f>
        <v>341.66666666666663</v>
      </c>
      <c r="E57" s="42">
        <f>D57/F$3</f>
        <v>1.165600568585643</v>
      </c>
      <c r="F57" s="43"/>
    </row>
    <row r="58" spans="2:6" ht="12.75">
      <c r="B58" s="4">
        <f t="shared" si="0"/>
        <v>39235</v>
      </c>
      <c r="C58" s="16">
        <f>(325+350+330+350+320+370)/6</f>
        <v>340.8333333333333</v>
      </c>
      <c r="D58" s="6"/>
      <c r="E58" s="48"/>
      <c r="F58" s="49"/>
    </row>
    <row r="59" spans="2:6" ht="12.75">
      <c r="B59" s="4">
        <f t="shared" si="0"/>
        <v>39242</v>
      </c>
      <c r="C59" s="13">
        <f>(315+350+325+350+320+370)/6</f>
        <v>338.3333333333333</v>
      </c>
      <c r="D59" s="6"/>
      <c r="E59" s="48"/>
      <c r="F59" s="49"/>
    </row>
    <row r="60" spans="2:6" ht="12.75">
      <c r="B60" s="4">
        <f t="shared" si="0"/>
        <v>39249</v>
      </c>
      <c r="C60" s="13">
        <f>(310+345+315+350+320+370)/6</f>
        <v>335</v>
      </c>
      <c r="D60" s="6"/>
      <c r="E60" s="48"/>
      <c r="F60" s="49"/>
    </row>
    <row r="61" spans="2:6" ht="12.75">
      <c r="B61" s="7">
        <f t="shared" si="0"/>
        <v>39256</v>
      </c>
      <c r="C61" s="15">
        <f aca="true" t="shared" si="3" ref="C61:C66">(305+340+315+350+320+365)/6</f>
        <v>332.5</v>
      </c>
      <c r="D61" s="15">
        <f>SUM(C58:C61)/COUNTA(C58:C61)</f>
        <v>336.66666666666663</v>
      </c>
      <c r="E61" s="42">
        <f>D61/F$3</f>
        <v>1.1485429992892677</v>
      </c>
      <c r="F61" s="43"/>
    </row>
    <row r="62" spans="2:6" ht="12.75">
      <c r="B62" s="4">
        <f t="shared" si="0"/>
        <v>39263</v>
      </c>
      <c r="C62" s="13">
        <f t="shared" si="3"/>
        <v>332.5</v>
      </c>
      <c r="D62" s="6"/>
      <c r="E62" s="48"/>
      <c r="F62" s="49"/>
    </row>
    <row r="63" spans="2:6" ht="12.75">
      <c r="B63" s="4">
        <f>B62+7</f>
        <v>39270</v>
      </c>
      <c r="C63" s="13">
        <f t="shared" si="3"/>
        <v>332.5</v>
      </c>
      <c r="D63" s="6"/>
      <c r="E63" s="48"/>
      <c r="F63" s="49"/>
    </row>
    <row r="64" spans="2:6" ht="12.75">
      <c r="B64" s="4">
        <f>B63+7</f>
        <v>39277</v>
      </c>
      <c r="C64" s="13">
        <f t="shared" si="3"/>
        <v>332.5</v>
      </c>
      <c r="D64" s="6"/>
      <c r="E64" s="48"/>
      <c r="F64" s="49"/>
    </row>
    <row r="65" spans="2:6" ht="12.75">
      <c r="B65" s="7">
        <f>B64+7</f>
        <v>39284</v>
      </c>
      <c r="C65" s="15">
        <f t="shared" si="3"/>
        <v>332.5</v>
      </c>
      <c r="D65" s="15">
        <f>SUM(C62:C65)/COUNTA(C62:C65)</f>
        <v>332.5</v>
      </c>
      <c r="E65" s="42">
        <f>D65/F$3</f>
        <v>1.1343283582089552</v>
      </c>
      <c r="F65" s="43"/>
    </row>
    <row r="66" spans="2:6" ht="12.75">
      <c r="B66" s="4">
        <f>B65+7</f>
        <v>39291</v>
      </c>
      <c r="C66" s="13">
        <f t="shared" si="3"/>
        <v>332.5</v>
      </c>
      <c r="D66" s="6"/>
      <c r="E66" s="48"/>
      <c r="F66" s="49"/>
    </row>
    <row r="67" spans="2:6" ht="12.75">
      <c r="B67" s="4">
        <f aca="true" t="shared" si="4" ref="B67:B130">B66+7</f>
        <v>39298</v>
      </c>
      <c r="C67" s="13">
        <f>(310+340+315+350+320+365)/6</f>
        <v>333.3333333333333</v>
      </c>
      <c r="D67" s="6"/>
      <c r="E67" s="48"/>
      <c r="F67" s="49"/>
    </row>
    <row r="68" spans="2:6" ht="12.75">
      <c r="B68" s="4">
        <f t="shared" si="4"/>
        <v>39305</v>
      </c>
      <c r="C68" s="13">
        <f>(310+340+315+350+320+365)/6</f>
        <v>333.3333333333333</v>
      </c>
      <c r="D68" s="6"/>
      <c r="E68" s="48"/>
      <c r="F68" s="49"/>
    </row>
    <row r="69" spans="2:6" ht="12.75">
      <c r="B69" s="4">
        <f t="shared" si="4"/>
        <v>39312</v>
      </c>
      <c r="C69" s="13">
        <f>(310+340+315+350+325+365)/6</f>
        <v>334.1666666666667</v>
      </c>
      <c r="D69" s="6"/>
      <c r="E69" s="48"/>
      <c r="F69" s="49"/>
    </row>
    <row r="70" spans="2:6" ht="12.75">
      <c r="B70" s="4">
        <f t="shared" si="4"/>
        <v>39319</v>
      </c>
      <c r="C70" s="15">
        <f>(310+340+315+350+325+365)/6</f>
        <v>334.1666666666667</v>
      </c>
      <c r="D70" s="15">
        <f>SUM(C67:C70)/COUNTA(C67:C70)</f>
        <v>333.75</v>
      </c>
      <c r="E70" s="42">
        <f>D70/F$3</f>
        <v>1.138592750533049</v>
      </c>
      <c r="F70" s="43"/>
    </row>
    <row r="71" spans="2:6" ht="12.75">
      <c r="B71" s="14">
        <f t="shared" si="4"/>
        <v>39326</v>
      </c>
      <c r="C71" s="13">
        <f>(310+340+315+350+325+365)/6</f>
        <v>334.1666666666667</v>
      </c>
      <c r="D71" s="6"/>
      <c r="E71" s="48"/>
      <c r="F71" s="49"/>
    </row>
    <row r="72" spans="2:6" ht="12.75">
      <c r="B72" s="4">
        <f t="shared" si="4"/>
        <v>39333</v>
      </c>
      <c r="C72" s="13">
        <f>(310+340+315+350+325+365)/6</f>
        <v>334.1666666666667</v>
      </c>
      <c r="D72" s="6"/>
      <c r="E72" s="48"/>
      <c r="F72" s="49"/>
    </row>
    <row r="73" spans="2:6" ht="12.75">
      <c r="B73" s="4">
        <f t="shared" si="4"/>
        <v>39340</v>
      </c>
      <c r="C73" s="13">
        <f>(310+340+315+350+325+365)/6</f>
        <v>334.1666666666667</v>
      </c>
      <c r="D73" s="6"/>
      <c r="E73" s="48"/>
      <c r="F73" s="49"/>
    </row>
    <row r="74" spans="2:9" ht="12.75">
      <c r="B74" s="4">
        <f t="shared" si="4"/>
        <v>39347</v>
      </c>
      <c r="C74" s="15">
        <f>(310+340+310+350+310+365)/6</f>
        <v>330.8333333333333</v>
      </c>
      <c r="D74" s="15">
        <f>SUM(C71:C74)/COUNTA(C71:C74)</f>
        <v>333.3333333333333</v>
      </c>
      <c r="E74" s="42">
        <f>D74/F$3</f>
        <v>1.1371712864250176</v>
      </c>
      <c r="F74" s="43"/>
      <c r="I74" t="s">
        <v>7</v>
      </c>
    </row>
    <row r="75" spans="2:6" ht="12.75">
      <c r="B75" s="14">
        <f t="shared" si="4"/>
        <v>39354</v>
      </c>
      <c r="C75" s="13">
        <f>(300+340+310+350+300+355)/6</f>
        <v>325.8333333333333</v>
      </c>
      <c r="D75" s="6"/>
      <c r="E75" s="48"/>
      <c r="F75" s="49"/>
    </row>
    <row r="76" spans="2:6" ht="12.75">
      <c r="B76" s="4">
        <f t="shared" si="4"/>
        <v>39361</v>
      </c>
      <c r="C76" s="13">
        <f>(300+340+310+350+300+355)/6</f>
        <v>325.8333333333333</v>
      </c>
      <c r="D76" s="6"/>
      <c r="E76" s="48"/>
      <c r="F76" s="49"/>
    </row>
    <row r="77" spans="2:10" ht="12.75">
      <c r="B77" s="4">
        <f t="shared" si="4"/>
        <v>39368</v>
      </c>
      <c r="C77" s="13">
        <f>(300+340+310+350+300+355)/6</f>
        <v>325.8333333333333</v>
      </c>
      <c r="D77" s="6"/>
      <c r="E77" s="48"/>
      <c r="F77" s="49"/>
      <c r="J77" t="s">
        <v>7</v>
      </c>
    </row>
    <row r="78" spans="2:6" ht="12.75">
      <c r="B78" s="4">
        <f t="shared" si="4"/>
        <v>39375</v>
      </c>
      <c r="C78" s="13">
        <f>(300+340+310+350+300+355)/6</f>
        <v>325.8333333333333</v>
      </c>
      <c r="D78" s="6"/>
      <c r="E78" s="48"/>
      <c r="F78" s="49"/>
    </row>
    <row r="79" spans="2:9" ht="13.5" thickBot="1">
      <c r="B79" s="7">
        <f t="shared" si="4"/>
        <v>39382</v>
      </c>
      <c r="C79" s="15">
        <f>(300+340+310+350+300+355)/6</f>
        <v>325.8333333333333</v>
      </c>
      <c r="D79" s="15">
        <f>SUM(C76:C79)/COUNTA(C76:C79)</f>
        <v>325.8333333333333</v>
      </c>
      <c r="E79" s="50">
        <f>D79/F$3</f>
        <v>1.1115849324804548</v>
      </c>
      <c r="F79" s="51"/>
      <c r="I79" t="s">
        <v>7</v>
      </c>
    </row>
    <row r="80" spans="2:6" ht="12.75">
      <c r="B80" s="4">
        <f t="shared" si="4"/>
        <v>39389</v>
      </c>
      <c r="C80" s="13">
        <f>(290+330+290+350+300+350)/6</f>
        <v>318.3333333333333</v>
      </c>
      <c r="D80" s="6"/>
      <c r="E80" s="52"/>
      <c r="F80" s="53"/>
    </row>
    <row r="81" spans="2:9" ht="12.75">
      <c r="B81" s="4">
        <f t="shared" si="4"/>
        <v>39396</v>
      </c>
      <c r="C81" s="13">
        <f>(290+330+290+350+300+350)/6</f>
        <v>318.3333333333333</v>
      </c>
      <c r="D81" s="6"/>
      <c r="E81" s="48"/>
      <c r="F81" s="49"/>
      <c r="I81" t="s">
        <v>7</v>
      </c>
    </row>
    <row r="82" spans="2:8" ht="12.75">
      <c r="B82" s="4">
        <f t="shared" si="4"/>
        <v>39403</v>
      </c>
      <c r="C82" s="13">
        <f>(290+330+290+350+300+350)/6</f>
        <v>318.3333333333333</v>
      </c>
      <c r="D82" s="6"/>
      <c r="E82" s="48"/>
      <c r="F82" s="49"/>
      <c r="H82" t="s">
        <v>7</v>
      </c>
    </row>
    <row r="83" spans="2:10" ht="13.5" thickBot="1">
      <c r="B83" s="7">
        <f>B82+7</f>
        <v>39410</v>
      </c>
      <c r="C83" s="13">
        <f>(290+330+290+350+300+350)/6</f>
        <v>318.3333333333333</v>
      </c>
      <c r="D83" s="13">
        <f>SUM(C80:C83)/COUNTA(C80:C83)</f>
        <v>318.3333333333333</v>
      </c>
      <c r="E83" s="55">
        <f>D83/F$3</f>
        <v>1.0859985785358919</v>
      </c>
      <c r="F83" s="56"/>
      <c r="J83" t="s">
        <v>7</v>
      </c>
    </row>
    <row r="84" spans="2:8" ht="12.75">
      <c r="B84" s="27">
        <f t="shared" si="4"/>
        <v>39417</v>
      </c>
      <c r="C84" s="29">
        <f>(290+330+290+350+300+350)/6</f>
        <v>318.3333333333333</v>
      </c>
      <c r="D84" s="22"/>
      <c r="E84" s="48"/>
      <c r="F84" s="49"/>
      <c r="H84" t="s">
        <v>7</v>
      </c>
    </row>
    <row r="85" spans="2:6" ht="12.75">
      <c r="B85" s="27">
        <f t="shared" si="4"/>
        <v>39424</v>
      </c>
      <c r="C85" s="30">
        <f>(290+320+290+350+310+350)/6</f>
        <v>318.3333333333333</v>
      </c>
      <c r="D85" s="6"/>
      <c r="E85" s="48"/>
      <c r="F85" s="49"/>
    </row>
    <row r="86" spans="2:8" ht="12.75">
      <c r="B86" s="27">
        <f t="shared" si="4"/>
        <v>39431</v>
      </c>
      <c r="C86" s="30">
        <f aca="true" t="shared" si="5" ref="C86:C92">(290+320+305+350+310+350)/6</f>
        <v>320.8333333333333</v>
      </c>
      <c r="D86" s="6"/>
      <c r="E86" s="48"/>
      <c r="F86" s="49"/>
      <c r="H86" t="s">
        <v>7</v>
      </c>
    </row>
    <row r="87" spans="2:9" ht="13.5" thickBot="1">
      <c r="B87" s="28">
        <f t="shared" si="4"/>
        <v>39438</v>
      </c>
      <c r="C87" s="31">
        <f t="shared" si="5"/>
        <v>320.8333333333333</v>
      </c>
      <c r="D87" s="17">
        <f>SUM(C84:C87)/COUNTA(C84:C87)</f>
        <v>319.5833333333333</v>
      </c>
      <c r="E87" s="42">
        <f>D87/F$3</f>
        <v>1.0902629708599858</v>
      </c>
      <c r="F87" s="43"/>
      <c r="I87" t="s">
        <v>7</v>
      </c>
    </row>
    <row r="88" spans="2:8" ht="12.75">
      <c r="B88" s="4">
        <f t="shared" si="4"/>
        <v>39445</v>
      </c>
      <c r="C88" s="29">
        <f t="shared" si="5"/>
        <v>320.8333333333333</v>
      </c>
      <c r="D88" s="25"/>
      <c r="E88" s="52"/>
      <c r="F88" s="54"/>
      <c r="H88" t="s">
        <v>7</v>
      </c>
    </row>
    <row r="89" spans="2:8" ht="12.75">
      <c r="B89" s="4">
        <f t="shared" si="4"/>
        <v>39452</v>
      </c>
      <c r="C89" s="30">
        <f t="shared" si="5"/>
        <v>320.8333333333333</v>
      </c>
      <c r="D89" s="23"/>
      <c r="E89" s="23"/>
      <c r="F89" s="24"/>
      <c r="H89" t="s">
        <v>7</v>
      </c>
    </row>
    <row r="90" spans="2:6" ht="12.75">
      <c r="B90" s="4">
        <f t="shared" si="4"/>
        <v>39459</v>
      </c>
      <c r="C90" s="30">
        <f t="shared" si="5"/>
        <v>320.8333333333333</v>
      </c>
      <c r="D90" s="23"/>
      <c r="E90" s="23"/>
      <c r="F90" s="24"/>
    </row>
    <row r="91" spans="2:8" ht="12.75">
      <c r="B91" s="4">
        <f t="shared" si="4"/>
        <v>39466</v>
      </c>
      <c r="C91" s="30">
        <f t="shared" si="5"/>
        <v>320.8333333333333</v>
      </c>
      <c r="D91" s="23"/>
      <c r="E91" s="23"/>
      <c r="F91" s="24"/>
      <c r="H91" t="s">
        <v>7</v>
      </c>
    </row>
    <row r="92" spans="2:10" ht="13.5" thickBot="1">
      <c r="B92" s="4">
        <f t="shared" si="4"/>
        <v>39473</v>
      </c>
      <c r="C92" s="15">
        <f t="shared" si="5"/>
        <v>320.8333333333333</v>
      </c>
      <c r="D92" s="17">
        <f>SUM(C89:C92)/COUNTA(C89:C92)</f>
        <v>320.8333333333333</v>
      </c>
      <c r="E92" s="42">
        <f>D92/F$3</f>
        <v>1.0945273631840795</v>
      </c>
      <c r="F92" s="43"/>
      <c r="H92" t="s">
        <v>7</v>
      </c>
      <c r="I92" t="s">
        <v>7</v>
      </c>
      <c r="J92" t="s">
        <v>7</v>
      </c>
    </row>
    <row r="93" spans="2:6" ht="12.75">
      <c r="B93" s="26">
        <f t="shared" si="4"/>
        <v>39480</v>
      </c>
      <c r="C93" s="29">
        <f>(290+320+310+350+320+360)/6</f>
        <v>325</v>
      </c>
      <c r="D93" s="25" t="s">
        <v>7</v>
      </c>
      <c r="E93" s="44"/>
      <c r="F93" s="45"/>
    </row>
    <row r="94" spans="2:10" ht="12.75">
      <c r="B94" s="4">
        <f t="shared" si="4"/>
        <v>39487</v>
      </c>
      <c r="C94" s="30">
        <f>(290+320+305+350+325+360)/6</f>
        <v>325</v>
      </c>
      <c r="D94" s="23"/>
      <c r="E94" s="46"/>
      <c r="F94" s="47"/>
      <c r="I94" t="s">
        <v>7</v>
      </c>
      <c r="J94" t="s">
        <v>7</v>
      </c>
    </row>
    <row r="95" spans="2:10" ht="12.75">
      <c r="B95" s="4">
        <f t="shared" si="4"/>
        <v>39494</v>
      </c>
      <c r="C95" s="30">
        <f>(290+320+305+350+325+360)/6</f>
        <v>325</v>
      </c>
      <c r="D95" s="23"/>
      <c r="E95" s="46"/>
      <c r="F95" s="47"/>
      <c r="H95" t="s">
        <v>7</v>
      </c>
      <c r="J95" t="s">
        <v>7</v>
      </c>
    </row>
    <row r="96" spans="2:10" ht="13.5" thickBot="1">
      <c r="B96" s="9">
        <f t="shared" si="4"/>
        <v>39501</v>
      </c>
      <c r="C96" s="15">
        <f>(290+320+305+350+325+360)/6</f>
        <v>325</v>
      </c>
      <c r="D96" s="17">
        <f>SUM(C93:C96)/COUNTA(C93:C96)</f>
        <v>325</v>
      </c>
      <c r="E96" s="42">
        <f>D96/F$3</f>
        <v>1.1087420042643923</v>
      </c>
      <c r="F96" s="43"/>
      <c r="H96" t="s">
        <v>7</v>
      </c>
      <c r="I96" t="s">
        <v>7</v>
      </c>
      <c r="J96" t="s">
        <v>7</v>
      </c>
    </row>
    <row r="97" spans="2:6" ht="12.75">
      <c r="B97" s="26">
        <f t="shared" si="4"/>
        <v>39508</v>
      </c>
      <c r="C97" s="29">
        <f>(290+320+305+350+325+360)/6</f>
        <v>325</v>
      </c>
      <c r="D97" s="22"/>
      <c r="E97" s="46"/>
      <c r="F97" s="47"/>
    </row>
    <row r="98" spans="2:6" ht="12.75">
      <c r="B98" s="4">
        <f t="shared" si="4"/>
        <v>39515</v>
      </c>
      <c r="C98" s="30">
        <f>(290+320+305+350+325+360)/6</f>
        <v>325</v>
      </c>
      <c r="D98" s="6"/>
      <c r="E98" s="46"/>
      <c r="F98" s="47"/>
    </row>
    <row r="99" spans="2:8" ht="12.75">
      <c r="B99" s="4">
        <f t="shared" si="4"/>
        <v>39522</v>
      </c>
      <c r="C99" s="30">
        <f>(290+325+305+360+330+365)/6</f>
        <v>329.1666666666667</v>
      </c>
      <c r="D99" s="6"/>
      <c r="E99" s="46"/>
      <c r="F99" s="47"/>
      <c r="H99" t="s">
        <v>7</v>
      </c>
    </row>
    <row r="100" spans="2:8" ht="13.5" thickBot="1">
      <c r="B100" s="9">
        <f t="shared" si="4"/>
        <v>39529</v>
      </c>
      <c r="C100" s="13">
        <f>(290+325+305+360+330+370)/6</f>
        <v>330</v>
      </c>
      <c r="D100" s="17">
        <f>SUM(C97:C100)/COUNTA(C97:C100)</f>
        <v>327.2916666666667</v>
      </c>
      <c r="E100" s="42">
        <f>D100/F$3</f>
        <v>1.1165600568585643</v>
      </c>
      <c r="F100" s="43"/>
      <c r="H100" t="s">
        <v>7</v>
      </c>
    </row>
    <row r="101" spans="2:8" ht="12.75">
      <c r="B101" s="26">
        <f t="shared" si="4"/>
        <v>39536</v>
      </c>
      <c r="C101" s="20">
        <f>(290+325+305+360+330+370)/6</f>
        <v>330</v>
      </c>
      <c r="D101" s="22"/>
      <c r="E101" s="44"/>
      <c r="F101" s="45"/>
      <c r="H101" t="s">
        <v>7</v>
      </c>
    </row>
    <row r="102" spans="2:6" ht="12.75">
      <c r="B102" s="4">
        <f t="shared" si="4"/>
        <v>39543</v>
      </c>
      <c r="C102" s="13">
        <f>(300+340+325+380+340+390)/6</f>
        <v>345.8333333333333</v>
      </c>
      <c r="D102" s="6"/>
      <c r="E102" s="46"/>
      <c r="F102" s="47"/>
    </row>
    <row r="103" spans="2:8" ht="12.75">
      <c r="B103" s="4">
        <f t="shared" si="4"/>
        <v>39550</v>
      </c>
      <c r="C103" s="13">
        <f>(300+340+330+380+355+400)/6</f>
        <v>350.8333333333333</v>
      </c>
      <c r="D103" s="6"/>
      <c r="E103" s="23"/>
      <c r="F103" s="24"/>
      <c r="H103" t="s">
        <v>7</v>
      </c>
    </row>
    <row r="104" spans="2:6" ht="12.75">
      <c r="B104" s="4">
        <f t="shared" si="4"/>
        <v>39557</v>
      </c>
      <c r="C104" s="13">
        <f>(310+350+330+400+355+400)/6</f>
        <v>357.5</v>
      </c>
      <c r="D104" s="6"/>
      <c r="E104" s="23"/>
      <c r="F104" s="24"/>
    </row>
    <row r="105" spans="2:9" ht="13.5" thickBot="1">
      <c r="B105" s="9">
        <f t="shared" si="4"/>
        <v>39564</v>
      </c>
      <c r="C105" s="17">
        <f>(310+350+350+400+355+410)/6</f>
        <v>362.5</v>
      </c>
      <c r="D105" s="17">
        <f>SUM(C102:C105)/COUNTA(C102:C105)</f>
        <v>354.16666666666663</v>
      </c>
      <c r="E105" s="42">
        <f>D105/F$3</f>
        <v>1.2082444918265813</v>
      </c>
      <c r="F105" s="43"/>
      <c r="I105" t="s">
        <v>7</v>
      </c>
    </row>
    <row r="106" spans="2:10" ht="12.75">
      <c r="B106" s="33">
        <f t="shared" si="4"/>
        <v>39571</v>
      </c>
      <c r="C106" s="20">
        <f>(320+350+360+430+360+425)/6</f>
        <v>374.1666666666667</v>
      </c>
      <c r="D106" s="32"/>
      <c r="E106" s="25"/>
      <c r="F106" s="32"/>
      <c r="G106" t="s">
        <v>7</v>
      </c>
      <c r="H106" t="s">
        <v>7</v>
      </c>
      <c r="I106" t="s">
        <v>7</v>
      </c>
      <c r="J106" t="s">
        <v>7</v>
      </c>
    </row>
    <row r="107" spans="2:9" ht="12.75">
      <c r="B107" s="27">
        <f t="shared" si="4"/>
        <v>39578</v>
      </c>
      <c r="C107" s="13">
        <f>(330+400+375+445+370+450)/6</f>
        <v>395</v>
      </c>
      <c r="D107" s="24"/>
      <c r="E107" s="23"/>
      <c r="F107" s="24"/>
      <c r="I107" t="s">
        <v>7</v>
      </c>
    </row>
    <row r="108" spans="2:9" ht="12.75">
      <c r="B108" s="27">
        <f t="shared" si="4"/>
        <v>39585</v>
      </c>
      <c r="C108" s="13">
        <f>(360+400+400+455+390+475)/6</f>
        <v>413.3333333333333</v>
      </c>
      <c r="D108" s="24"/>
      <c r="E108" s="23"/>
      <c r="F108" s="24"/>
      <c r="H108" t="s">
        <v>7</v>
      </c>
      <c r="I108" t="s">
        <v>7</v>
      </c>
    </row>
    <row r="109" spans="2:6" ht="13.5" thickBot="1">
      <c r="B109" s="34">
        <f t="shared" si="4"/>
        <v>39592</v>
      </c>
      <c r="C109" s="17">
        <f>(360+450+425+500+390+500)/6</f>
        <v>437.5</v>
      </c>
      <c r="D109" s="17">
        <f>SUM(C106:C109)/COUNTA(C106:C109)</f>
        <v>405</v>
      </c>
      <c r="E109" s="42">
        <f>D109/F$3</f>
        <v>1.3816631130063965</v>
      </c>
      <c r="F109" s="43"/>
    </row>
    <row r="110" spans="2:10" ht="12.75">
      <c r="B110" s="26">
        <f t="shared" si="4"/>
        <v>39599</v>
      </c>
      <c r="C110" s="20">
        <f>(400+450+425+525+400+525)/6</f>
        <v>454.1666666666667</v>
      </c>
      <c r="D110" s="22"/>
      <c r="E110" s="25"/>
      <c r="F110" s="32"/>
      <c r="J110" t="s">
        <v>7</v>
      </c>
    </row>
    <row r="111" spans="2:10" ht="12.75">
      <c r="B111" s="4">
        <f t="shared" si="4"/>
        <v>39606</v>
      </c>
      <c r="C111" s="13">
        <f>(400+450+460+550+420+550)/6</f>
        <v>471.6666666666667</v>
      </c>
      <c r="D111" s="6"/>
      <c r="E111" s="23"/>
      <c r="F111" s="24"/>
      <c r="J111" t="s">
        <v>7</v>
      </c>
    </row>
    <row r="112" spans="2:9" ht="12.75">
      <c r="B112" s="4">
        <f t="shared" si="4"/>
        <v>39613</v>
      </c>
      <c r="C112" s="13">
        <f>(400+450+460+550+420+600)/6</f>
        <v>480</v>
      </c>
      <c r="D112" s="6"/>
      <c r="E112" s="23"/>
      <c r="F112" s="24"/>
      <c r="H112" t="s">
        <v>7</v>
      </c>
      <c r="I112" t="s">
        <v>7</v>
      </c>
    </row>
    <row r="113" spans="2:9" ht="13.5" thickBot="1">
      <c r="B113" s="9">
        <f t="shared" si="4"/>
        <v>39620</v>
      </c>
      <c r="C113" s="17">
        <f>(400+450+460+550+420+625)/6</f>
        <v>484.1666666666667</v>
      </c>
      <c r="D113" s="17">
        <f>SUM(C110:C113)/COUNTA(C110:C113)</f>
        <v>472.50000000000006</v>
      </c>
      <c r="E113" s="42">
        <f>D113/F$3</f>
        <v>1.611940298507463</v>
      </c>
      <c r="F113" s="43"/>
      <c r="H113" t="s">
        <v>7</v>
      </c>
      <c r="I113" t="s">
        <v>7</v>
      </c>
    </row>
    <row r="114" spans="2:9" ht="12.75">
      <c r="B114" s="26">
        <f t="shared" si="4"/>
        <v>39627</v>
      </c>
      <c r="C114" s="13">
        <f>(425+475+460+575+420+650)/6</f>
        <v>500.8333333333333</v>
      </c>
      <c r="D114" s="22"/>
      <c r="E114" s="25"/>
      <c r="F114" s="32"/>
      <c r="I114" t="s">
        <v>7</v>
      </c>
    </row>
    <row r="115" spans="2:10" ht="12.75">
      <c r="B115" s="4">
        <f t="shared" si="4"/>
        <v>39634</v>
      </c>
      <c r="C115" s="13">
        <f>(425+500+460+625+420+675)/6</f>
        <v>517.5</v>
      </c>
      <c r="D115" s="6"/>
      <c r="E115" s="23"/>
      <c r="F115" s="24"/>
      <c r="J115" t="s">
        <v>7</v>
      </c>
    </row>
    <row r="116" spans="2:10" ht="12.75">
      <c r="B116" s="4">
        <f t="shared" si="4"/>
        <v>39641</v>
      </c>
      <c r="C116" s="13">
        <f>(550+700+575+630+550+675)/6</f>
        <v>613.3333333333334</v>
      </c>
      <c r="D116" s="6"/>
      <c r="E116" s="23"/>
      <c r="F116" s="24"/>
      <c r="J116" t="s">
        <v>7</v>
      </c>
    </row>
    <row r="117" spans="2:9" ht="12.75">
      <c r="B117" s="4">
        <f t="shared" si="4"/>
        <v>39648</v>
      </c>
      <c r="C117" s="13">
        <f>(600+725+600+630+575+675)/6</f>
        <v>634.1666666666666</v>
      </c>
      <c r="D117" s="6"/>
      <c r="E117" s="23"/>
      <c r="F117" s="24"/>
      <c r="H117" t="s">
        <v>7</v>
      </c>
      <c r="I117" t="s">
        <v>7</v>
      </c>
    </row>
    <row r="118" spans="2:10" ht="13.5" thickBot="1">
      <c r="B118" s="9">
        <f t="shared" si="4"/>
        <v>39655</v>
      </c>
      <c r="C118" s="17">
        <f>(625+725+600+630+580+675)/6</f>
        <v>639.1666666666666</v>
      </c>
      <c r="D118" s="17">
        <f>SUM(C115:C118)/COUNTA(C115:C118)</f>
        <v>601.0416666666666</v>
      </c>
      <c r="E118" s="42">
        <f>D118/F$3</f>
        <v>2.05046197583511</v>
      </c>
      <c r="F118" s="43"/>
      <c r="H118" t="s">
        <v>7</v>
      </c>
      <c r="I118" t="s">
        <v>7</v>
      </c>
      <c r="J118" t="s">
        <v>7</v>
      </c>
    </row>
    <row r="119" spans="2:6" ht="12.75">
      <c r="B119" s="26">
        <f t="shared" si="4"/>
        <v>39662</v>
      </c>
      <c r="C119" s="20">
        <f>(650+725+620+750+580+850)/6</f>
        <v>695.8333333333334</v>
      </c>
      <c r="D119" s="22"/>
      <c r="E119" s="25"/>
      <c r="F119" s="32"/>
    </row>
    <row r="120" spans="2:9" ht="12.75">
      <c r="B120" s="4">
        <f t="shared" si="4"/>
        <v>39669</v>
      </c>
      <c r="C120" s="13">
        <f>(650+725+625+775+725+865)/6</f>
        <v>727.5</v>
      </c>
      <c r="D120" s="6"/>
      <c r="E120" s="23"/>
      <c r="F120" s="24"/>
      <c r="H120" t="s">
        <v>7</v>
      </c>
      <c r="I120" s="35"/>
    </row>
    <row r="121" spans="2:8" ht="12.75">
      <c r="B121" s="4">
        <f t="shared" si="4"/>
        <v>39676</v>
      </c>
      <c r="C121" s="13">
        <f>(650+725+650+850+725+865)/6</f>
        <v>744.1666666666666</v>
      </c>
      <c r="D121" s="6"/>
      <c r="E121" s="23"/>
      <c r="F121" s="24"/>
      <c r="H121" t="s">
        <v>7</v>
      </c>
    </row>
    <row r="122" spans="2:10" ht="13.5" thickBot="1">
      <c r="B122" s="9">
        <f t="shared" si="4"/>
        <v>39683</v>
      </c>
      <c r="C122" s="17">
        <f>(650+725+650+850+750+865)/6</f>
        <v>748.3333333333334</v>
      </c>
      <c r="D122" s="17">
        <f>SUM(C119:C122)/COUNTA(C119:C122)</f>
        <v>728.9583333333334</v>
      </c>
      <c r="E122" s="42">
        <f>D122/F$3</f>
        <v>2.4868514570007108</v>
      </c>
      <c r="F122" s="43"/>
      <c r="I122" t="s">
        <v>7</v>
      </c>
      <c r="J122" t="s">
        <v>7</v>
      </c>
    </row>
    <row r="123" spans="2:9" ht="12.75">
      <c r="B123" s="33">
        <f t="shared" si="4"/>
        <v>39690</v>
      </c>
      <c r="C123" s="20">
        <f>(650+725+650+850+750+865)/6</f>
        <v>748.3333333333334</v>
      </c>
      <c r="D123" s="37"/>
      <c r="E123" s="25"/>
      <c r="F123" s="32"/>
      <c r="I123" t="s">
        <v>7</v>
      </c>
    </row>
    <row r="124" spans="2:6" ht="12.75">
      <c r="B124" s="27">
        <f t="shared" si="4"/>
        <v>39697</v>
      </c>
      <c r="C124" s="13">
        <f>(650+725+650+775+750+875)/6</f>
        <v>737.5</v>
      </c>
      <c r="D124" s="36"/>
      <c r="E124" s="23"/>
      <c r="F124" s="24"/>
    </row>
    <row r="125" spans="2:9" ht="12.75">
      <c r="B125" s="27">
        <f t="shared" si="4"/>
        <v>39704</v>
      </c>
      <c r="C125" s="13">
        <f>(650+700+650+775+750+875)/6</f>
        <v>733.3333333333334</v>
      </c>
      <c r="D125" s="36"/>
      <c r="E125" s="23"/>
      <c r="F125" s="24"/>
      <c r="I125" t="s">
        <v>7</v>
      </c>
    </row>
    <row r="126" spans="2:9" ht="13.5" thickBot="1">
      <c r="B126" s="34">
        <f t="shared" si="4"/>
        <v>39711</v>
      </c>
      <c r="C126" s="13">
        <f>(650+690+625+775+725+875)/6</f>
        <v>723.3333333333334</v>
      </c>
      <c r="D126" s="17">
        <f>SUM(C123:C126)/COUNTA(C123:C126)</f>
        <v>735.6250000000001</v>
      </c>
      <c r="E126" s="42">
        <f>D126/F$3</f>
        <v>2.5095948827292114</v>
      </c>
      <c r="F126" s="43"/>
      <c r="I126" t="s">
        <v>7</v>
      </c>
    </row>
    <row r="127" spans="2:6" ht="12.75">
      <c r="B127" s="33">
        <f t="shared" si="4"/>
        <v>39718</v>
      </c>
      <c r="C127" s="20">
        <f>(625+675+625+775+725+875)/6</f>
        <v>716.6666666666666</v>
      </c>
      <c r="D127" s="32"/>
      <c r="E127" s="23"/>
      <c r="F127" s="24"/>
    </row>
    <row r="128" spans="2:8" ht="12.75">
      <c r="B128" s="27">
        <f t="shared" si="4"/>
        <v>39725</v>
      </c>
      <c r="C128" s="13">
        <f>(600+675+625+775+725+875)/6</f>
        <v>712.5</v>
      </c>
      <c r="D128" s="24"/>
      <c r="E128" s="23"/>
      <c r="F128" s="24"/>
      <c r="H128" t="s">
        <v>7</v>
      </c>
    </row>
    <row r="129" spans="2:9" ht="12.75">
      <c r="B129" s="27">
        <f t="shared" si="4"/>
        <v>39732</v>
      </c>
      <c r="C129" s="13">
        <f>(560+675+625+750+725+825)/6</f>
        <v>693.3333333333334</v>
      </c>
      <c r="D129" s="24"/>
      <c r="E129" s="23"/>
      <c r="F129" s="24"/>
      <c r="I129" t="s">
        <v>7</v>
      </c>
    </row>
    <row r="130" spans="2:9" ht="12.75">
      <c r="B130" s="27">
        <f t="shared" si="4"/>
        <v>39739</v>
      </c>
      <c r="C130" s="13">
        <f>(550+625+500+725+700+815)/6</f>
        <v>652.5</v>
      </c>
      <c r="D130" s="24"/>
      <c r="E130" s="23"/>
      <c r="F130" s="24"/>
      <c r="I130" t="s">
        <v>7</v>
      </c>
    </row>
    <row r="131" spans="2:8" ht="13.5" thickBot="1">
      <c r="B131" s="34">
        <f aca="true" t="shared" si="6" ref="B131:B165">B130+7</f>
        <v>39746</v>
      </c>
      <c r="C131" s="13">
        <f>(550+625+500+725+700+815)/6</f>
        <v>652.5</v>
      </c>
      <c r="D131" s="17">
        <f>SUM(C128:C131)/COUNTA(C128:C131)</f>
        <v>677.7083333333334</v>
      </c>
      <c r="E131" s="42">
        <f>D131/F$3</f>
        <v>2.3120113717128645</v>
      </c>
      <c r="F131" s="43"/>
      <c r="H131" t="s">
        <v>7</v>
      </c>
    </row>
    <row r="132" spans="2:6" ht="12.75">
      <c r="B132" s="33">
        <f t="shared" si="6"/>
        <v>39753</v>
      </c>
      <c r="C132" s="20">
        <f>(550+625+500+725+700+810)/6</f>
        <v>651.6666666666666</v>
      </c>
      <c r="D132" s="32"/>
      <c r="E132" s="25"/>
      <c r="F132" s="32"/>
    </row>
    <row r="133" spans="2:9" ht="12.75">
      <c r="B133" s="27">
        <f t="shared" si="6"/>
        <v>39760</v>
      </c>
      <c r="C133" s="13">
        <f>(550+625+500+650+675+750)/6</f>
        <v>625</v>
      </c>
      <c r="D133" s="24"/>
      <c r="E133" s="23"/>
      <c r="F133" s="24"/>
      <c r="I133" t="s">
        <v>7</v>
      </c>
    </row>
    <row r="134" spans="2:6" ht="12.75">
      <c r="B134" s="27">
        <f t="shared" si="6"/>
        <v>39767</v>
      </c>
      <c r="C134" s="13">
        <f>(550+625+500+650+620+750)/6</f>
        <v>615.8333333333334</v>
      </c>
      <c r="D134" s="24"/>
      <c r="E134" s="23"/>
      <c r="F134" s="24"/>
    </row>
    <row r="135" spans="2:9" ht="13.5" thickBot="1">
      <c r="B135" s="34">
        <f t="shared" si="6"/>
        <v>39774</v>
      </c>
      <c r="C135" s="13">
        <f>(550+625+500+650+620+725)/6</f>
        <v>611.6666666666666</v>
      </c>
      <c r="D135" s="17">
        <f>SUM(C132:C135)/COUNTA(C132:C135)</f>
        <v>626.0416666666666</v>
      </c>
      <c r="E135" s="42">
        <f>D135/F$3</f>
        <v>2.135749822316986</v>
      </c>
      <c r="F135" s="43"/>
      <c r="I135" t="s">
        <v>7</v>
      </c>
    </row>
    <row r="136" spans="2:6" ht="12.75">
      <c r="B136" s="33">
        <f t="shared" si="6"/>
        <v>39781</v>
      </c>
      <c r="C136" s="20">
        <f>(550+625+500+650+620+725)/6</f>
        <v>611.6666666666666</v>
      </c>
      <c r="D136" s="37"/>
      <c r="E136" s="25"/>
      <c r="F136" s="32"/>
    </row>
    <row r="137" spans="2:9" ht="12.75">
      <c r="B137" s="27">
        <f t="shared" si="6"/>
        <v>39788</v>
      </c>
      <c r="C137" s="13">
        <f>(537+610+500+575+600+650)/6</f>
        <v>578.6666666666666</v>
      </c>
      <c r="D137" s="36"/>
      <c r="E137" s="23"/>
      <c r="F137" s="24"/>
      <c r="I137" t="s">
        <v>7</v>
      </c>
    </row>
    <row r="138" spans="2:6" ht="12.75">
      <c r="B138" s="27">
        <f t="shared" si="6"/>
        <v>39795</v>
      </c>
      <c r="C138" s="13">
        <f>(537+610+500+575+600+650)/6</f>
        <v>578.6666666666666</v>
      </c>
      <c r="D138" s="36"/>
      <c r="E138" s="23"/>
      <c r="F138" s="24"/>
    </row>
    <row r="139" spans="2:9" ht="12.75">
      <c r="B139" s="27">
        <f t="shared" si="6"/>
        <v>39802</v>
      </c>
      <c r="C139" s="13">
        <f>(537+610+490+575+600+650)/6</f>
        <v>577</v>
      </c>
      <c r="D139" s="36"/>
      <c r="E139" s="23"/>
      <c r="F139" s="24"/>
      <c r="I139" t="s">
        <v>7</v>
      </c>
    </row>
    <row r="140" spans="2:6" ht="13.5" thickBot="1">
      <c r="B140" s="34">
        <f t="shared" si="6"/>
        <v>39809</v>
      </c>
      <c r="C140" s="13">
        <f>(537+610+490+575+600+650)/6</f>
        <v>577</v>
      </c>
      <c r="D140" s="17">
        <f>SUM(C137:C140)/COUNTA(C137:C140)</f>
        <v>577.8333333333333</v>
      </c>
      <c r="E140" s="42">
        <f>D140/F$3</f>
        <v>1.971286425017768</v>
      </c>
      <c r="F140" s="43"/>
    </row>
    <row r="141" spans="2:8" ht="12.75">
      <c r="B141" s="33">
        <f t="shared" si="6"/>
        <v>39816</v>
      </c>
      <c r="C141" s="20">
        <f>(525+600+450+575+515+650)/6</f>
        <v>552.5</v>
      </c>
      <c r="D141" s="32"/>
      <c r="E141" s="25"/>
      <c r="F141" s="32"/>
      <c r="H141" t="s">
        <v>7</v>
      </c>
    </row>
    <row r="142" spans="2:10" ht="12.75">
      <c r="B142" s="27">
        <f t="shared" si="6"/>
        <v>39823</v>
      </c>
      <c r="C142" s="13">
        <f>(525+600+450+525+515+650)/6</f>
        <v>544.1666666666666</v>
      </c>
      <c r="D142" s="24"/>
      <c r="E142" s="23"/>
      <c r="F142" s="24"/>
      <c r="J142" t="s">
        <v>7</v>
      </c>
    </row>
    <row r="143" spans="2:10" ht="12.75">
      <c r="B143" s="27">
        <f t="shared" si="6"/>
        <v>39830</v>
      </c>
      <c r="C143" s="13">
        <f>(450+600+400+525+515+575)/6</f>
        <v>510.8333333333333</v>
      </c>
      <c r="D143" s="24"/>
      <c r="E143" s="23"/>
      <c r="F143" s="24"/>
      <c r="H143" t="s">
        <v>7</v>
      </c>
      <c r="J143" t="s">
        <v>7</v>
      </c>
    </row>
    <row r="144" spans="2:6" ht="13.5" thickBot="1">
      <c r="B144" s="34">
        <f t="shared" si="6"/>
        <v>39837</v>
      </c>
      <c r="C144" s="13">
        <f>(450+600+400+525+515+575)/6</f>
        <v>510.8333333333333</v>
      </c>
      <c r="D144" s="17">
        <f>SUM(C141:C144)/COUNTA(C141:C144)</f>
        <v>529.5833333333333</v>
      </c>
      <c r="E144" s="42">
        <f>D144/F$3</f>
        <v>1.8066808813077466</v>
      </c>
      <c r="F144" s="43"/>
    </row>
    <row r="145" spans="2:10" ht="12.75">
      <c r="B145" s="26">
        <f t="shared" si="6"/>
        <v>39844</v>
      </c>
      <c r="C145" s="20">
        <f>(450+600+400+525+515+575)/6</f>
        <v>510.8333333333333</v>
      </c>
      <c r="D145" s="22"/>
      <c r="E145" s="25"/>
      <c r="F145" s="32"/>
      <c r="H145" t="s">
        <v>7</v>
      </c>
      <c r="J145" t="s">
        <v>7</v>
      </c>
    </row>
    <row r="146" spans="2:9" ht="12.75">
      <c r="B146" s="4">
        <f t="shared" si="6"/>
        <v>39851</v>
      </c>
      <c r="C146" s="13">
        <f>(450+600+400+525+470+575)/6</f>
        <v>503.3333333333333</v>
      </c>
      <c r="D146" s="6"/>
      <c r="E146" s="23"/>
      <c r="F146" s="24"/>
      <c r="I146" t="s">
        <v>7</v>
      </c>
    </row>
    <row r="147" spans="2:9" ht="12.75">
      <c r="B147" s="4">
        <f t="shared" si="6"/>
        <v>39858</v>
      </c>
      <c r="C147" s="5"/>
      <c r="D147" s="6"/>
      <c r="E147" s="23"/>
      <c r="F147" s="24"/>
      <c r="I147" t="s">
        <v>7</v>
      </c>
    </row>
    <row r="148" spans="2:6" ht="13.5" thickBot="1">
      <c r="B148" s="9">
        <f t="shared" si="6"/>
        <v>39865</v>
      </c>
      <c r="C148" s="39"/>
      <c r="D148" s="39"/>
      <c r="E148" s="66"/>
      <c r="F148" s="67"/>
    </row>
    <row r="149" spans="2:9" ht="12.75">
      <c r="B149" s="26">
        <f t="shared" si="6"/>
        <v>39872</v>
      </c>
      <c r="C149" s="38"/>
      <c r="D149" s="22"/>
      <c r="E149" s="25"/>
      <c r="F149" s="32"/>
      <c r="I149" t="s">
        <v>7</v>
      </c>
    </row>
    <row r="150" spans="2:6" ht="12.75">
      <c r="B150" s="4">
        <f t="shared" si="6"/>
        <v>39879</v>
      </c>
      <c r="C150" s="5"/>
      <c r="D150" s="6"/>
      <c r="E150" s="23"/>
      <c r="F150" s="24"/>
    </row>
    <row r="151" spans="2:6" ht="12.75">
      <c r="B151" s="4">
        <f t="shared" si="6"/>
        <v>39886</v>
      </c>
      <c r="C151" s="5"/>
      <c r="D151" s="6"/>
      <c r="E151" s="23"/>
      <c r="F151" s="24"/>
    </row>
    <row r="152" spans="2:6" ht="13.5" thickBot="1">
      <c r="B152" s="9">
        <f t="shared" si="6"/>
        <v>39893</v>
      </c>
      <c r="C152" s="39"/>
      <c r="D152" s="39"/>
      <c r="E152" s="66"/>
      <c r="F152" s="67"/>
    </row>
    <row r="153" spans="2:6" ht="12.75">
      <c r="B153" s="26">
        <f t="shared" si="6"/>
        <v>39900</v>
      </c>
      <c r="C153" s="38"/>
      <c r="D153" s="25"/>
      <c r="E153" s="25"/>
      <c r="F153" s="32"/>
    </row>
    <row r="154" spans="2:6" ht="12.75">
      <c r="B154" s="4">
        <f t="shared" si="6"/>
        <v>39907</v>
      </c>
      <c r="C154" s="5"/>
      <c r="D154" s="23"/>
      <c r="E154" s="23"/>
      <c r="F154" s="24"/>
    </row>
    <row r="155" spans="2:6" ht="12.75">
      <c r="B155" s="4">
        <f t="shared" si="6"/>
        <v>39914</v>
      </c>
      <c r="C155" s="5"/>
      <c r="D155" s="23"/>
      <c r="E155" s="23"/>
      <c r="F155" s="24"/>
    </row>
    <row r="156" spans="2:6" ht="12.75">
      <c r="B156" s="4">
        <f t="shared" si="6"/>
        <v>39921</v>
      </c>
      <c r="C156" s="5"/>
      <c r="D156" s="23"/>
      <c r="E156" s="23"/>
      <c r="F156" s="24"/>
    </row>
    <row r="157" spans="2:6" ht="13.5" thickBot="1">
      <c r="B157" s="9">
        <f t="shared" si="6"/>
        <v>39928</v>
      </c>
      <c r="C157" s="39"/>
      <c r="D157" s="40"/>
      <c r="E157" s="66"/>
      <c r="F157" s="67"/>
    </row>
    <row r="158" spans="2:9" ht="12.75">
      <c r="B158" s="26">
        <f t="shared" si="6"/>
        <v>39935</v>
      </c>
      <c r="C158" s="38"/>
      <c r="D158" s="22"/>
      <c r="E158" s="25"/>
      <c r="F158" s="32"/>
      <c r="I158" t="s">
        <v>7</v>
      </c>
    </row>
    <row r="159" spans="2:6" ht="12.75">
      <c r="B159" s="4">
        <f t="shared" si="6"/>
        <v>39942</v>
      </c>
      <c r="C159" s="5"/>
      <c r="D159" s="6"/>
      <c r="E159" s="23"/>
      <c r="F159" s="24"/>
    </row>
    <row r="160" spans="2:6" ht="12.75">
      <c r="B160" s="4">
        <f t="shared" si="6"/>
        <v>39949</v>
      </c>
      <c r="C160" s="5"/>
      <c r="D160" s="6"/>
      <c r="E160" s="23"/>
      <c r="F160" s="24"/>
    </row>
    <row r="161" spans="2:6" ht="13.5" thickBot="1">
      <c r="B161" s="9">
        <f t="shared" si="6"/>
        <v>39956</v>
      </c>
      <c r="C161" s="39"/>
      <c r="D161" s="39"/>
      <c r="E161" s="66"/>
      <c r="F161" s="67"/>
    </row>
    <row r="162" spans="2:6" ht="12.75">
      <c r="B162" s="4">
        <f t="shared" si="6"/>
        <v>39963</v>
      </c>
      <c r="C162" s="38"/>
      <c r="D162" s="22"/>
      <c r="E162" s="25"/>
      <c r="F162" s="32"/>
    </row>
    <row r="163" spans="2:6" ht="12.75">
      <c r="B163" s="4">
        <f t="shared" si="6"/>
        <v>39970</v>
      </c>
      <c r="C163" s="5"/>
      <c r="D163" s="6"/>
      <c r="E163" s="23"/>
      <c r="F163" s="24"/>
    </row>
    <row r="164" spans="2:6" ht="12.75">
      <c r="B164" s="4">
        <f t="shared" si="6"/>
        <v>39977</v>
      </c>
      <c r="C164" s="5"/>
      <c r="D164" s="6"/>
      <c r="E164" s="23"/>
      <c r="F164" s="24"/>
    </row>
    <row r="165" spans="2:6" ht="12.75">
      <c r="B165" s="4">
        <f t="shared" si="6"/>
        <v>39984</v>
      </c>
      <c r="C165" s="5"/>
      <c r="D165" s="5"/>
      <c r="E165" s="68"/>
      <c r="F165" s="69"/>
    </row>
    <row r="166" spans="2:6" ht="12.75">
      <c r="B166" s="41"/>
      <c r="C166" s="41"/>
      <c r="D166" s="41"/>
      <c r="E166" s="41"/>
      <c r="F166" s="41"/>
    </row>
  </sheetData>
  <mergeCells count="115">
    <mergeCell ref="E161:F161"/>
    <mergeCell ref="E165:F165"/>
    <mergeCell ref="E144:F144"/>
    <mergeCell ref="E148:F148"/>
    <mergeCell ref="E152:F152"/>
    <mergeCell ref="E157:F157"/>
    <mergeCell ref="C2:C3"/>
    <mergeCell ref="D2:D3"/>
    <mergeCell ref="B2:B3"/>
    <mergeCell ref="E2:F2"/>
    <mergeCell ref="E8:F8"/>
    <mergeCell ref="E9:F9"/>
    <mergeCell ref="E4:F4"/>
    <mergeCell ref="E5:F5"/>
    <mergeCell ref="E6:F6"/>
    <mergeCell ref="E7:F7"/>
    <mergeCell ref="E11:F11"/>
    <mergeCell ref="E12:F12"/>
    <mergeCell ref="E10:F10"/>
    <mergeCell ref="E13:F13"/>
    <mergeCell ref="E15:F15"/>
    <mergeCell ref="E16:F16"/>
    <mergeCell ref="E17:F17"/>
    <mergeCell ref="E14:F14"/>
    <mergeCell ref="E24:F24"/>
    <mergeCell ref="E25:F25"/>
    <mergeCell ref="E26:F26"/>
    <mergeCell ref="E28:F28"/>
    <mergeCell ref="E34:F34"/>
    <mergeCell ref="E35:F35"/>
    <mergeCell ref="E36:F36"/>
    <mergeCell ref="E32:F32"/>
    <mergeCell ref="E33:F33"/>
    <mergeCell ref="E18:F18"/>
    <mergeCell ref="E23:F23"/>
    <mergeCell ref="E27:F27"/>
    <mergeCell ref="E31:F31"/>
    <mergeCell ref="E29:F29"/>
    <mergeCell ref="E30:F30"/>
    <mergeCell ref="E19:F19"/>
    <mergeCell ref="E20:F20"/>
    <mergeCell ref="E21:F21"/>
    <mergeCell ref="E22:F22"/>
    <mergeCell ref="E37:F37"/>
    <mergeCell ref="E38:F38"/>
    <mergeCell ref="E39:F39"/>
    <mergeCell ref="E40:F40"/>
    <mergeCell ref="E41:F41"/>
    <mergeCell ref="E42:F42"/>
    <mergeCell ref="E43:F43"/>
    <mergeCell ref="E44:F44"/>
    <mergeCell ref="E45:F45"/>
    <mergeCell ref="E46:F46"/>
    <mergeCell ref="E47:F47"/>
    <mergeCell ref="E48:F48"/>
    <mergeCell ref="E49:F49"/>
    <mergeCell ref="E50:F50"/>
    <mergeCell ref="E51:F51"/>
    <mergeCell ref="E52:F52"/>
    <mergeCell ref="E53:F53"/>
    <mergeCell ref="E54:F54"/>
    <mergeCell ref="E55:F55"/>
    <mergeCell ref="E56:F56"/>
    <mergeCell ref="E61:F61"/>
    <mergeCell ref="E62:F62"/>
    <mergeCell ref="E57:F57"/>
    <mergeCell ref="E58:F58"/>
    <mergeCell ref="E59:F59"/>
    <mergeCell ref="E60:F60"/>
    <mergeCell ref="E65:F65"/>
    <mergeCell ref="E66:F66"/>
    <mergeCell ref="E67:F67"/>
    <mergeCell ref="E68:F68"/>
    <mergeCell ref="E69:F69"/>
    <mergeCell ref="E70:F70"/>
    <mergeCell ref="E71:F71"/>
    <mergeCell ref="E72:F72"/>
    <mergeCell ref="E74:F74"/>
    <mergeCell ref="E87:F87"/>
    <mergeCell ref="E88:F88"/>
    <mergeCell ref="E81:F81"/>
    <mergeCell ref="E82:F82"/>
    <mergeCell ref="E83:F83"/>
    <mergeCell ref="E84:F84"/>
    <mergeCell ref="E75:F75"/>
    <mergeCell ref="E76:F76"/>
    <mergeCell ref="E96:F96"/>
    <mergeCell ref="E63:F63"/>
    <mergeCell ref="E64:F64"/>
    <mergeCell ref="E85:F85"/>
    <mergeCell ref="E86:F86"/>
    <mergeCell ref="E77:F77"/>
    <mergeCell ref="E78:F78"/>
    <mergeCell ref="E79:F79"/>
    <mergeCell ref="E80:F80"/>
    <mergeCell ref="E73:F73"/>
    <mergeCell ref="E92:F92"/>
    <mergeCell ref="E93:F93"/>
    <mergeCell ref="E94:F94"/>
    <mergeCell ref="E95:F95"/>
    <mergeCell ref="E101:F101"/>
    <mergeCell ref="E102:F102"/>
    <mergeCell ref="E97:F97"/>
    <mergeCell ref="E98:F98"/>
    <mergeCell ref="E99:F99"/>
    <mergeCell ref="E100:F100"/>
    <mergeCell ref="E131:F131"/>
    <mergeCell ref="E135:F135"/>
    <mergeCell ref="E140:F140"/>
    <mergeCell ref="E105:F105"/>
    <mergeCell ref="E118:F118"/>
    <mergeCell ref="E122:F122"/>
    <mergeCell ref="E126:F126"/>
    <mergeCell ref="E113:F113"/>
    <mergeCell ref="E109:F109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D15"/>
  <sheetViews>
    <sheetView workbookViewId="0" topLeftCell="A1">
      <selection activeCell="L15" sqref="L15"/>
    </sheetView>
  </sheetViews>
  <sheetFormatPr defaultColWidth="9.140625" defaultRowHeight="12.75"/>
  <cols>
    <col min="2" max="2" width="16.140625" style="0" bestFit="1" customWidth="1"/>
    <col min="3" max="3" width="15.8515625" style="0" customWidth="1"/>
    <col min="4" max="4" width="23.140625" style="0" customWidth="1"/>
  </cols>
  <sheetData>
    <row r="2" spans="2:4" ht="15" customHeight="1" thickBot="1">
      <c r="B2" s="10" t="s">
        <v>5</v>
      </c>
      <c r="C2" s="11"/>
      <c r="D2" s="11"/>
    </row>
    <row r="3" spans="2:4" ht="41.25" customHeight="1" thickBot="1">
      <c r="B3" s="2" t="s">
        <v>0</v>
      </c>
      <c r="C3" s="3" t="s">
        <v>4</v>
      </c>
      <c r="D3" s="3" t="s">
        <v>3</v>
      </c>
    </row>
    <row r="4" spans="2:4" ht="12.75" hidden="1">
      <c r="B4" s="4">
        <v>38758</v>
      </c>
      <c r="C4" s="13">
        <f>(200+235+200+275+220+300)/6</f>
        <v>238.33333333333334</v>
      </c>
      <c r="D4" s="6"/>
    </row>
    <row r="5" spans="2:4" ht="12.75" hidden="1">
      <c r="B5" s="4">
        <f aca="true" t="shared" si="0" ref="B5:B11">B4+7</f>
        <v>38765</v>
      </c>
      <c r="C5" s="13">
        <f>(200+235+200+280+220+300)/6</f>
        <v>239.16666666666666</v>
      </c>
      <c r="D5" s="6"/>
    </row>
    <row r="6" spans="2:4" ht="12.75" hidden="1">
      <c r="B6" s="7">
        <f t="shared" si="0"/>
        <v>38772</v>
      </c>
      <c r="C6" s="15">
        <f>(200+235+200+280+220+300)/6</f>
        <v>239.16666666666666</v>
      </c>
      <c r="D6" s="8"/>
    </row>
    <row r="7" spans="2:4" ht="12.75">
      <c r="B7" s="14">
        <v>38850</v>
      </c>
      <c r="C7" s="16">
        <v>268.33</v>
      </c>
      <c r="D7" s="6"/>
    </row>
    <row r="8" spans="2:4" ht="12.75">
      <c r="B8" s="4">
        <f t="shared" si="0"/>
        <v>38857</v>
      </c>
      <c r="C8" s="13">
        <f>(220+250+225+350+220+375)/6</f>
        <v>273.3333333333333</v>
      </c>
      <c r="D8" s="6"/>
    </row>
    <row r="9" spans="2:4" ht="12.75">
      <c r="B9" s="4">
        <f>B8+7</f>
        <v>38864</v>
      </c>
      <c r="C9" s="13">
        <f>(230+280+240+350+230+375)/6</f>
        <v>284.1666666666667</v>
      </c>
      <c r="D9" s="6"/>
    </row>
    <row r="10" spans="2:4" ht="12.75">
      <c r="B10" s="4">
        <f t="shared" si="0"/>
        <v>38871</v>
      </c>
      <c r="C10" s="13">
        <f>(240+300+250+400+240+400)/6</f>
        <v>305</v>
      </c>
      <c r="D10" s="6"/>
    </row>
    <row r="11" spans="2:4" ht="13.5" thickBot="1">
      <c r="B11" s="9">
        <f t="shared" si="0"/>
        <v>38878</v>
      </c>
      <c r="C11" s="17">
        <f>(250+300+260+400+250+400)/6</f>
        <v>310</v>
      </c>
      <c r="D11" s="18">
        <f>SUM(C8:C11)/COUNTA(C8:C11)</f>
        <v>293.125</v>
      </c>
    </row>
    <row r="15" ht="12.75">
      <c r="B15" s="19"/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CFLHD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Information Technology Services</dc:creator>
  <cp:keywords/>
  <dc:description/>
  <cp:lastModifiedBy>Harvey Bostwick</cp:lastModifiedBy>
  <cp:lastPrinted>2008-03-18T16:49:16Z</cp:lastPrinted>
  <dcterms:created xsi:type="dcterms:W3CDTF">2006-01-30T17:20:09Z</dcterms:created>
  <dcterms:modified xsi:type="dcterms:W3CDTF">2009-02-09T20:38:33Z</dcterms:modified>
  <cp:category/>
  <cp:version/>
  <cp:contentType/>
  <cp:contentStatus/>
</cp:coreProperties>
</file>