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71" windowWidth="12120" windowHeight="5175" tabRatio="835" activeTab="0"/>
  </bookViews>
  <sheets>
    <sheet name="Ceiling Fan Calc" sheetId="1" r:id="rId1"/>
    <sheet name="Assumptions" sheetId="2" r:id="rId2"/>
  </sheets>
  <definedNames>
    <definedName name="_xlnm.Print_Area" localSheetId="1">'Assumptions'!$B$1:$E$77</definedName>
    <definedName name="_xlnm.Print_Area" localSheetId="0">'Ceiling Fan Calc'!$A$1:$M$65</definedName>
  </definedNames>
  <calcPr fullCalcOnLoad="1"/>
</workbook>
</file>

<file path=xl/sharedStrings.xml><?xml version="1.0" encoding="utf-8"?>
<sst xmlns="http://schemas.openxmlformats.org/spreadsheetml/2006/main" count="182" uniqueCount="103">
  <si>
    <t>Life Cycle Cost Estimate for</t>
  </si>
  <si>
    <t>Enter your own values in the gray boxes or use our default values.</t>
  </si>
  <si>
    <t>Number of units</t>
  </si>
  <si>
    <t>ENERGY STAR Qualified Unit</t>
  </si>
  <si>
    <t>Conventional Unit</t>
  </si>
  <si>
    <t xml:space="preserve"> Savings with ENERGY STAR</t>
  </si>
  <si>
    <t>Energy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</si>
  <si>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</si>
  <si>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</si>
  <si>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</si>
  <si>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</si>
  <si>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</si>
  <si>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</si>
  <si>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</si>
  <si>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</si>
  <si>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</si>
  <si>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</si>
  <si>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</si>
  <si>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</si>
  <si>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</si>
  <si>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</si>
  <si>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</si>
  <si>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</si>
  <si>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Usage</t>
  </si>
  <si>
    <t>Discount Rate</t>
  </si>
  <si>
    <t>Commercial and Residential Discount Rate (real)</t>
  </si>
  <si>
    <t>A real discount rate of 4 percent is assumed, which is roughly equivalent to the nominal discount rate of 7 percent (4 percent real discount rate + 3 percent inflation rate).</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</si>
  <si>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</si>
  <si>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</si>
  <si>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</si>
  <si>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</si>
  <si>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</si>
  <si>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</si>
  <si>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</si>
  <si>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</si>
  <si>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</si>
  <si>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</si>
  <si>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</si>
  <si>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</si>
  <si>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r>
      <t>lbs CO</t>
    </r>
    <r>
      <rPr>
        <vertAlign val="subscript"/>
        <sz val="10"/>
        <rFont val="Univers"/>
        <family val="2"/>
      </rPr>
      <t>2</t>
    </r>
    <r>
      <rPr>
        <sz val="10"/>
        <rFont val="Univers"/>
        <family val="2"/>
      </rPr>
      <t>/kWh</t>
    </r>
  </si>
  <si>
    <t>Energy consumption (kWh)</t>
  </si>
  <si>
    <t>Initial Cost per Unit (estimated retail price)</t>
  </si>
  <si>
    <t>Energy and Water Prices</t>
  </si>
  <si>
    <t>Initial Cost Per Unit</t>
  </si>
  <si>
    <t>Life cycle energy saved (kWh)</t>
  </si>
  <si>
    <t>Operating costs (energy and maintenance)</t>
  </si>
  <si>
    <t>Fan</t>
  </si>
  <si>
    <t>Light</t>
  </si>
  <si>
    <t>New England</t>
  </si>
  <si>
    <t>Mid Atlantic</t>
  </si>
  <si>
    <t>South Atlantic</t>
  </si>
  <si>
    <t>East North Central</t>
  </si>
  <si>
    <t>East South Central</t>
  </si>
  <si>
    <t>West North Central</t>
  </si>
  <si>
    <t>West South Central</t>
  </si>
  <si>
    <t>Mountain</t>
  </si>
  <si>
    <t>Pacific</t>
  </si>
  <si>
    <t>National Average</t>
  </si>
  <si>
    <t>Assumptions for Ceiling Fans with Lighting</t>
  </si>
  <si>
    <t>hours</t>
  </si>
  <si>
    <t>Percent of Time Spent at Low Speed</t>
  </si>
  <si>
    <t>Percent of Time Spent at Medium Speed</t>
  </si>
  <si>
    <t>Percent of Time Spent at High Speed</t>
  </si>
  <si>
    <t>Low Speed</t>
  </si>
  <si>
    <t>Medium Speed</t>
  </si>
  <si>
    <t>High Speed</t>
  </si>
  <si>
    <t>Ceiling Fan Wattage</t>
  </si>
  <si>
    <t>Lifetime</t>
  </si>
  <si>
    <t>Bulb</t>
  </si>
  <si>
    <t>Daily Fan and Lighting "On Hours"</t>
  </si>
  <si>
    <t xml:space="preserve">For Selected Location </t>
  </si>
  <si>
    <t xml:space="preserve">For questions or comments, please send your email to: </t>
  </si>
  <si>
    <t>Escalcs@cadmusgroup.com</t>
  </si>
  <si>
    <t>watts</t>
  </si>
  <si>
    <t>Assumption.</t>
  </si>
  <si>
    <t>Number of Bulbs per Fixture</t>
  </si>
  <si>
    <t>Assumption</t>
  </si>
  <si>
    <t>Calculated</t>
  </si>
  <si>
    <t>Assumption. Assumed to have the same number of bulbs as the ENERGY STAR qualified fixture.</t>
  </si>
  <si>
    <t>Cost per Replacement Bulb</t>
  </si>
  <si>
    <t>Bulb Wattage</t>
  </si>
  <si>
    <t>Days Used per Year</t>
  </si>
  <si>
    <t>days/year</t>
  </si>
  <si>
    <t>bulbs</t>
  </si>
  <si>
    <t>Lighting Wattage for Selected Fixture</t>
  </si>
  <si>
    <t>Lighting Wattage per Selected Fixture</t>
  </si>
  <si>
    <t>Annual Bulb Replacement Cost per Selected Fixture</t>
  </si>
  <si>
    <t>Number of Bulbs Replaced Annually per Selected Fixture</t>
  </si>
  <si>
    <t>Maintenance cost</t>
  </si>
  <si>
    <t>Maintenance</t>
  </si>
  <si>
    <t>Labor cost (per hour)</t>
  </si>
  <si>
    <t>Labor time (hours)</t>
  </si>
  <si>
    <t>Electricity Rate ($/kWh)</t>
  </si>
  <si>
    <t>Wattage per Bulb</t>
  </si>
  <si>
    <r>
      <t>lbs CO</t>
    </r>
    <r>
      <rPr>
        <vertAlign val="subscript"/>
        <sz val="10"/>
        <rFont val="Univers"/>
        <family val="2"/>
      </rPr>
      <t>2</t>
    </r>
    <r>
      <rPr>
        <sz val="10"/>
        <rFont val="Univers"/>
        <family val="2"/>
      </rPr>
      <t>/acre-yr</t>
    </r>
  </si>
  <si>
    <t>LBNL 2007</t>
  </si>
  <si>
    <t>Industry Data 2007</t>
  </si>
  <si>
    <t>EIA 2008</t>
  </si>
  <si>
    <t>EPA 2008</t>
  </si>
  <si>
    <t>EPA 2007</t>
  </si>
  <si>
    <t>Calculator last updated: 08/08</t>
  </si>
  <si>
    <t>Commercial Electricity Price</t>
  </si>
  <si>
    <t>Residential Electricity Price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</si>
</sst>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Red]&quot;$&quot;#,##0.00"/>
    <numFmt numFmtId="179" formatCode="#,##0.0_);[Red]\(#,##0.0\)"/>
    <numFmt numFmtId="180" formatCode="&quot;$&quot;#,##0.0000"/>
  </numFmts>
  <fonts count="42">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u val="single"/>
      <sz val="10"/>
      <color indexed="12"/>
      <name val="Univers"/>
      <family val="2"/>
    </font>
    <font>
      <sz val="10"/>
      <color indexed="10"/>
      <name val="Univers"/>
      <family val="2"/>
    </font>
    <font>
      <sz val="10"/>
      <color indexed="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4">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172" fontId="2" fillId="0" borderId="0" xfId="0" applyNumberFormat="1" applyFont="1" applyAlignment="1" applyProtection="1">
      <alignmen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7" fontId="1" fillId="0" borderId="11" xfId="0" applyNumberFormat="1" applyFont="1" applyFill="1" applyBorder="1" applyAlignment="1" applyProtection="1">
      <alignment horizontal="righ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11" xfId="0" applyFont="1" applyBorder="1" applyAlignment="1" applyProtection="1">
      <alignment horizontal="left"/>
      <protection/>
    </xf>
    <xf numFmtId="0" fontId="10" fillId="0" borderId="11" xfId="0" applyFont="1" applyBorder="1" applyAlignment="1" applyProtection="1">
      <alignment/>
      <protection/>
    </xf>
    <xf numFmtId="0" fontId="10" fillId="0" borderId="18" xfId="0" applyFont="1" applyBorder="1" applyAlignment="1" applyProtection="1">
      <alignment horizontal="left"/>
      <protection/>
    </xf>
    <xf numFmtId="0" fontId="10"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19" xfId="0" applyFont="1" applyFill="1" applyBorder="1" applyAlignment="1" applyProtection="1">
      <alignment horizontal="left" indent="1"/>
      <protection/>
    </xf>
    <xf numFmtId="0" fontId="10" fillId="0" borderId="20"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1"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38" fontId="1" fillId="20" borderId="21" xfId="0" applyNumberFormat="1" applyFont="1" applyFill="1" applyBorder="1" applyAlignment="1" applyProtection="1">
      <alignment horizontal="right"/>
      <protection locked="0"/>
    </xf>
    <xf numFmtId="166" fontId="1" fillId="20" borderId="21" xfId="0" applyNumberFormat="1" applyFont="1" applyFill="1" applyBorder="1" applyAlignment="1" applyProtection="1">
      <alignment horizontal="right"/>
      <protection locked="0"/>
    </xf>
    <xf numFmtId="3" fontId="1" fillId="20" borderId="21" xfId="0" applyNumberFormat="1" applyFont="1" applyFill="1" applyBorder="1" applyAlignment="1" applyProtection="1">
      <alignment horizontal="right"/>
      <protection locked="0"/>
    </xf>
    <xf numFmtId="167" fontId="1" fillId="4" borderId="0" xfId="0" applyNumberFormat="1" applyFont="1" applyFill="1" applyBorder="1" applyAlignment="1" applyProtection="1">
      <alignment/>
      <protection/>
    </xf>
    <xf numFmtId="3" fontId="1" fillId="7"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9" fontId="1" fillId="20" borderId="21" xfId="0" applyNumberFormat="1" applyFont="1" applyFill="1" applyBorder="1" applyAlignment="1" applyProtection="1">
      <alignment horizontal="right"/>
      <protection locked="0"/>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8"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8"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1" fillId="20" borderId="0" xfId="0" applyNumberFormat="1" applyFont="1" applyFill="1" applyBorder="1" applyAlignment="1" applyProtection="1">
      <alignment horizontal="right"/>
      <protection/>
    </xf>
    <xf numFmtId="0" fontId="3" fillId="0" borderId="18" xfId="0" applyFont="1" applyBorder="1" applyAlignment="1" applyProtection="1">
      <alignment horizontal="left" indent="1"/>
      <protection/>
    </xf>
    <xf numFmtId="0" fontId="1" fillId="0" borderId="12"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169" fontId="1" fillId="0" borderId="12" xfId="0" applyNumberFormat="1" applyFont="1" applyFill="1" applyBorder="1" applyAlignment="1" applyProtection="1">
      <alignment horizontal="right"/>
      <protection/>
    </xf>
    <xf numFmtId="9" fontId="1" fillId="20" borderId="21" xfId="0" applyNumberFormat="1" applyFont="1" applyFill="1" applyBorder="1" applyAlignment="1" applyProtection="1">
      <alignment horizontal="right"/>
      <protection locked="0"/>
    </xf>
    <xf numFmtId="1" fontId="1" fillId="0" borderId="11" xfId="0" applyNumberFormat="1" applyFont="1" applyBorder="1" applyAlignment="1" applyProtection="1">
      <alignment horizontal="right"/>
      <protection/>
    </xf>
    <xf numFmtId="9" fontId="1" fillId="7" borderId="0" xfId="0" applyNumberFormat="1" applyFont="1" applyFill="1" applyBorder="1" applyAlignment="1" applyProtection="1">
      <alignment horizontal="right"/>
      <protection locked="0"/>
    </xf>
    <xf numFmtId="169" fontId="1" fillId="0" borderId="0" xfId="0" applyNumberFormat="1" applyFont="1" applyFill="1" applyBorder="1" applyAlignment="1" applyProtection="1">
      <alignment horizontal="right"/>
      <protection/>
    </xf>
    <xf numFmtId="8" fontId="1" fillId="0" borderId="11" xfId="0" applyNumberFormat="1" applyFont="1" applyFill="1" applyBorder="1" applyAlignment="1" applyProtection="1">
      <alignment horizontal="right"/>
      <protection/>
    </xf>
    <xf numFmtId="0" fontId="1" fillId="0" borderId="18" xfId="0" applyFont="1" applyBorder="1" applyAlignment="1" applyProtection="1">
      <alignment horizontal="left" indent="2"/>
      <protection/>
    </xf>
    <xf numFmtId="0" fontId="1" fillId="0" borderId="11" xfId="0" applyFont="1" applyFill="1" applyBorder="1" applyAlignment="1" applyProtection="1">
      <alignment horizontal="left" indent="2"/>
      <protection/>
    </xf>
    <xf numFmtId="0" fontId="1" fillId="0" borderId="11" xfId="0" applyFont="1" applyFill="1" applyBorder="1" applyAlignment="1" applyProtection="1">
      <alignment horizontal="left" indent="2"/>
      <protection/>
    </xf>
    <xf numFmtId="0" fontId="1" fillId="0" borderId="18" xfId="0" applyFont="1" applyBorder="1" applyAlignment="1" applyProtection="1">
      <alignment horizontal="left" indent="3"/>
      <protection/>
    </xf>
    <xf numFmtId="0" fontId="1" fillId="0" borderId="11" xfId="0" applyFont="1" applyFill="1" applyBorder="1" applyAlignment="1" applyProtection="1">
      <alignment horizontal="left" indent="3"/>
      <protection/>
    </xf>
    <xf numFmtId="0" fontId="1" fillId="0" borderId="11" xfId="0" applyFont="1" applyBorder="1" applyAlignment="1" applyProtection="1">
      <alignment horizontal="left" indent="2"/>
      <protection/>
    </xf>
    <xf numFmtId="0" fontId="1" fillId="0" borderId="18" xfId="0" applyFont="1" applyBorder="1" applyAlignment="1" applyProtection="1">
      <alignment horizontal="left" indent="2"/>
      <protection/>
    </xf>
    <xf numFmtId="0" fontId="1" fillId="0" borderId="18" xfId="0" applyFont="1" applyFill="1" applyBorder="1" applyAlignment="1">
      <alignment horizontal="left" wrapText="1" indent="2"/>
    </xf>
    <xf numFmtId="0" fontId="1" fillId="0" borderId="11" xfId="0" applyFont="1" applyFill="1" applyBorder="1" applyAlignment="1">
      <alignment horizontal="left" wrapText="1" indent="2"/>
    </xf>
    <xf numFmtId="177" fontId="1" fillId="20" borderId="22" xfId="0" applyNumberFormat="1" applyFont="1" applyFill="1" applyBorder="1" applyAlignment="1" applyProtection="1">
      <alignment/>
      <protection locked="0"/>
    </xf>
    <xf numFmtId="9" fontId="22" fillId="0" borderId="0" xfId="0" applyNumberFormat="1" applyFont="1" applyAlignment="1" applyProtection="1">
      <alignment/>
      <protection/>
    </xf>
    <xf numFmtId="9" fontId="21" fillId="7" borderId="0" xfId="0" applyNumberFormat="1" applyFont="1" applyFill="1" applyBorder="1" applyAlignment="1" applyProtection="1">
      <alignment horizontal="left"/>
      <protection locked="0"/>
    </xf>
    <xf numFmtId="167" fontId="10" fillId="22" borderId="0" xfId="0" applyNumberFormat="1" applyFont="1" applyFill="1" applyBorder="1" applyAlignment="1" applyProtection="1">
      <alignment/>
      <protection/>
    </xf>
    <xf numFmtId="169" fontId="10" fillId="22" borderId="0" xfId="0" applyNumberFormat="1" applyFont="1" applyFill="1" applyBorder="1" applyAlignment="1" applyProtection="1">
      <alignment/>
      <protection/>
    </xf>
    <xf numFmtId="3" fontId="10" fillId="22" borderId="0" xfId="0" applyNumberFormat="1" applyFont="1" applyFill="1" applyBorder="1" applyAlignment="1" applyProtection="1">
      <alignment/>
      <protection/>
    </xf>
    <xf numFmtId="9" fontId="10" fillId="22" borderId="0" xfId="58" applyFont="1" applyFill="1" applyBorder="1" applyAlignment="1" applyProtection="1">
      <alignment/>
      <protection/>
    </xf>
    <xf numFmtId="0" fontId="9" fillId="0" borderId="0" xfId="0" applyFont="1" applyBorder="1" applyAlignment="1" applyProtection="1">
      <alignment horizontal="center"/>
      <protection/>
    </xf>
    <xf numFmtId="0" fontId="10" fillId="0" borderId="14" xfId="0" applyFont="1" applyBorder="1" applyAlignment="1" applyProtection="1">
      <alignment/>
      <protection/>
    </xf>
    <xf numFmtId="168" fontId="10" fillId="22" borderId="0" xfId="0" applyNumberFormat="1" applyFont="1" applyFill="1" applyBorder="1" applyAlignment="1" applyProtection="1">
      <alignment/>
      <protection/>
    </xf>
    <xf numFmtId="169" fontId="1" fillId="0" borderId="0" xfId="0" applyNumberFormat="1" applyFont="1" applyFill="1" applyBorder="1" applyAlignment="1" applyProtection="1">
      <alignment/>
      <protection locked="0"/>
    </xf>
    <xf numFmtId="169" fontId="1" fillId="0" borderId="11" xfId="0" applyNumberFormat="1" applyFont="1" applyFill="1" applyBorder="1" applyAlignment="1" applyProtection="1">
      <alignment/>
      <protection locked="0"/>
    </xf>
    <xf numFmtId="169" fontId="1" fillId="0" borderId="11" xfId="0" applyNumberFormat="1" applyFont="1" applyFill="1" applyBorder="1" applyAlignment="1" applyProtection="1">
      <alignment/>
      <protection/>
    </xf>
    <xf numFmtId="175" fontId="1" fillId="0" borderId="11" xfId="0" applyNumberFormat="1" applyFont="1" applyFill="1" applyBorder="1" applyAlignment="1" applyProtection="1">
      <alignment/>
      <protection/>
    </xf>
    <xf numFmtId="7" fontId="1" fillId="20" borderId="21" xfId="0" applyNumberFormat="1" applyFont="1" applyFill="1" applyBorder="1" applyAlignment="1" applyProtection="1">
      <alignment horizontal="right"/>
      <protection locked="0"/>
    </xf>
    <xf numFmtId="3" fontId="2" fillId="4" borderId="0" xfId="0" applyNumberFormat="1" applyFont="1" applyFill="1" applyBorder="1" applyAlignment="1" applyProtection="1">
      <alignment horizontal="right" indent="1"/>
      <protection/>
    </xf>
    <xf numFmtId="9" fontId="1" fillId="20" borderId="2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9" fillId="0" borderId="0" xfId="0" applyFont="1" applyFill="1" applyBorder="1" applyAlignment="1" applyProtection="1">
      <alignment horizontal="center" wrapText="1"/>
      <protection/>
    </xf>
    <xf numFmtId="0" fontId="3" fillId="0" borderId="14" xfId="0" applyFont="1" applyFill="1" applyBorder="1" applyAlignment="1" applyProtection="1">
      <alignment wrapText="1"/>
      <protection/>
    </xf>
    <xf numFmtId="0" fontId="1" fillId="0" borderId="20" xfId="0" applyFont="1" applyFill="1" applyBorder="1" applyAlignment="1" applyProtection="1">
      <alignment wrapText="1"/>
      <protection/>
    </xf>
    <xf numFmtId="0" fontId="1" fillId="0" borderId="18" xfId="0" applyFont="1" applyFill="1" applyBorder="1" applyAlignment="1" applyProtection="1">
      <alignment wrapText="1"/>
      <protection/>
    </xf>
    <xf numFmtId="0" fontId="1" fillId="0" borderId="0" xfId="0" applyFont="1" applyFill="1" applyAlignment="1" applyProtection="1">
      <alignment wrapText="1"/>
      <protection/>
    </xf>
    <xf numFmtId="1" fontId="1" fillId="0" borderId="11" xfId="0" applyNumberFormat="1" applyFont="1" applyFill="1" applyBorder="1" applyAlignment="1" applyProtection="1">
      <alignment horizontal="right"/>
      <protection/>
    </xf>
    <xf numFmtId="9" fontId="1" fillId="0" borderId="11" xfId="0" applyNumberFormat="1" applyFont="1" applyFill="1" applyBorder="1" applyAlignment="1" applyProtection="1">
      <alignment horizontal="right"/>
      <protection/>
    </xf>
    <xf numFmtId="3" fontId="1" fillId="0" borderId="11" xfId="0" applyNumberFormat="1" applyFont="1" applyFill="1" applyBorder="1" applyAlignment="1" applyProtection="1">
      <alignment horizontal="right"/>
      <protection/>
    </xf>
    <xf numFmtId="178" fontId="1" fillId="0" borderId="11" xfId="0" applyNumberFormat="1" applyFont="1" applyFill="1" applyBorder="1" applyAlignment="1" applyProtection="1">
      <alignment/>
      <protection/>
    </xf>
    <xf numFmtId="180"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19" xfId="0" applyFont="1" applyFill="1" applyBorder="1" applyAlignment="1" applyProtection="1">
      <alignment wrapText="1"/>
      <protection/>
    </xf>
    <xf numFmtId="0" fontId="1" fillId="0" borderId="0" xfId="0" applyFont="1" applyFill="1" applyBorder="1" applyAlignment="1" applyProtection="1">
      <alignment horizontal="left"/>
      <protection/>
    </xf>
    <xf numFmtId="0" fontId="20" fillId="0" borderId="0" xfId="52" applyFont="1" applyFill="1" applyAlignment="1" applyProtection="1">
      <alignment horizontal="left"/>
      <protection/>
    </xf>
    <xf numFmtId="0" fontId="1" fillId="0" borderId="0" xfId="0" applyFont="1" applyFill="1" applyBorder="1" applyAlignment="1" applyProtection="1">
      <alignment/>
      <protection/>
    </xf>
    <xf numFmtId="0" fontId="10"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9" fontId="21" fillId="7" borderId="0" xfId="0" applyNumberFormat="1" applyFont="1" applyFill="1" applyBorder="1" applyAlignment="1" applyProtection="1">
      <alignment horizontal="center"/>
      <protection locked="0"/>
    </xf>
    <xf numFmtId="0" fontId="12" fillId="0" borderId="0" xfId="0" applyFont="1" applyAlignment="1">
      <alignment horizontal="center" wrapText="1"/>
    </xf>
    <xf numFmtId="0" fontId="1" fillId="0" borderId="0" xfId="0" applyFont="1" applyAlignment="1">
      <alignment horizontal="left" wrapText="1"/>
    </xf>
    <xf numFmtId="0" fontId="13" fillId="0" borderId="0" xfId="0" applyFont="1" applyAlignment="1">
      <alignment horizontal="center" wrapText="1"/>
    </xf>
    <xf numFmtId="0" fontId="17" fillId="0" borderId="0" xfId="0" applyFont="1" applyAlignment="1" applyProtection="1">
      <alignment horizontal="left"/>
      <protection/>
    </xf>
    <xf numFmtId="0" fontId="10" fillId="4" borderId="23"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0" fontId="9" fillId="0" borderId="0" xfId="0" applyFont="1" applyBorder="1" applyAlignment="1" applyProtection="1">
      <alignment horizontal="center"/>
      <protection/>
    </xf>
    <xf numFmtId="0" fontId="3" fillId="0" borderId="1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b/>
        <i val="0"/>
      </font>
      <fill>
        <patternFill>
          <bgColor indexed="9"/>
        </patternFill>
      </fill>
      <border>
        <left style="thin">
          <color indexed="8"/>
        </left>
        <right style="thin">
          <color indexed="8"/>
        </right>
        <top style="thin">
          <color indexed="8"/>
        </top>
        <bottom style="thin">
          <color indexed="8"/>
        </bottom>
      </border>
    </dxf>
    <dxf>
      <font>
        <b/>
        <i val="0"/>
      </font>
      <fill>
        <patternFill>
          <bgColor rgb="FFFF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twoCellAnchor>
    <xdr:from>
      <xdr:col>0</xdr:col>
      <xdr:colOff>19050</xdr:colOff>
      <xdr:row>19</xdr:row>
      <xdr:rowOff>180975</xdr:rowOff>
    </xdr:from>
    <xdr:to>
      <xdr:col>0</xdr:col>
      <xdr:colOff>2447925</xdr:colOff>
      <xdr:row>21</xdr:row>
      <xdr:rowOff>142875</xdr:rowOff>
    </xdr:to>
    <xdr:sp>
      <xdr:nvSpPr>
        <xdr:cNvPr id="2" name="AutoShape 97"/>
        <xdr:cNvSpPr>
          <a:spLocks/>
        </xdr:cNvSpPr>
      </xdr:nvSpPr>
      <xdr:spPr>
        <a:xfrm>
          <a:off x="19050" y="3895725"/>
          <a:ext cx="2428875" cy="342900"/>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your location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6"/>
  <sheetViews>
    <sheetView tabSelected="1" zoomScalePageLayoutView="0" workbookViewId="0" topLeftCell="A1">
      <selection activeCell="K6" sqref="K6"/>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85" t="s">
        <v>0</v>
      </c>
      <c r="B7" s="185"/>
      <c r="C7" s="185"/>
      <c r="D7" s="185"/>
      <c r="E7" s="185"/>
      <c r="F7" s="185"/>
      <c r="G7" s="185"/>
      <c r="H7" s="185"/>
      <c r="I7" s="185"/>
      <c r="J7" s="185"/>
      <c r="K7" s="185"/>
      <c r="L7" s="185"/>
      <c r="M7" s="185"/>
    </row>
    <row r="8" spans="1:13" ht="15.75" customHeight="1">
      <c r="A8" s="185" t="str">
        <f>""&amp;C16&amp;" ENERGY STAR Qualified Ceiling Fan(s) with Lighting"</f>
        <v>1 ENERGY STAR Qualified Ceiling Fan(s) with Lighting</v>
      </c>
      <c r="B8" s="185"/>
      <c r="C8" s="185"/>
      <c r="D8" s="185"/>
      <c r="E8" s="185"/>
      <c r="F8" s="185"/>
      <c r="G8" s="185"/>
      <c r="H8" s="185"/>
      <c r="I8" s="185"/>
      <c r="J8" s="185"/>
      <c r="K8" s="185"/>
      <c r="L8" s="185"/>
      <c r="M8" s="185"/>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24" customHeight="1">
      <c r="A11" s="186" t="s">
        <v>36</v>
      </c>
      <c r="B11" s="186"/>
      <c r="C11" s="186"/>
      <c r="D11" s="186"/>
      <c r="E11" s="186"/>
      <c r="F11" s="186"/>
      <c r="G11" s="186"/>
      <c r="H11" s="186"/>
      <c r="I11" s="186"/>
      <c r="J11" s="186"/>
      <c r="K11" s="186"/>
      <c r="L11" s="186"/>
      <c r="M11" s="186"/>
    </row>
    <row r="12" spans="1:13" s="3" customFormat="1" ht="12.75">
      <c r="A12" s="2"/>
      <c r="B12" s="2"/>
      <c r="C12" s="2"/>
      <c r="D12" s="2"/>
      <c r="E12" s="2"/>
      <c r="F12" s="2"/>
      <c r="G12" s="2"/>
      <c r="H12" s="2"/>
      <c r="I12" s="2"/>
      <c r="J12" s="2"/>
      <c r="K12" s="2"/>
      <c r="L12" s="2"/>
      <c r="M12" s="2"/>
    </row>
    <row r="13" spans="1:13" ht="15.75" customHeight="1">
      <c r="A13" s="27"/>
      <c r="L13" s="150"/>
      <c r="M13" s="150"/>
    </row>
    <row r="14" spans="1:13" ht="15.75">
      <c r="A14" s="187" t="s">
        <v>1</v>
      </c>
      <c r="B14" s="187"/>
      <c r="C14" s="187"/>
      <c r="D14" s="187"/>
      <c r="E14" s="187"/>
      <c r="F14" s="187"/>
      <c r="G14" s="187"/>
      <c r="H14" s="187"/>
      <c r="I14" s="187"/>
      <c r="J14" s="187"/>
      <c r="K14" s="187"/>
      <c r="L14" s="187"/>
      <c r="M14" s="187"/>
    </row>
    <row r="15" spans="1:13" ht="4.5" customHeight="1" thickBot="1">
      <c r="A15" s="42"/>
      <c r="B15" s="43"/>
      <c r="C15" s="43"/>
      <c r="D15" s="43">
        <v>4</v>
      </c>
      <c r="E15" s="43"/>
      <c r="F15" s="43"/>
      <c r="G15" s="43"/>
      <c r="H15" s="43"/>
      <c r="I15" s="43"/>
      <c r="J15" s="43"/>
      <c r="K15" s="43"/>
      <c r="L15" s="43"/>
      <c r="M15" s="4"/>
    </row>
    <row r="16" spans="1:14" ht="15.75" customHeight="1" thickBot="1">
      <c r="A16" s="5" t="s">
        <v>2</v>
      </c>
      <c r="B16" s="6"/>
      <c r="C16" s="97">
        <v>1</v>
      </c>
      <c r="D16" s="7"/>
      <c r="E16" s="7"/>
      <c r="F16" s="7"/>
      <c r="G16" s="7"/>
      <c r="H16" s="7"/>
      <c r="I16" s="7"/>
      <c r="J16" s="7"/>
      <c r="K16" s="7"/>
      <c r="L16" s="7"/>
      <c r="M16" s="8"/>
      <c r="N16" s="9"/>
    </row>
    <row r="17" spans="1:13" ht="15.75" customHeight="1" thickBot="1">
      <c r="A17" s="10" t="s">
        <v>92</v>
      </c>
      <c r="B17" s="6"/>
      <c r="C17" s="149">
        <f>Assumptions!C66</f>
        <v>0.1059</v>
      </c>
      <c r="D17" s="7"/>
      <c r="E17" s="7"/>
      <c r="F17" s="7"/>
      <c r="G17" s="7"/>
      <c r="H17" s="7"/>
      <c r="I17" s="7"/>
      <c r="J17" s="7"/>
      <c r="K17" s="7"/>
      <c r="L17" s="7"/>
      <c r="M17" s="8"/>
    </row>
    <row r="18" spans="1:13" ht="15.75" customHeight="1" thickBot="1">
      <c r="A18" s="5" t="s">
        <v>60</v>
      </c>
      <c r="B18" s="7"/>
      <c r="C18" s="135">
        <f>Assumptions!C45</f>
        <v>0.4</v>
      </c>
      <c r="D18" s="108"/>
      <c r="E18" s="108"/>
      <c r="F18" s="108"/>
      <c r="G18" s="184">
        <f>IF(SUM(C18:C20)=100%,"","Percent of Time values must add up to 100%")</f>
      </c>
      <c r="H18" s="184"/>
      <c r="I18" s="184"/>
      <c r="J18" s="184"/>
      <c r="K18" s="184"/>
      <c r="L18" s="13"/>
      <c r="M18" s="8"/>
    </row>
    <row r="19" spans="1:13" ht="15.75" customHeight="1" thickBot="1">
      <c r="A19" s="5" t="s">
        <v>61</v>
      </c>
      <c r="B19" s="7"/>
      <c r="C19" s="112">
        <f>Assumptions!C46</f>
        <v>0.4</v>
      </c>
      <c r="D19" s="39"/>
      <c r="E19" s="39"/>
      <c r="F19" s="39"/>
      <c r="G19" s="151"/>
      <c r="H19" s="13"/>
      <c r="I19" s="13"/>
      <c r="J19" s="14"/>
      <c r="K19" s="7"/>
      <c r="L19" s="13"/>
      <c r="M19" s="8"/>
    </row>
    <row r="20" spans="1:13" ht="15.75" customHeight="1" thickBot="1">
      <c r="A20" s="5" t="s">
        <v>62</v>
      </c>
      <c r="B20" s="7"/>
      <c r="C20" s="165">
        <f>1-C18-C19</f>
        <v>0.19999999999999996</v>
      </c>
      <c r="D20" s="13"/>
      <c r="E20" s="13"/>
      <c r="F20" s="13"/>
      <c r="G20" s="137"/>
      <c r="H20" s="13"/>
      <c r="I20" s="13"/>
      <c r="J20" s="14"/>
      <c r="K20" s="7"/>
      <c r="L20" s="13"/>
      <c r="M20" s="8"/>
    </row>
    <row r="21" spans="1:13" ht="14.25" customHeight="1">
      <c r="A21" s="5"/>
      <c r="B21" s="7"/>
      <c r="C21" s="130"/>
      <c r="D21" s="39"/>
      <c r="E21" s="39"/>
      <c r="F21" s="39"/>
      <c r="G21" s="7"/>
      <c r="H21" s="7"/>
      <c r="I21" s="7"/>
      <c r="J21" s="7"/>
      <c r="K21" s="7"/>
      <c r="L21" s="7"/>
      <c r="M21" s="8"/>
    </row>
    <row r="22" spans="1:14" ht="12" customHeight="1">
      <c r="A22" s="11"/>
      <c r="B22" s="6"/>
      <c r="C22" s="12"/>
      <c r="D22" s="7"/>
      <c r="E22" s="7"/>
      <c r="F22" s="7"/>
      <c r="G22" s="7"/>
      <c r="H22" s="7"/>
      <c r="I22" s="7"/>
      <c r="J22" s="7"/>
      <c r="K22" s="7"/>
      <c r="L22" s="7"/>
      <c r="M22" s="8"/>
      <c r="N22" s="9"/>
    </row>
    <row r="23" spans="1:13" ht="27.75" customHeight="1">
      <c r="A23" s="56"/>
      <c r="B23" s="182" t="s">
        <v>3</v>
      </c>
      <c r="C23" s="182"/>
      <c r="D23" s="182"/>
      <c r="E23" s="45"/>
      <c r="F23" s="182" t="s">
        <v>4</v>
      </c>
      <c r="G23" s="182"/>
      <c r="H23" s="182"/>
      <c r="I23" s="45"/>
      <c r="J23" s="183"/>
      <c r="K23" s="183"/>
      <c r="L23" s="183"/>
      <c r="M23" s="8"/>
    </row>
    <row r="24" spans="1:13" ht="10.5" customHeight="1" thickBot="1">
      <c r="A24" s="44"/>
      <c r="B24" s="45"/>
      <c r="C24" s="45"/>
      <c r="D24" s="45"/>
      <c r="E24" s="45"/>
      <c r="F24" s="45"/>
      <c r="G24" s="101"/>
      <c r="H24" s="45"/>
      <c r="I24" s="45"/>
      <c r="J24" s="45"/>
      <c r="K24" s="45"/>
      <c r="L24" s="45"/>
      <c r="M24" s="8"/>
    </row>
    <row r="25" spans="1:13" ht="15.75" customHeight="1" thickBot="1">
      <c r="A25" s="5" t="s">
        <v>41</v>
      </c>
      <c r="B25" s="7"/>
      <c r="C25" s="105">
        <f>Assumptions!C6</f>
        <v>276</v>
      </c>
      <c r="D25" s="13"/>
      <c r="E25" s="13"/>
      <c r="F25" s="13"/>
      <c r="G25" s="105">
        <f>Assumptions!C23</f>
        <v>190</v>
      </c>
      <c r="H25" s="13"/>
      <c r="I25" s="13"/>
      <c r="J25" s="14"/>
      <c r="K25" s="7"/>
      <c r="L25" s="13"/>
      <c r="M25" s="8"/>
    </row>
    <row r="26" spans="1:13" ht="15.75" customHeight="1" thickBot="1">
      <c r="A26" s="5" t="s">
        <v>79</v>
      </c>
      <c r="B26" s="7"/>
      <c r="C26" s="163">
        <f>Assumptions!C19</f>
        <v>3.5</v>
      </c>
      <c r="D26" s="13"/>
      <c r="E26" s="13"/>
      <c r="F26" s="13"/>
      <c r="G26" s="163">
        <f>Assumptions!C36</f>
        <v>0.5</v>
      </c>
      <c r="H26" s="13"/>
      <c r="I26" s="13"/>
      <c r="J26" s="14"/>
      <c r="K26" s="7"/>
      <c r="L26" s="13"/>
      <c r="M26" s="8"/>
    </row>
    <row r="27" spans="1:13" ht="15.75" customHeight="1" thickBot="1">
      <c r="A27" s="5" t="s">
        <v>75</v>
      </c>
      <c r="B27" s="7"/>
      <c r="C27" s="106">
        <f>Assumptions!C17</f>
        <v>3</v>
      </c>
      <c r="D27" s="13"/>
      <c r="E27" s="13"/>
      <c r="F27" s="13"/>
      <c r="G27" s="104">
        <f>C27</f>
        <v>3</v>
      </c>
      <c r="H27" s="13"/>
      <c r="I27" s="13"/>
      <c r="J27" s="14"/>
      <c r="K27" s="7"/>
      <c r="L27" s="13"/>
      <c r="M27" s="8"/>
    </row>
    <row r="28" spans="1:13" ht="15.75" customHeight="1" thickBot="1">
      <c r="A28" s="5" t="s">
        <v>93</v>
      </c>
      <c r="B28" s="7"/>
      <c r="C28" s="106">
        <f>Assumptions!C12</f>
        <v>20</v>
      </c>
      <c r="D28" s="13"/>
      <c r="E28" s="13"/>
      <c r="F28" s="13"/>
      <c r="G28" s="104">
        <f>Assumptions!C29</f>
        <v>60</v>
      </c>
      <c r="H28" s="13"/>
      <c r="I28" s="13"/>
      <c r="J28" s="14"/>
      <c r="K28" s="7"/>
      <c r="L28" s="13"/>
      <c r="M28" s="8"/>
    </row>
    <row r="29" spans="1:13" ht="4.5" customHeight="1">
      <c r="A29" s="15"/>
      <c r="B29" s="16"/>
      <c r="C29" s="95"/>
      <c r="D29" s="16"/>
      <c r="E29" s="16"/>
      <c r="F29" s="16"/>
      <c r="G29" s="96"/>
      <c r="H29" s="16"/>
      <c r="I29" s="16"/>
      <c r="J29" s="16"/>
      <c r="K29" s="16"/>
      <c r="L29" s="16"/>
      <c r="M29" s="17"/>
    </row>
    <row r="30" ht="14.25" customHeight="1">
      <c r="A30" s="46"/>
    </row>
    <row r="31" ht="15.75" customHeight="1">
      <c r="A31" s="47"/>
    </row>
    <row r="32" spans="1:13" ht="15.75">
      <c r="A32" s="187" t="str">
        <f>"Annual and Life Cycle Costs and Savings for "&amp;C16&amp;" Ceiling Fan(s) with Lighting"</f>
        <v>Annual and Life Cycle Costs and Savings for 1 Ceiling Fan(s) with Lighting</v>
      </c>
      <c r="B32" s="187"/>
      <c r="C32" s="187"/>
      <c r="D32" s="187"/>
      <c r="E32" s="187"/>
      <c r="F32" s="187"/>
      <c r="G32" s="187"/>
      <c r="H32" s="187"/>
      <c r="I32" s="187"/>
      <c r="J32" s="187"/>
      <c r="K32" s="187"/>
      <c r="L32" s="187"/>
      <c r="M32" s="187"/>
    </row>
    <row r="33" spans="1:13" ht="31.5" customHeight="1">
      <c r="A33" s="18"/>
      <c r="B33" s="189" t="str">
        <f>""&amp;C16&amp;" ENERGY STAR Qualified Unit(s)"</f>
        <v>1 ENERGY STAR Qualified Unit(s)</v>
      </c>
      <c r="C33" s="189"/>
      <c r="D33" s="189"/>
      <c r="E33" s="48"/>
      <c r="F33" s="189" t="str">
        <f>""&amp;C16&amp;" Conventional Unit(s)"</f>
        <v>1 Conventional Unit(s)</v>
      </c>
      <c r="G33" s="189"/>
      <c r="H33" s="189"/>
      <c r="I33" s="48"/>
      <c r="J33" s="189" t="s">
        <v>5</v>
      </c>
      <c r="K33" s="189"/>
      <c r="L33" s="189"/>
      <c r="M33" s="19"/>
    </row>
    <row r="34" spans="1:13" ht="15.75" customHeight="1">
      <c r="A34" s="93" t="s">
        <v>30</v>
      </c>
      <c r="B34" s="20"/>
      <c r="C34" s="20"/>
      <c r="D34" s="20"/>
      <c r="E34" s="20"/>
      <c r="F34" s="20"/>
      <c r="G34" s="20"/>
      <c r="H34" s="20"/>
      <c r="I34" s="20"/>
      <c r="J34" s="20"/>
      <c r="K34" s="20"/>
      <c r="L34" s="20"/>
      <c r="M34" s="21"/>
    </row>
    <row r="35" spans="1:13" ht="15.75" customHeight="1">
      <c r="A35" s="22" t="s">
        <v>6</v>
      </c>
      <c r="B35" s="20"/>
      <c r="C35" s="123">
        <f>C36*C17</f>
        <v>15.209611100999998</v>
      </c>
      <c r="D35" s="20"/>
      <c r="E35" s="20"/>
      <c r="F35" s="20"/>
      <c r="G35" s="23">
        <f>G36*C17</f>
        <v>31.227204043199997</v>
      </c>
      <c r="H35" s="20"/>
      <c r="I35" s="20"/>
      <c r="J35" s="20"/>
      <c r="K35" s="23">
        <f>G35-C35</f>
        <v>16.017592942199997</v>
      </c>
      <c r="L35" s="20"/>
      <c r="M35" s="21"/>
    </row>
    <row r="36" spans="1:13" s="3" customFormat="1" ht="15.75" customHeight="1" hidden="1" outlineLevel="1">
      <c r="A36" s="124" t="s">
        <v>40</v>
      </c>
      <c r="B36" s="125"/>
      <c r="C36" s="164">
        <f>C16*Assumptions!C44*(((Assumptions!C13*Assumptions!D49)+(C18*Assumptions!C49*Assumptions!C9)+(C19*Assumptions!C49*Assumptions!C10)+(C20*Assumptions!C49*Assumptions!C11))/1000)</f>
        <v>143.62239</v>
      </c>
      <c r="D36" s="127"/>
      <c r="E36" s="127"/>
      <c r="F36" s="127"/>
      <c r="G36" s="126">
        <f>C16*Assumptions!C44*(((Assumptions!C30*Assumptions!D49)+(C18*Assumptions!C49*Assumptions!C26)+(C19*Assumptions!C49*Assumptions!C27)+(C20*Assumptions!C49*Assumptions!C28))/1000)</f>
        <v>294.874448</v>
      </c>
      <c r="H36" s="127"/>
      <c r="I36" s="127"/>
      <c r="J36" s="127"/>
      <c r="K36" s="126">
        <f>G36-C36</f>
        <v>151.25205799999998</v>
      </c>
      <c r="L36" s="127"/>
      <c r="M36" s="128"/>
    </row>
    <row r="37" spans="1:13" ht="15.75" customHeight="1" collapsed="1">
      <c r="A37" s="109" t="s">
        <v>88</v>
      </c>
      <c r="B37" s="20"/>
      <c r="C37" s="107">
        <f>C16*(Assumptions!C20+Assumptions!C18*Assumptions!C40*Assumptions!C41)</f>
        <v>2.348775</v>
      </c>
      <c r="D37" s="20"/>
      <c r="E37" s="20"/>
      <c r="F37" s="20"/>
      <c r="G37" s="23">
        <f>C16*(Assumptions!C37+Assumptions!C35*Assumptions!C40*Assumptions!C41)</f>
        <v>12.647249999999998</v>
      </c>
      <c r="H37" s="20"/>
      <c r="I37" s="20"/>
      <c r="J37" s="20"/>
      <c r="K37" s="23">
        <f>G37-C37</f>
        <v>10.298474999999998</v>
      </c>
      <c r="L37" s="20"/>
      <c r="M37" s="21"/>
    </row>
    <row r="38" spans="1:13" s="27" customFormat="1" ht="15.75" customHeight="1">
      <c r="A38" s="94" t="s">
        <v>7</v>
      </c>
      <c r="B38" s="25"/>
      <c r="C38" s="51">
        <f>C35+C37</f>
        <v>17.558386100999996</v>
      </c>
      <c r="D38" s="25"/>
      <c r="E38" s="25"/>
      <c r="F38" s="25"/>
      <c r="G38" s="51">
        <f>G35+G37</f>
        <v>43.8744540432</v>
      </c>
      <c r="H38" s="25"/>
      <c r="I38" s="25"/>
      <c r="J38" s="25"/>
      <c r="K38" s="51">
        <f>K35+K37</f>
        <v>26.316067942199993</v>
      </c>
      <c r="L38" s="25"/>
      <c r="M38" s="26"/>
    </row>
    <row r="39" spans="1:13" ht="15.75" customHeight="1">
      <c r="A39" s="22"/>
      <c r="B39" s="20"/>
      <c r="C39" s="20"/>
      <c r="D39" s="20"/>
      <c r="E39" s="20"/>
      <c r="F39" s="20"/>
      <c r="G39" s="20"/>
      <c r="H39" s="20"/>
      <c r="I39" s="20"/>
      <c r="J39" s="20"/>
      <c r="K39" s="20"/>
      <c r="L39" s="20"/>
      <c r="M39" s="21"/>
    </row>
    <row r="40" spans="1:13" ht="15.75" customHeight="1">
      <c r="A40" s="93" t="s">
        <v>31</v>
      </c>
      <c r="B40" s="20"/>
      <c r="C40" s="20"/>
      <c r="D40" s="20"/>
      <c r="E40" s="20"/>
      <c r="F40" s="20"/>
      <c r="G40" s="20"/>
      <c r="H40" s="20"/>
      <c r="I40" s="20"/>
      <c r="J40" s="20"/>
      <c r="K40" s="20"/>
      <c r="L40" s="20"/>
      <c r="M40" s="21"/>
    </row>
    <row r="41" spans="1:13" ht="15.75" customHeight="1">
      <c r="A41" s="40" t="s">
        <v>45</v>
      </c>
      <c r="B41" s="20"/>
      <c r="C41" s="23">
        <f>C42+C44</f>
        <v>142.414239718887</v>
      </c>
      <c r="D41" s="20"/>
      <c r="E41" s="20"/>
      <c r="F41" s="20"/>
      <c r="G41" s="23">
        <f>G42+G44</f>
        <v>355.8611241204973</v>
      </c>
      <c r="H41" s="20"/>
      <c r="I41" s="20"/>
      <c r="J41" s="20"/>
      <c r="K41" s="23">
        <f>G41-C41</f>
        <v>213.44688440161033</v>
      </c>
      <c r="L41" s="20"/>
      <c r="M41" s="21"/>
    </row>
    <row r="42" spans="1:13" ht="15.75" customHeight="1">
      <c r="A42" s="24" t="s">
        <v>6</v>
      </c>
      <c r="B42" s="20"/>
      <c r="C42" s="23">
        <f>PV(Assumptions!C62,Assumptions!C15,-C35,,0)</f>
        <v>123.36357048473238</v>
      </c>
      <c r="D42" s="20"/>
      <c r="E42" s="20"/>
      <c r="F42" s="20"/>
      <c r="G42" s="23">
        <f>PV(Assumptions!C62,Assumptions!C32,-G35,,0)</f>
        <v>253.28059747504935</v>
      </c>
      <c r="H42" s="20"/>
      <c r="I42" s="20"/>
      <c r="J42" s="20"/>
      <c r="K42" s="23">
        <f>G42-C42</f>
        <v>129.91702699031697</v>
      </c>
      <c r="L42" s="20"/>
      <c r="M42" s="21"/>
    </row>
    <row r="43" spans="1:13" s="3" customFormat="1" ht="15.75" customHeight="1" hidden="1" outlineLevel="1">
      <c r="A43" s="124" t="s">
        <v>40</v>
      </c>
      <c r="B43" s="125"/>
      <c r="C43" s="126">
        <f>C36*Assumptions!C15</f>
        <v>1436.2239</v>
      </c>
      <c r="D43" s="127"/>
      <c r="E43" s="127"/>
      <c r="F43" s="127"/>
      <c r="G43" s="126">
        <f>G36*Assumptions!C32</f>
        <v>2948.74448</v>
      </c>
      <c r="H43" s="127"/>
      <c r="I43" s="127"/>
      <c r="J43" s="127"/>
      <c r="K43" s="126">
        <f>G43-C43</f>
        <v>1512.5205799999999</v>
      </c>
      <c r="L43" s="129"/>
      <c r="M43" s="128"/>
    </row>
    <row r="44" spans="1:13" ht="15.75" customHeight="1" collapsed="1">
      <c r="A44" s="24" t="s">
        <v>88</v>
      </c>
      <c r="B44" s="20"/>
      <c r="C44" s="23">
        <f>PV(Assumptions!C62,Assumptions!C15,-C37,,0)</f>
        <v>19.050669234154622</v>
      </c>
      <c r="D44" s="20"/>
      <c r="E44" s="20"/>
      <c r="F44" s="20"/>
      <c r="G44" s="23">
        <f>PV(Assumptions!C62,Assumptions!C32,-G37,,0)</f>
        <v>102.58052664544796</v>
      </c>
      <c r="H44" s="20"/>
      <c r="I44" s="20"/>
      <c r="J44" s="20"/>
      <c r="K44" s="23">
        <f>G44-C44</f>
        <v>83.52985741129334</v>
      </c>
      <c r="L44" s="20"/>
      <c r="M44" s="21"/>
    </row>
    <row r="45" spans="1:13" ht="15.75" customHeight="1">
      <c r="A45" s="22" t="str">
        <f>"Purchase price for "&amp;C16&amp;" unit(s)"</f>
        <v>Purchase price for 1 unit(s)</v>
      </c>
      <c r="B45" s="20"/>
      <c r="C45" s="110">
        <f>C16*C25</f>
        <v>276</v>
      </c>
      <c r="D45" s="20"/>
      <c r="E45" s="20"/>
      <c r="F45" s="20"/>
      <c r="G45" s="23">
        <f>C16*G25</f>
        <v>190</v>
      </c>
      <c r="H45" s="20"/>
      <c r="I45" s="20"/>
      <c r="J45" s="20"/>
      <c r="K45" s="23">
        <f>G45-C45</f>
        <v>-86</v>
      </c>
      <c r="L45" s="20"/>
      <c r="M45" s="21"/>
    </row>
    <row r="46" spans="1:13" s="27" customFormat="1" ht="15.75" customHeight="1">
      <c r="A46" s="94" t="s">
        <v>7</v>
      </c>
      <c r="B46" s="20"/>
      <c r="C46" s="111">
        <f>C41+C45</f>
        <v>418.41423971888696</v>
      </c>
      <c r="D46" s="25"/>
      <c r="E46" s="25"/>
      <c r="F46" s="25"/>
      <c r="G46" s="51">
        <f>G41+G45</f>
        <v>545.8611241204974</v>
      </c>
      <c r="H46" s="25"/>
      <c r="I46" s="25"/>
      <c r="J46" s="25"/>
      <c r="K46" s="51">
        <f>K41+K45</f>
        <v>127.44688440161033</v>
      </c>
      <c r="L46" s="25"/>
      <c r="M46" s="26"/>
    </row>
    <row r="47" spans="1:13" s="27" customFormat="1" ht="15.75" customHeight="1">
      <c r="A47" s="50"/>
      <c r="B47" s="25"/>
      <c r="C47" s="52"/>
      <c r="D47" s="25"/>
      <c r="E47" s="25"/>
      <c r="F47" s="25"/>
      <c r="G47" s="52"/>
      <c r="H47" s="25"/>
      <c r="I47" s="25"/>
      <c r="J47" s="25"/>
      <c r="K47" s="52"/>
      <c r="L47" s="25"/>
      <c r="M47" s="26"/>
    </row>
    <row r="48" spans="1:13" ht="15.75" customHeight="1">
      <c r="A48" s="49"/>
      <c r="B48" s="20"/>
      <c r="C48" s="20"/>
      <c r="D48" s="20"/>
      <c r="E48" s="20"/>
      <c r="F48" s="20"/>
      <c r="G48" s="20"/>
      <c r="H48" s="20"/>
      <c r="I48" s="20"/>
      <c r="J48" s="28" t="s">
        <v>8</v>
      </c>
      <c r="K48" s="100">
        <f>IF(K56&lt;0,0,IF(K38&lt;0,"N/A",IF(K38=0,"&gt;"&amp;Assumptions!C15&amp;"",IF(K56/K38&gt;Assumptions!C15,"&gt;"&amp;Assumptions!C15&amp;"",K56/K38))))</f>
        <v>3.267965419031765</v>
      </c>
      <c r="L48" s="20"/>
      <c r="M48" s="21"/>
    </row>
    <row r="49" spans="1:13" ht="4.5" customHeight="1">
      <c r="A49" s="29"/>
      <c r="B49" s="30"/>
      <c r="C49" s="30"/>
      <c r="D49" s="30"/>
      <c r="E49" s="30"/>
      <c r="F49" s="30"/>
      <c r="G49" s="30"/>
      <c r="H49" s="30"/>
      <c r="I49" s="30"/>
      <c r="J49" s="30"/>
      <c r="K49" s="30"/>
      <c r="L49" s="30"/>
      <c r="M49" s="31"/>
    </row>
    <row r="50" spans="1:13" ht="24" customHeight="1">
      <c r="A50" s="190" t="s">
        <v>32</v>
      </c>
      <c r="B50" s="191"/>
      <c r="C50" s="191"/>
      <c r="D50" s="191"/>
      <c r="E50" s="191"/>
      <c r="F50" s="191"/>
      <c r="G50" s="191"/>
      <c r="H50" s="191"/>
      <c r="I50" s="191"/>
      <c r="J50" s="191"/>
      <c r="K50" s="191"/>
      <c r="L50" s="191"/>
      <c r="M50" s="191"/>
    </row>
    <row r="51" spans="1:13" ht="13.5">
      <c r="A51" s="188" t="s">
        <v>33</v>
      </c>
      <c r="B51" s="188"/>
      <c r="C51" s="188"/>
      <c r="D51" s="188"/>
      <c r="E51" s="188"/>
      <c r="F51" s="188"/>
      <c r="G51" s="188"/>
      <c r="H51" s="188"/>
      <c r="I51" s="188"/>
      <c r="J51" s="188"/>
      <c r="K51" s="188"/>
      <c r="L51" s="188"/>
      <c r="M51" s="188"/>
    </row>
    <row r="52" spans="1:13" ht="14.25">
      <c r="A52" s="53"/>
      <c r="B52" s="53"/>
      <c r="C52" s="53"/>
      <c r="D52" s="53"/>
      <c r="E52" s="53"/>
      <c r="F52" s="53"/>
      <c r="G52" s="53"/>
      <c r="H52" s="53"/>
      <c r="I52" s="53"/>
      <c r="J52" s="53"/>
      <c r="K52" s="53"/>
      <c r="L52" s="53"/>
      <c r="M52" s="53"/>
    </row>
    <row r="53" ht="15" customHeight="1"/>
    <row r="54" spans="1:13" ht="15.75" customHeight="1">
      <c r="A54" s="187" t="str">
        <f>"Summary of Benefits for "&amp;C16&amp;" Ceiling Fan(s) with Lighting"</f>
        <v>Summary of Benefits for 1 Ceiling Fan(s) with Lighting</v>
      </c>
      <c r="B54" s="187"/>
      <c r="C54" s="187"/>
      <c r="D54" s="187"/>
      <c r="E54" s="187"/>
      <c r="F54" s="187"/>
      <c r="G54" s="187"/>
      <c r="H54" s="187"/>
      <c r="I54" s="187"/>
      <c r="J54" s="187"/>
      <c r="K54" s="187"/>
      <c r="L54" s="187"/>
      <c r="M54" s="187"/>
    </row>
    <row r="55" spans="1:13" ht="4.5" customHeight="1">
      <c r="A55" s="32" t="s">
        <v>9</v>
      </c>
      <c r="B55" s="33"/>
      <c r="C55" s="33"/>
      <c r="D55" s="33"/>
      <c r="E55" s="33"/>
      <c r="F55" s="33"/>
      <c r="G55" s="33"/>
      <c r="H55" s="33"/>
      <c r="I55" s="33"/>
      <c r="J55" s="33"/>
      <c r="K55" s="33"/>
      <c r="L55" s="33"/>
      <c r="M55" s="34"/>
    </row>
    <row r="56" spans="1:13" ht="15.75" customHeight="1">
      <c r="A56" s="35" t="s">
        <v>10</v>
      </c>
      <c r="B56" s="55"/>
      <c r="C56" s="55"/>
      <c r="D56" s="55"/>
      <c r="E56" s="55"/>
      <c r="F56" s="55"/>
      <c r="G56" s="55"/>
      <c r="H56" s="55"/>
      <c r="I56" s="55"/>
      <c r="J56" s="55"/>
      <c r="K56" s="152">
        <f>(C25-G25)*C16</f>
        <v>86</v>
      </c>
      <c r="L56" s="113"/>
      <c r="M56" s="118"/>
    </row>
    <row r="57" spans="1:13" ht="15.75" customHeight="1">
      <c r="A57" s="35" t="s">
        <v>11</v>
      </c>
      <c r="B57" s="55"/>
      <c r="C57" s="55"/>
      <c r="D57" s="55"/>
      <c r="E57" s="55"/>
      <c r="F57" s="55"/>
      <c r="G57" s="55"/>
      <c r="H57" s="55"/>
      <c r="I57" s="55"/>
      <c r="J57" s="55"/>
      <c r="K57" s="152">
        <f>K41</f>
        <v>213.44688440161033</v>
      </c>
      <c r="L57" s="113"/>
      <c r="M57" s="118"/>
    </row>
    <row r="58" spans="1:13" ht="15.75" customHeight="1">
      <c r="A58" s="35" t="s">
        <v>12</v>
      </c>
      <c r="B58" s="55"/>
      <c r="C58" s="55"/>
      <c r="D58" s="55"/>
      <c r="E58" s="55"/>
      <c r="F58" s="55"/>
      <c r="G58" s="55"/>
      <c r="H58" s="55"/>
      <c r="I58" s="55"/>
      <c r="J58" s="55"/>
      <c r="K58" s="152">
        <f>K46</f>
        <v>127.44688440161033</v>
      </c>
      <c r="L58" s="113"/>
      <c r="M58" s="118"/>
    </row>
    <row r="59" spans="1:13" ht="15.75" customHeight="1">
      <c r="A59" s="35" t="s">
        <v>13</v>
      </c>
      <c r="B59" s="55"/>
      <c r="C59" s="55"/>
      <c r="D59" s="55"/>
      <c r="E59" s="55"/>
      <c r="F59" s="55"/>
      <c r="G59" s="55"/>
      <c r="H59" s="55"/>
      <c r="I59" s="55"/>
      <c r="J59" s="55"/>
      <c r="K59" s="153">
        <f>K48</f>
        <v>3.267965419031765</v>
      </c>
      <c r="L59" s="114"/>
      <c r="M59" s="119"/>
    </row>
    <row r="60" spans="1:13" ht="15.75" customHeight="1">
      <c r="A60" s="35" t="s">
        <v>44</v>
      </c>
      <c r="B60" s="55"/>
      <c r="C60" s="55"/>
      <c r="D60" s="55"/>
      <c r="E60" s="55"/>
      <c r="F60" s="55"/>
      <c r="G60" s="55"/>
      <c r="H60" s="55"/>
      <c r="I60" s="55"/>
      <c r="J60" s="55"/>
      <c r="K60" s="154">
        <f>K43</f>
        <v>1512.5205799999999</v>
      </c>
      <c r="L60" s="115"/>
      <c r="M60" s="120"/>
    </row>
    <row r="61" spans="1:13" ht="15.75" customHeight="1">
      <c r="A61" s="35" t="s">
        <v>14</v>
      </c>
      <c r="B61" s="55"/>
      <c r="C61" s="55"/>
      <c r="D61" s="55"/>
      <c r="E61" s="55"/>
      <c r="F61" s="55"/>
      <c r="G61" s="55"/>
      <c r="H61" s="55"/>
      <c r="I61" s="55"/>
      <c r="J61" s="55"/>
      <c r="K61" s="154">
        <f>K43*Assumptions!C69</f>
        <v>2329.2816932</v>
      </c>
      <c r="L61" s="115"/>
      <c r="M61" s="120"/>
    </row>
    <row r="62" spans="1:13" ht="15.75" customHeight="1">
      <c r="A62" s="35" t="s">
        <v>15</v>
      </c>
      <c r="B62" s="55"/>
      <c r="C62" s="55"/>
      <c r="D62" s="55"/>
      <c r="E62" s="55"/>
      <c r="F62" s="55"/>
      <c r="G62" s="55"/>
      <c r="H62" s="55"/>
      <c r="I62" s="55"/>
      <c r="J62" s="55"/>
      <c r="K62" s="158">
        <f>K43*Assumptions!C69/Assumptions!C73</f>
        <v>0.1935101514663122</v>
      </c>
      <c r="L62" s="116"/>
      <c r="M62" s="121"/>
    </row>
    <row r="63" spans="1:13" ht="15.75" customHeight="1">
      <c r="A63" s="35" t="s">
        <v>16</v>
      </c>
      <c r="B63" s="55"/>
      <c r="C63" s="55"/>
      <c r="D63" s="55"/>
      <c r="E63" s="55"/>
      <c r="F63" s="55"/>
      <c r="G63" s="55"/>
      <c r="H63" s="55"/>
      <c r="I63" s="55"/>
      <c r="J63" s="55"/>
      <c r="K63" s="158">
        <f>K43*Assumptions!C69/Assumptions!C72</f>
        <v>0.24013213331958763</v>
      </c>
      <c r="L63" s="116"/>
      <c r="M63" s="121"/>
    </row>
    <row r="64" spans="1:13" ht="15.75" customHeight="1">
      <c r="A64" s="98" t="s">
        <v>17</v>
      </c>
      <c r="B64" s="55"/>
      <c r="C64" s="55"/>
      <c r="D64" s="55"/>
      <c r="E64" s="55"/>
      <c r="F64" s="55"/>
      <c r="G64" s="55"/>
      <c r="H64" s="55"/>
      <c r="I64" s="55"/>
      <c r="J64" s="55"/>
      <c r="K64" s="155">
        <f>K46/(C25*C16)</f>
        <v>0.461764073918878</v>
      </c>
      <c r="L64" s="117"/>
      <c r="M64" s="122"/>
    </row>
    <row r="65" spans="1:13" s="38" customFormat="1" ht="4.5" customHeight="1">
      <c r="A65" s="99"/>
      <c r="B65" s="36"/>
      <c r="C65" s="36"/>
      <c r="D65" s="36"/>
      <c r="E65" s="36"/>
      <c r="F65" s="36"/>
      <c r="G65" s="36"/>
      <c r="H65" s="36"/>
      <c r="I65" s="36"/>
      <c r="J65" s="36"/>
      <c r="K65" s="36"/>
      <c r="L65" s="36"/>
      <c r="M65" s="37"/>
    </row>
    <row r="66" s="38" customFormat="1" ht="15.75" customHeight="1">
      <c r="A66" s="54"/>
    </row>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sheetData>
  <sheetProtection/>
  <mergeCells count="15">
    <mergeCell ref="A32:M32"/>
    <mergeCell ref="A51:M51"/>
    <mergeCell ref="A54:M54"/>
    <mergeCell ref="B33:D33"/>
    <mergeCell ref="F33:H33"/>
    <mergeCell ref="J33:L33"/>
    <mergeCell ref="A50:M50"/>
    <mergeCell ref="A7:M7"/>
    <mergeCell ref="A8:M8"/>
    <mergeCell ref="A11:M11"/>
    <mergeCell ref="A14:M14"/>
    <mergeCell ref="B23:D23"/>
    <mergeCell ref="F23:H23"/>
    <mergeCell ref="J23:L23"/>
    <mergeCell ref="G18:K18"/>
  </mergeCells>
  <conditionalFormatting sqref="G18:K18">
    <cfRule type="cellIs" priority="1" dxfId="1" operator="equal" stopIfTrue="1">
      <formula>"Percent of Time values must add up to 100%"</formula>
    </cfRule>
  </conditionalFormatting>
  <dataValidations count="7">
    <dataValidation type="decimal" operator="greaterThan" allowBlank="1" showInputMessage="1" showErrorMessage="1" error="Please enter a positive value. Thank you" sqref="G28 G25:G26 D25:F28 C25:C26 C28">
      <formula1>0.1</formula1>
    </dataValidation>
    <dataValidation type="decimal" operator="greaterThanOrEqual" showInputMessage="1" showErrorMessage="1" error="Please enter a positive number less than or equal to 100%." sqref="C18">
      <formula1>0</formula1>
    </dataValidation>
    <dataValidation type="decimal" operator="greaterThan" showInputMessage="1" showErrorMessage="1" error="please enter a positive value. Thank you" sqref="C17">
      <formula1>0</formula1>
    </dataValidation>
    <dataValidation type="whole" operator="greaterThanOrEqual" showInputMessage="1" showErrorMessage="1" error="Please enter a whole number greater than 1. Thank you." sqref="C16">
      <formula1>1</formula1>
    </dataValidation>
    <dataValidation type="decimal" allowBlank="1" showInputMessage="1" showErrorMessage="1" error="Please enter a value between 1 and 10.&#10;&#10;Thank you." sqref="C27 G27">
      <formula1>1</formula1>
      <formula2>10</formula2>
    </dataValidation>
    <dataValidation type="decimal" operator="lessThanOrEqual" allowBlank="1" showInputMessage="1" showErrorMessage="1" error="Usage pattern percentages must sum to 100%." sqref="C19">
      <formula1>1-C18</formula1>
    </dataValidation>
    <dataValidation type="decimal" operator="equal" allowBlank="1" showInputMessage="1" showErrorMessage="1" error="Usage pattern percentages must sum to 100%." sqref="C20">
      <formula1>1-C18-C19</formula1>
    </dataValidation>
  </dataValidations>
  <printOptions horizontalCentered="1"/>
  <pageMargins left="1" right="1" top="0.5" bottom="0.5" header="0.25" footer="0.25"/>
  <pageSetup fitToHeight="1" fitToWidth="1" horizontalDpi="600" verticalDpi="600" orientation="portrait" scale="66" r:id="rId3"/>
  <ignoredErrors>
    <ignoredError sqref="G18"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170"/>
  <sheetViews>
    <sheetView zoomScalePageLayoutView="0" workbookViewId="0" topLeftCell="B45">
      <selection activeCell="B66" sqref="B66"/>
    </sheetView>
  </sheetViews>
  <sheetFormatPr defaultColWidth="9.140625" defaultRowHeight="12.75"/>
  <cols>
    <col min="1" max="1" width="4.28125" style="61" hidden="1" customWidth="1"/>
    <col min="2" max="2" width="51.57421875" style="60" bestFit="1" customWidth="1"/>
    <col min="3" max="3" width="10.140625" style="82" bestFit="1" customWidth="1"/>
    <col min="4" max="4" width="14.140625" style="83" customWidth="1"/>
    <col min="5" max="5" width="44.7109375" style="171" customWidth="1"/>
    <col min="6" max="8" width="9.140625" style="60" customWidth="1"/>
    <col min="9" max="9" width="21.421875" style="60" customWidth="1"/>
    <col min="10" max="22" width="9.140625" style="60" customWidth="1"/>
    <col min="23" max="16384" width="9.140625" style="61" customWidth="1"/>
  </cols>
  <sheetData>
    <row r="1" spans="2:10" ht="15.75">
      <c r="B1" s="192" t="s">
        <v>58</v>
      </c>
      <c r="C1" s="192"/>
      <c r="D1" s="192"/>
      <c r="E1" s="192"/>
      <c r="F1" s="59"/>
      <c r="G1" s="59"/>
      <c r="H1" s="59"/>
      <c r="I1" s="59"/>
      <c r="J1" s="59"/>
    </row>
    <row r="2" spans="2:10" ht="15.75">
      <c r="B2" s="156"/>
      <c r="C2" s="62"/>
      <c r="D2" s="62"/>
      <c r="E2" s="167"/>
      <c r="F2" s="59"/>
      <c r="G2" s="59"/>
      <c r="H2" s="59"/>
      <c r="I2" s="59"/>
      <c r="J2" s="59"/>
    </row>
    <row r="3" spans="2:5" ht="15">
      <c r="B3" s="157" t="s">
        <v>18</v>
      </c>
      <c r="C3" s="193" t="s">
        <v>19</v>
      </c>
      <c r="D3" s="193"/>
      <c r="E3" s="168" t="s">
        <v>20</v>
      </c>
    </row>
    <row r="4" spans="2:5" ht="15">
      <c r="B4" s="90" t="s">
        <v>21</v>
      </c>
      <c r="C4" s="63"/>
      <c r="D4" s="64"/>
      <c r="E4" s="169"/>
    </row>
    <row r="5" spans="2:5" ht="12.75">
      <c r="B5" s="65" t="s">
        <v>3</v>
      </c>
      <c r="C5" s="66"/>
      <c r="D5" s="57"/>
      <c r="E5" s="75"/>
    </row>
    <row r="6" spans="2:5" ht="12.75">
      <c r="B6" s="102" t="s">
        <v>43</v>
      </c>
      <c r="C6" s="72">
        <v>276</v>
      </c>
      <c r="D6" s="57"/>
      <c r="E6" s="170" t="s">
        <v>96</v>
      </c>
    </row>
    <row r="7" spans="2:5" ht="12.75">
      <c r="B7" s="102" t="s">
        <v>21</v>
      </c>
      <c r="C7" s="72"/>
      <c r="D7" s="57"/>
      <c r="E7" s="75"/>
    </row>
    <row r="8" spans="2:5" ht="12.75">
      <c r="B8" s="142" t="s">
        <v>66</v>
      </c>
      <c r="C8" s="72"/>
      <c r="D8" s="57"/>
      <c r="E8" s="75"/>
    </row>
    <row r="9" spans="2:9" ht="12.75">
      <c r="B9" s="143" t="s">
        <v>63</v>
      </c>
      <c r="C9" s="159">
        <v>11.7</v>
      </c>
      <c r="D9" s="69" t="s">
        <v>73</v>
      </c>
      <c r="E9" s="170" t="s">
        <v>95</v>
      </c>
      <c r="G9" s="67"/>
      <c r="H9" s="68"/>
      <c r="I9" s="67"/>
    </row>
    <row r="10" spans="2:9" ht="12.75">
      <c r="B10" s="144" t="s">
        <v>64</v>
      </c>
      <c r="C10" s="160">
        <v>31.4</v>
      </c>
      <c r="D10" s="69" t="s">
        <v>73</v>
      </c>
      <c r="E10" s="170" t="s">
        <v>95</v>
      </c>
      <c r="G10" s="67"/>
      <c r="H10" s="68"/>
      <c r="I10" s="67"/>
    </row>
    <row r="11" spans="2:9" ht="12.75">
      <c r="B11" s="144" t="s">
        <v>65</v>
      </c>
      <c r="C11" s="70">
        <v>71.45</v>
      </c>
      <c r="D11" s="69" t="s">
        <v>73</v>
      </c>
      <c r="E11" s="170" t="s">
        <v>95</v>
      </c>
      <c r="G11" s="67"/>
      <c r="H11" s="68"/>
      <c r="I11" s="67"/>
    </row>
    <row r="12" spans="2:9" ht="12.75">
      <c r="B12" s="141" t="s">
        <v>80</v>
      </c>
      <c r="C12" s="172">
        <v>20</v>
      </c>
      <c r="D12" s="69" t="s">
        <v>73</v>
      </c>
      <c r="E12" s="170" t="s">
        <v>95</v>
      </c>
      <c r="G12" s="67"/>
      <c r="H12" s="68"/>
      <c r="I12" s="67"/>
    </row>
    <row r="13" spans="2:9" ht="12.75">
      <c r="B13" s="141" t="s">
        <v>85</v>
      </c>
      <c r="C13" s="172">
        <f>'Ceiling Fan Calc'!C28*'Ceiling Fan Calc'!C27</f>
        <v>60</v>
      </c>
      <c r="D13" s="69" t="s">
        <v>73</v>
      </c>
      <c r="E13" s="170" t="s">
        <v>77</v>
      </c>
      <c r="G13" s="67"/>
      <c r="H13" s="68"/>
      <c r="I13" s="67"/>
    </row>
    <row r="14" spans="2:9" ht="12.75">
      <c r="B14" s="103" t="s">
        <v>67</v>
      </c>
      <c r="C14" s="136"/>
      <c r="D14" s="69"/>
      <c r="E14" s="75"/>
      <c r="G14" s="67"/>
      <c r="H14" s="68"/>
      <c r="I14" s="67"/>
    </row>
    <row r="15" spans="2:9" ht="12.75">
      <c r="B15" s="145" t="s">
        <v>46</v>
      </c>
      <c r="C15" s="66">
        <v>10</v>
      </c>
      <c r="D15" s="57" t="s">
        <v>22</v>
      </c>
      <c r="E15" s="170" t="s">
        <v>95</v>
      </c>
      <c r="G15" s="67"/>
      <c r="H15" s="68"/>
      <c r="I15" s="67"/>
    </row>
    <row r="16" spans="2:9" ht="12.75">
      <c r="B16" s="145" t="s">
        <v>68</v>
      </c>
      <c r="C16" s="174">
        <v>10000</v>
      </c>
      <c r="D16" s="57" t="s">
        <v>59</v>
      </c>
      <c r="E16" s="170" t="s">
        <v>95</v>
      </c>
      <c r="G16" s="67"/>
      <c r="H16" s="68"/>
      <c r="I16" s="67"/>
    </row>
    <row r="17" spans="2:9" ht="12.75">
      <c r="B17" s="92" t="s">
        <v>75</v>
      </c>
      <c r="C17" s="71">
        <v>3</v>
      </c>
      <c r="D17" s="57" t="s">
        <v>83</v>
      </c>
      <c r="E17" s="75" t="s">
        <v>76</v>
      </c>
      <c r="G17" s="67"/>
      <c r="H17" s="68"/>
      <c r="I17" s="67"/>
    </row>
    <row r="18" spans="2:9" ht="12.75">
      <c r="B18" s="92" t="s">
        <v>87</v>
      </c>
      <c r="C18" s="162">
        <f>'Ceiling Fan Calc'!C27*$D$49*$C$44/$C$16</f>
        <v>0.36134999999999995</v>
      </c>
      <c r="D18" s="69" t="s">
        <v>83</v>
      </c>
      <c r="E18" s="75" t="s">
        <v>77</v>
      </c>
      <c r="G18" s="67"/>
      <c r="H18" s="68"/>
      <c r="I18" s="67"/>
    </row>
    <row r="19" spans="2:9" ht="12.75">
      <c r="B19" s="92" t="s">
        <v>79</v>
      </c>
      <c r="C19" s="139">
        <v>3.5</v>
      </c>
      <c r="D19" s="57"/>
      <c r="E19" s="170" t="s">
        <v>96</v>
      </c>
      <c r="G19" s="67"/>
      <c r="H19" s="68"/>
      <c r="I19" s="67"/>
    </row>
    <row r="20" spans="2:9" ht="12.75">
      <c r="B20" s="92" t="s">
        <v>86</v>
      </c>
      <c r="C20" s="139">
        <f>C18*'Ceiling Fan Calc'!C26</f>
        <v>1.2647249999999999</v>
      </c>
      <c r="D20" s="57"/>
      <c r="E20" s="75" t="s">
        <v>77</v>
      </c>
      <c r="G20" s="67"/>
      <c r="H20" s="68"/>
      <c r="I20" s="67"/>
    </row>
    <row r="21" spans="2:5" ht="12.75">
      <c r="B21" s="92"/>
      <c r="C21" s="66"/>
      <c r="D21" s="57"/>
      <c r="E21" s="75"/>
    </row>
    <row r="22" spans="2:5" ht="12.75">
      <c r="B22" s="84" t="s">
        <v>4</v>
      </c>
      <c r="C22" s="66"/>
      <c r="D22" s="57"/>
      <c r="E22" s="75"/>
    </row>
    <row r="23" spans="2:22" s="79" customFormat="1" ht="12.75">
      <c r="B23" s="102" t="s">
        <v>43</v>
      </c>
      <c r="C23" s="72">
        <v>190</v>
      </c>
      <c r="D23" s="57"/>
      <c r="E23" s="170" t="s">
        <v>96</v>
      </c>
      <c r="F23" s="78"/>
      <c r="G23" s="78"/>
      <c r="H23" s="78"/>
      <c r="I23" s="78"/>
      <c r="J23" s="78"/>
      <c r="K23" s="78"/>
      <c r="L23" s="78"/>
      <c r="M23" s="78"/>
      <c r="N23" s="78"/>
      <c r="O23" s="78"/>
      <c r="P23" s="78"/>
      <c r="Q23" s="78"/>
      <c r="R23" s="78"/>
      <c r="S23" s="78"/>
      <c r="T23" s="78"/>
      <c r="U23" s="78"/>
      <c r="V23" s="78"/>
    </row>
    <row r="24" spans="2:5" ht="12.75">
      <c r="B24" s="102" t="s">
        <v>21</v>
      </c>
      <c r="C24" s="72"/>
      <c r="D24" s="57"/>
      <c r="E24" s="75"/>
    </row>
    <row r="25" spans="2:5" ht="12.75">
      <c r="B25" s="142" t="s">
        <v>66</v>
      </c>
      <c r="C25" s="72"/>
      <c r="D25" s="57"/>
      <c r="E25" s="75"/>
    </row>
    <row r="26" spans="2:5" ht="12.75">
      <c r="B26" s="143" t="s">
        <v>63</v>
      </c>
      <c r="C26" s="161">
        <v>15.2</v>
      </c>
      <c r="D26" s="69" t="s">
        <v>73</v>
      </c>
      <c r="E26" s="170" t="s">
        <v>95</v>
      </c>
    </row>
    <row r="27" spans="2:5" ht="12.75">
      <c r="B27" s="144" t="s">
        <v>64</v>
      </c>
      <c r="C27" s="161">
        <v>34.8</v>
      </c>
      <c r="D27" s="69" t="s">
        <v>73</v>
      </c>
      <c r="E27" s="170" t="s">
        <v>95</v>
      </c>
    </row>
    <row r="28" spans="2:5" ht="12.75">
      <c r="B28" s="144" t="s">
        <v>65</v>
      </c>
      <c r="C28" s="70">
        <v>72.48</v>
      </c>
      <c r="D28" s="69" t="s">
        <v>73</v>
      </c>
      <c r="E28" s="170" t="s">
        <v>95</v>
      </c>
    </row>
    <row r="29" spans="2:9" ht="12.75">
      <c r="B29" s="141" t="s">
        <v>80</v>
      </c>
      <c r="C29" s="172">
        <v>60</v>
      </c>
      <c r="D29" s="69" t="s">
        <v>73</v>
      </c>
      <c r="E29" s="170" t="s">
        <v>95</v>
      </c>
      <c r="G29" s="67"/>
      <c r="H29" s="68"/>
      <c r="I29" s="67"/>
    </row>
    <row r="30" spans="2:5" ht="12.75">
      <c r="B30" s="141" t="s">
        <v>84</v>
      </c>
      <c r="C30" s="172">
        <f>'Ceiling Fan Calc'!G28*'Ceiling Fan Calc'!G27</f>
        <v>180</v>
      </c>
      <c r="D30" s="69" t="s">
        <v>73</v>
      </c>
      <c r="E30" s="170" t="s">
        <v>77</v>
      </c>
    </row>
    <row r="31" spans="2:5" ht="12.75">
      <c r="B31" s="103" t="s">
        <v>67</v>
      </c>
      <c r="C31" s="172"/>
      <c r="D31" s="69"/>
      <c r="E31" s="75"/>
    </row>
    <row r="32" spans="2:5" ht="12.75">
      <c r="B32" s="142" t="s">
        <v>46</v>
      </c>
      <c r="C32" s="71">
        <f>C15</f>
        <v>10</v>
      </c>
      <c r="D32" s="57" t="s">
        <v>22</v>
      </c>
      <c r="E32" s="170" t="s">
        <v>95</v>
      </c>
    </row>
    <row r="33" spans="2:5" ht="12.75">
      <c r="B33" s="145" t="s">
        <v>68</v>
      </c>
      <c r="C33" s="71">
        <v>1000</v>
      </c>
      <c r="D33" s="57" t="s">
        <v>59</v>
      </c>
      <c r="E33" s="170" t="s">
        <v>95</v>
      </c>
    </row>
    <row r="34" spans="2:9" ht="25.5">
      <c r="B34" s="92" t="s">
        <v>75</v>
      </c>
      <c r="C34" s="71">
        <f>C17</f>
        <v>3</v>
      </c>
      <c r="D34" s="57" t="s">
        <v>83</v>
      </c>
      <c r="E34" s="75" t="s">
        <v>78</v>
      </c>
      <c r="G34" s="67"/>
      <c r="H34" s="68"/>
      <c r="I34" s="67"/>
    </row>
    <row r="35" spans="1:22" s="79" customFormat="1" ht="12.75">
      <c r="A35" s="61"/>
      <c r="B35" s="92" t="s">
        <v>87</v>
      </c>
      <c r="C35" s="162">
        <f>'Ceiling Fan Calc'!G27*$D$49*$C$44/$C$33</f>
        <v>3.6134999999999997</v>
      </c>
      <c r="D35" s="69" t="s">
        <v>83</v>
      </c>
      <c r="E35" s="75" t="s">
        <v>77</v>
      </c>
      <c r="F35" s="78"/>
      <c r="G35" s="78"/>
      <c r="H35" s="78"/>
      <c r="I35" s="78"/>
      <c r="J35" s="78"/>
      <c r="K35" s="78"/>
      <c r="L35" s="78"/>
      <c r="M35" s="78"/>
      <c r="N35" s="78"/>
      <c r="O35" s="78"/>
      <c r="P35" s="78"/>
      <c r="Q35" s="78"/>
      <c r="R35" s="78"/>
      <c r="S35" s="78"/>
      <c r="T35" s="78"/>
      <c r="U35" s="78"/>
      <c r="V35" s="78"/>
    </row>
    <row r="36" spans="1:22" s="79" customFormat="1" ht="12.75">
      <c r="A36" s="61"/>
      <c r="B36" s="92" t="s">
        <v>79</v>
      </c>
      <c r="C36" s="175">
        <v>0.5</v>
      </c>
      <c r="D36" s="69"/>
      <c r="E36" s="170" t="s">
        <v>96</v>
      </c>
      <c r="F36" s="78"/>
      <c r="G36" s="78"/>
      <c r="H36" s="78"/>
      <c r="I36" s="78"/>
      <c r="J36" s="78"/>
      <c r="K36" s="78"/>
      <c r="L36" s="78"/>
      <c r="M36" s="78"/>
      <c r="N36" s="78"/>
      <c r="O36" s="78"/>
      <c r="P36" s="78"/>
      <c r="Q36" s="78"/>
      <c r="R36" s="78"/>
      <c r="S36" s="78"/>
      <c r="T36" s="78"/>
      <c r="U36" s="78"/>
      <c r="V36" s="78"/>
    </row>
    <row r="37" spans="2:9" ht="12.75">
      <c r="B37" s="92" t="s">
        <v>86</v>
      </c>
      <c r="C37" s="139">
        <f>C35*'Ceiling Fan Calc'!G26</f>
        <v>1.8067499999999999</v>
      </c>
      <c r="D37" s="57"/>
      <c r="E37" s="75" t="s">
        <v>77</v>
      </c>
      <c r="G37" s="67"/>
      <c r="H37" s="68"/>
      <c r="I37" s="67"/>
    </row>
    <row r="38" spans="2:9" ht="12.75">
      <c r="B38" s="92"/>
      <c r="C38" s="139"/>
      <c r="D38" s="57"/>
      <c r="E38" s="75"/>
      <c r="G38" s="67"/>
      <c r="H38" s="68"/>
      <c r="I38" s="67"/>
    </row>
    <row r="39" spans="2:9" ht="15">
      <c r="B39" s="86" t="s">
        <v>89</v>
      </c>
      <c r="C39" s="70"/>
      <c r="D39" s="166"/>
      <c r="E39" s="75"/>
      <c r="G39" s="67"/>
      <c r="H39" s="68"/>
      <c r="I39" s="67"/>
    </row>
    <row r="40" spans="2:9" ht="12.75">
      <c r="B40" s="102" t="s">
        <v>90</v>
      </c>
      <c r="C40" s="72">
        <v>20</v>
      </c>
      <c r="D40" s="57"/>
      <c r="E40" s="75" t="s">
        <v>35</v>
      </c>
      <c r="G40" s="67"/>
      <c r="H40" s="68"/>
      <c r="I40" s="67"/>
    </row>
    <row r="41" spans="2:9" ht="12.75">
      <c r="B41" s="102" t="s">
        <v>91</v>
      </c>
      <c r="C41" s="66">
        <v>0.15</v>
      </c>
      <c r="D41" s="57"/>
      <c r="E41" s="75" t="s">
        <v>76</v>
      </c>
      <c r="G41" s="67"/>
      <c r="H41" s="68"/>
      <c r="I41" s="67"/>
    </row>
    <row r="42" spans="2:9" ht="12.75">
      <c r="B42" s="92"/>
      <c r="C42" s="139"/>
      <c r="D42" s="57"/>
      <c r="E42" s="75"/>
      <c r="G42" s="67"/>
      <c r="H42" s="68"/>
      <c r="I42" s="67"/>
    </row>
    <row r="43" spans="2:5" ht="15">
      <c r="B43" s="86" t="s">
        <v>23</v>
      </c>
      <c r="C43" s="66"/>
      <c r="D43" s="57"/>
      <c r="E43" s="75"/>
    </row>
    <row r="44" spans="2:5" ht="12.75">
      <c r="B44" s="92" t="s">
        <v>81</v>
      </c>
      <c r="C44" s="66">
        <v>365</v>
      </c>
      <c r="D44" s="57" t="s">
        <v>82</v>
      </c>
      <c r="E44" s="170" t="s">
        <v>74</v>
      </c>
    </row>
    <row r="45" spans="2:5" ht="12.75">
      <c r="B45" s="103" t="s">
        <v>60</v>
      </c>
      <c r="C45" s="173">
        <v>0.4</v>
      </c>
      <c r="D45" s="69"/>
      <c r="E45" s="170" t="s">
        <v>95</v>
      </c>
    </row>
    <row r="46" spans="2:5" ht="12.75">
      <c r="B46" s="103" t="s">
        <v>61</v>
      </c>
      <c r="C46" s="173">
        <v>0.4</v>
      </c>
      <c r="D46" s="69"/>
      <c r="E46" s="170" t="s">
        <v>95</v>
      </c>
    </row>
    <row r="47" spans="2:5" ht="12.75">
      <c r="B47" s="103" t="s">
        <v>62</v>
      </c>
      <c r="C47" s="173">
        <v>0.2</v>
      </c>
      <c r="D47" s="69"/>
      <c r="E47" s="170" t="s">
        <v>95</v>
      </c>
    </row>
    <row r="48" spans="2:5" ht="12.75">
      <c r="B48" s="131" t="s">
        <v>69</v>
      </c>
      <c r="C48" s="133" t="s">
        <v>46</v>
      </c>
      <c r="D48" s="132" t="s">
        <v>47</v>
      </c>
      <c r="E48" s="75"/>
    </row>
    <row r="49" spans="1:5" ht="12.75">
      <c r="A49" s="61">
        <v>1</v>
      </c>
      <c r="B49" s="140" t="s">
        <v>70</v>
      </c>
      <c r="C49" s="138">
        <f>VLOOKUP(A49,A50:C59,3,FALSE)</f>
        <v>6.2</v>
      </c>
      <c r="D49" s="138">
        <f>VLOOKUP(A49,A50:D59,4,FALSE)</f>
        <v>3.3</v>
      </c>
      <c r="E49" s="170" t="s">
        <v>95</v>
      </c>
    </row>
    <row r="50" spans="1:5" ht="12.75">
      <c r="A50" s="61">
        <v>1</v>
      </c>
      <c r="B50" s="140" t="s">
        <v>57</v>
      </c>
      <c r="C50" s="70">
        <v>6.2</v>
      </c>
      <c r="D50" s="134">
        <v>3.3</v>
      </c>
      <c r="E50" s="170" t="s">
        <v>95</v>
      </c>
    </row>
    <row r="51" spans="1:5" ht="12.75">
      <c r="A51" s="61">
        <v>2</v>
      </c>
      <c r="B51" s="140" t="s">
        <v>48</v>
      </c>
      <c r="C51" s="70">
        <v>1.6</v>
      </c>
      <c r="D51" s="134">
        <v>4</v>
      </c>
      <c r="E51" s="170" t="s">
        <v>95</v>
      </c>
    </row>
    <row r="52" spans="1:5" ht="12.75">
      <c r="A52" s="61">
        <v>3</v>
      </c>
      <c r="B52" s="140" t="s">
        <v>49</v>
      </c>
      <c r="C52" s="70">
        <v>3.2</v>
      </c>
      <c r="D52" s="134">
        <v>3.5</v>
      </c>
      <c r="E52" s="170" t="s">
        <v>95</v>
      </c>
    </row>
    <row r="53" spans="1:5" ht="12.75">
      <c r="A53" s="61">
        <v>4</v>
      </c>
      <c r="B53" s="146" t="s">
        <v>50</v>
      </c>
      <c r="C53" s="70">
        <v>9.6</v>
      </c>
      <c r="D53" s="134">
        <v>3</v>
      </c>
      <c r="E53" s="170" t="s">
        <v>95</v>
      </c>
    </row>
    <row r="54" spans="1:5" ht="12.75">
      <c r="A54" s="61">
        <v>5</v>
      </c>
      <c r="B54" s="147" t="s">
        <v>51</v>
      </c>
      <c r="C54" s="70">
        <v>2.8</v>
      </c>
      <c r="D54" s="134">
        <v>3.5</v>
      </c>
      <c r="E54" s="170" t="s">
        <v>95</v>
      </c>
    </row>
    <row r="55" spans="1:5" ht="12.75">
      <c r="A55" s="61">
        <v>6</v>
      </c>
      <c r="B55" s="147" t="s">
        <v>52</v>
      </c>
      <c r="C55" s="70">
        <v>8</v>
      </c>
      <c r="D55" s="134">
        <v>3</v>
      </c>
      <c r="E55" s="170" t="s">
        <v>95</v>
      </c>
    </row>
    <row r="56" spans="1:5" ht="12.75">
      <c r="A56" s="61">
        <v>7</v>
      </c>
      <c r="B56" s="147" t="s">
        <v>53</v>
      </c>
      <c r="C56" s="70">
        <v>4</v>
      </c>
      <c r="D56" s="134">
        <v>4</v>
      </c>
      <c r="E56" s="170" t="s">
        <v>95</v>
      </c>
    </row>
    <row r="57" spans="1:5" ht="12.75">
      <c r="A57" s="61">
        <v>8</v>
      </c>
      <c r="B57" s="147" t="s">
        <v>54</v>
      </c>
      <c r="C57" s="70">
        <v>8.8</v>
      </c>
      <c r="D57" s="134">
        <v>3</v>
      </c>
      <c r="E57" s="170" t="s">
        <v>95</v>
      </c>
    </row>
    <row r="58" spans="1:5" ht="12.75">
      <c r="A58" s="61">
        <v>9</v>
      </c>
      <c r="B58" s="147" t="s">
        <v>55</v>
      </c>
      <c r="C58" s="70">
        <v>5.6</v>
      </c>
      <c r="D58" s="134">
        <v>3.5</v>
      </c>
      <c r="E58" s="170" t="s">
        <v>95</v>
      </c>
    </row>
    <row r="59" spans="1:5" ht="12.75">
      <c r="A59" s="61">
        <v>10</v>
      </c>
      <c r="B59" s="148" t="s">
        <v>56</v>
      </c>
      <c r="C59" s="70">
        <v>2.8</v>
      </c>
      <c r="D59" s="134">
        <v>4</v>
      </c>
      <c r="E59" s="170" t="s">
        <v>95</v>
      </c>
    </row>
    <row r="60" spans="2:5" ht="12.75">
      <c r="B60" s="92"/>
      <c r="C60" s="66"/>
      <c r="D60" s="57"/>
      <c r="E60" s="170"/>
    </row>
    <row r="61" spans="2:5" ht="15">
      <c r="B61" s="85" t="s">
        <v>24</v>
      </c>
      <c r="C61" s="66"/>
      <c r="D61" s="57"/>
      <c r="E61" s="75"/>
    </row>
    <row r="62" spans="2:5" ht="51">
      <c r="B62" s="91" t="s">
        <v>25</v>
      </c>
      <c r="C62" s="74">
        <v>0.04</v>
      </c>
      <c r="D62" s="57"/>
      <c r="E62" s="75" t="s">
        <v>26</v>
      </c>
    </row>
    <row r="63" spans="2:5" ht="12.75">
      <c r="B63" s="76"/>
      <c r="C63" s="77"/>
      <c r="D63" s="57"/>
      <c r="E63" s="75"/>
    </row>
    <row r="64" spans="1:5" ht="15">
      <c r="A64" s="79"/>
      <c r="B64" s="87" t="s">
        <v>42</v>
      </c>
      <c r="C64" s="77"/>
      <c r="D64" s="57"/>
      <c r="E64" s="75"/>
    </row>
    <row r="65" spans="1:5" ht="12.75">
      <c r="A65" s="79"/>
      <c r="B65" s="88" t="s">
        <v>101</v>
      </c>
      <c r="C65" s="176">
        <v>0.0952</v>
      </c>
      <c r="D65" s="57" t="s">
        <v>37</v>
      </c>
      <c r="E65" s="170" t="s">
        <v>97</v>
      </c>
    </row>
    <row r="66" spans="1:5" ht="12.75">
      <c r="A66" s="79"/>
      <c r="B66" s="88" t="s">
        <v>102</v>
      </c>
      <c r="C66" s="176">
        <v>0.1059</v>
      </c>
      <c r="D66" s="57" t="s">
        <v>37</v>
      </c>
      <c r="E66" s="170" t="s">
        <v>97</v>
      </c>
    </row>
    <row r="67" spans="1:5" ht="12.75">
      <c r="A67" s="79"/>
      <c r="B67" s="88"/>
      <c r="C67" s="77"/>
      <c r="D67" s="57"/>
      <c r="E67" s="75"/>
    </row>
    <row r="68" spans="1:5" ht="15">
      <c r="A68" s="79"/>
      <c r="B68" s="87" t="s">
        <v>34</v>
      </c>
      <c r="C68" s="77"/>
      <c r="D68" s="57"/>
      <c r="E68" s="75"/>
    </row>
    <row r="69" spans="1:5" ht="15.75">
      <c r="A69" s="79"/>
      <c r="B69" s="88" t="s">
        <v>38</v>
      </c>
      <c r="C69" s="77">
        <v>1.54</v>
      </c>
      <c r="D69" s="57" t="s">
        <v>39</v>
      </c>
      <c r="E69" s="75" t="s">
        <v>98</v>
      </c>
    </row>
    <row r="70" spans="1:5" ht="12.75">
      <c r="A70" s="79"/>
      <c r="B70" s="58"/>
      <c r="C70" s="77"/>
      <c r="D70" s="57"/>
      <c r="E70" s="75"/>
    </row>
    <row r="71" spans="1:5" ht="16.5">
      <c r="A71" s="79"/>
      <c r="B71" s="87" t="s">
        <v>29</v>
      </c>
      <c r="C71" s="80"/>
      <c r="D71" s="57"/>
      <c r="E71" s="75"/>
    </row>
    <row r="72" spans="1:5" ht="15.75">
      <c r="A72" s="79"/>
      <c r="B72" s="88" t="s">
        <v>27</v>
      </c>
      <c r="C72" s="80">
        <v>9700</v>
      </c>
      <c r="D72" s="57" t="s">
        <v>94</v>
      </c>
      <c r="E72" s="75" t="s">
        <v>99</v>
      </c>
    </row>
    <row r="73" spans="1:5" ht="15.75">
      <c r="A73" s="79"/>
      <c r="B73" s="89" t="s">
        <v>28</v>
      </c>
      <c r="C73" s="177">
        <v>12037</v>
      </c>
      <c r="D73" s="81" t="s">
        <v>94</v>
      </c>
      <c r="E73" s="178" t="s">
        <v>99</v>
      </c>
    </row>
    <row r="74" ht="12.75">
      <c r="B74" s="78"/>
    </row>
    <row r="75" spans="2:3" ht="12.75">
      <c r="B75" s="179" t="s">
        <v>71</v>
      </c>
      <c r="C75" s="180" t="s">
        <v>72</v>
      </c>
    </row>
    <row r="76" ht="12.75">
      <c r="B76" s="181"/>
    </row>
    <row r="77" ht="12.75">
      <c r="B77" s="181" t="s">
        <v>100</v>
      </c>
    </row>
    <row r="149" spans="6:10" ht="12.75">
      <c r="F149" s="73"/>
      <c r="G149" s="73"/>
      <c r="H149" s="73"/>
      <c r="I149" s="73"/>
      <c r="J149" s="73"/>
    </row>
    <row r="153" ht="12.75" customHeight="1"/>
    <row r="157" ht="12.75" customHeight="1"/>
    <row r="159" ht="24.75" customHeight="1"/>
    <row r="161" spans="1:22" s="79" customFormat="1" ht="12.75">
      <c r="A161" s="61"/>
      <c r="B161" s="60"/>
      <c r="C161" s="82"/>
      <c r="D161" s="83"/>
      <c r="E161" s="171"/>
      <c r="F161" s="78"/>
      <c r="G161" s="78"/>
      <c r="H161" s="78"/>
      <c r="I161" s="78"/>
      <c r="J161" s="78"/>
      <c r="K161" s="78"/>
      <c r="L161" s="78"/>
      <c r="M161" s="78"/>
      <c r="N161" s="78"/>
      <c r="O161" s="78"/>
      <c r="P161" s="78"/>
      <c r="Q161" s="78"/>
      <c r="R161" s="78"/>
      <c r="S161" s="78"/>
      <c r="T161" s="78"/>
      <c r="U161" s="78"/>
      <c r="V161" s="78"/>
    </row>
    <row r="162" spans="1:22" s="79" customFormat="1" ht="12.75">
      <c r="A162" s="61"/>
      <c r="B162" s="60"/>
      <c r="C162" s="82"/>
      <c r="D162" s="83"/>
      <c r="E162" s="171"/>
      <c r="F162" s="78"/>
      <c r="G162" s="78"/>
      <c r="H162" s="78"/>
      <c r="I162" s="78"/>
      <c r="J162" s="78"/>
      <c r="K162" s="78"/>
      <c r="L162" s="78"/>
      <c r="M162" s="78"/>
      <c r="N162" s="78"/>
      <c r="O162" s="78"/>
      <c r="P162" s="78"/>
      <c r="Q162" s="78"/>
      <c r="R162" s="78"/>
      <c r="S162" s="78"/>
      <c r="T162" s="78"/>
      <c r="U162" s="78"/>
      <c r="V162" s="78"/>
    </row>
    <row r="163" spans="1:22" s="79" customFormat="1" ht="12.75">
      <c r="A163" s="61"/>
      <c r="B163" s="60"/>
      <c r="C163" s="82"/>
      <c r="D163" s="83"/>
      <c r="E163" s="171"/>
      <c r="F163" s="78"/>
      <c r="G163" s="78"/>
      <c r="H163" s="78"/>
      <c r="I163" s="78"/>
      <c r="J163" s="78"/>
      <c r="K163" s="78"/>
      <c r="L163" s="78"/>
      <c r="M163" s="78"/>
      <c r="N163" s="78"/>
      <c r="O163" s="78"/>
      <c r="P163" s="78"/>
      <c r="Q163" s="78"/>
      <c r="R163" s="78"/>
      <c r="S163" s="78"/>
      <c r="T163" s="78"/>
      <c r="U163" s="78"/>
      <c r="V163" s="78"/>
    </row>
    <row r="164" spans="1:22" s="79" customFormat="1" ht="12.75">
      <c r="A164" s="61"/>
      <c r="B164" s="60"/>
      <c r="C164" s="82"/>
      <c r="D164" s="83"/>
      <c r="E164" s="171"/>
      <c r="F164" s="78"/>
      <c r="G164" s="78"/>
      <c r="H164" s="78"/>
      <c r="I164" s="78"/>
      <c r="J164" s="78"/>
      <c r="K164" s="78"/>
      <c r="L164" s="78"/>
      <c r="M164" s="78"/>
      <c r="N164" s="78"/>
      <c r="O164" s="78"/>
      <c r="P164" s="78"/>
      <c r="Q164" s="78"/>
      <c r="R164" s="78"/>
      <c r="S164" s="78"/>
      <c r="T164" s="78"/>
      <c r="U164" s="78"/>
      <c r="V164" s="78"/>
    </row>
    <row r="165" spans="1:22" s="79" customFormat="1" ht="12.75">
      <c r="A165" s="61"/>
      <c r="B165" s="60"/>
      <c r="C165" s="82"/>
      <c r="D165" s="83"/>
      <c r="E165" s="171"/>
      <c r="F165" s="78"/>
      <c r="G165" s="78"/>
      <c r="H165" s="78"/>
      <c r="I165" s="78"/>
      <c r="J165" s="78"/>
      <c r="K165" s="78"/>
      <c r="L165" s="78"/>
      <c r="M165" s="78"/>
      <c r="N165" s="78"/>
      <c r="O165" s="78"/>
      <c r="P165" s="78"/>
      <c r="Q165" s="78"/>
      <c r="R165" s="78"/>
      <c r="S165" s="78"/>
      <c r="T165" s="78"/>
      <c r="U165" s="78"/>
      <c r="V165" s="78"/>
    </row>
    <row r="166" spans="1:22" s="79" customFormat="1" ht="12.75">
      <c r="A166" s="61"/>
      <c r="B166" s="60"/>
      <c r="C166" s="82"/>
      <c r="D166" s="83"/>
      <c r="E166" s="171"/>
      <c r="F166" s="78"/>
      <c r="G166" s="78"/>
      <c r="H166" s="78"/>
      <c r="I166" s="78"/>
      <c r="J166" s="78"/>
      <c r="K166" s="78"/>
      <c r="L166" s="78"/>
      <c r="M166" s="78"/>
      <c r="N166" s="78"/>
      <c r="O166" s="78"/>
      <c r="P166" s="78"/>
      <c r="Q166" s="78"/>
      <c r="R166" s="78"/>
      <c r="S166" s="78"/>
      <c r="T166" s="78"/>
      <c r="U166" s="78"/>
      <c r="V166" s="78"/>
    </row>
    <row r="167" spans="1:22" s="79" customFormat="1" ht="12.75">
      <c r="A167" s="61"/>
      <c r="B167" s="60"/>
      <c r="C167" s="82"/>
      <c r="D167" s="83"/>
      <c r="E167" s="171"/>
      <c r="F167" s="78"/>
      <c r="G167" s="78"/>
      <c r="H167" s="78"/>
      <c r="I167" s="78"/>
      <c r="J167" s="78"/>
      <c r="K167" s="78"/>
      <c r="L167" s="78"/>
      <c r="M167" s="78"/>
      <c r="N167" s="78"/>
      <c r="O167" s="78"/>
      <c r="P167" s="78"/>
      <c r="Q167" s="78"/>
      <c r="R167" s="78"/>
      <c r="S167" s="78"/>
      <c r="T167" s="78"/>
      <c r="U167" s="78"/>
      <c r="V167" s="78"/>
    </row>
    <row r="168" spans="1:22" s="79" customFormat="1" ht="12.75">
      <c r="A168" s="61"/>
      <c r="B168" s="60"/>
      <c r="C168" s="82"/>
      <c r="D168" s="83"/>
      <c r="E168" s="171"/>
      <c r="F168" s="78"/>
      <c r="G168" s="78"/>
      <c r="H168" s="78"/>
      <c r="I168" s="78"/>
      <c r="J168" s="78"/>
      <c r="K168" s="78"/>
      <c r="L168" s="78"/>
      <c r="M168" s="78"/>
      <c r="N168" s="78"/>
      <c r="O168" s="78"/>
      <c r="P168" s="78"/>
      <c r="Q168" s="78"/>
      <c r="R168" s="78"/>
      <c r="S168" s="78"/>
      <c r="T168" s="78"/>
      <c r="U168" s="78"/>
      <c r="V168" s="78"/>
    </row>
    <row r="169" spans="1:22" s="79" customFormat="1" ht="12.75">
      <c r="A169" s="61"/>
      <c r="B169" s="60"/>
      <c r="C169" s="82"/>
      <c r="D169" s="83"/>
      <c r="E169" s="171"/>
      <c r="F169" s="78"/>
      <c r="G169" s="78"/>
      <c r="H169" s="78"/>
      <c r="I169" s="78"/>
      <c r="J169" s="78"/>
      <c r="K169" s="78"/>
      <c r="L169" s="78"/>
      <c r="M169" s="78"/>
      <c r="N169" s="78"/>
      <c r="O169" s="78"/>
      <c r="P169" s="78"/>
      <c r="Q169" s="78"/>
      <c r="R169" s="78"/>
      <c r="S169" s="78"/>
      <c r="T169" s="78"/>
      <c r="U169" s="78"/>
      <c r="V169" s="78"/>
    </row>
    <row r="170" spans="1:22" s="79" customFormat="1" ht="12.75">
      <c r="A170" s="61"/>
      <c r="B170" s="60"/>
      <c r="C170" s="82"/>
      <c r="D170" s="83"/>
      <c r="E170" s="171"/>
      <c r="F170" s="78"/>
      <c r="G170" s="78"/>
      <c r="H170" s="78"/>
      <c r="I170" s="78"/>
      <c r="J170" s="78"/>
      <c r="K170" s="78"/>
      <c r="L170" s="78"/>
      <c r="M170" s="78"/>
      <c r="N170" s="78"/>
      <c r="O170" s="78"/>
      <c r="P170" s="78"/>
      <c r="Q170" s="78"/>
      <c r="R170" s="78"/>
      <c r="S170" s="78"/>
      <c r="T170" s="78"/>
      <c r="U170" s="78"/>
      <c r="V170" s="78"/>
    </row>
  </sheetData>
  <sheetProtection/>
  <mergeCells count="2">
    <mergeCell ref="B1:E1"/>
    <mergeCell ref="C3:D3"/>
  </mergeCells>
  <hyperlinks>
    <hyperlink ref="C75" r:id="rId1" display="Escalcs@cadmusgroup.com"/>
  </hyperlinks>
  <printOptions horizontalCentered="1"/>
  <pageMargins left="0.5" right="0.5" top="0.5" bottom="0.5" header="0" footer="0"/>
  <pageSetup fitToHeight="1" fitToWidth="1" horizontalDpi="600" verticalDpi="600" orientation="portrait" scale="6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2005-02-22T15:48:48Z</cp:lastPrinted>
  <dcterms:created xsi:type="dcterms:W3CDTF">2004-07-12T13:20:55Z</dcterms:created>
  <dcterms:modified xsi:type="dcterms:W3CDTF">2008-11-17T15:58:44Z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-1775819889</vt:i4>
  </property>
  <property fmtid="{D5CDD505-2E9C-101B-9397-08002B2CF9AE}" pid="3" name="_EmailSubject">
    <vt:lpwstr>CF assumptions &amp; pls Q&amp;A revised CF calc</vt:lpwstr>
  </property>
  <property fmtid="{D5CDD505-2E9C-101B-9397-08002B2CF9AE}" pid="4" name="_AuthorEmail">
    <vt:lpwstr>MSalisbury@cadmusgroup.com</vt:lpwstr>
  </property>
  <property fmtid="{D5CDD505-2E9C-101B-9397-08002B2CF9AE}" pid="5" name="_AuthorEmailDisplayName">
    <vt:lpwstr>Michelle Salisbury</vt:lpwstr>
  </property>
  <property fmtid="{D5CDD505-2E9C-101B-9397-08002B2CF9AE}" pid="6" name="_PreviousAdHocReviewCycleID">
    <vt:i4>829100330</vt:i4>
  </property>
  <property fmtid="{D5CDD505-2E9C-101B-9397-08002B2CF9AE}" pid="7" name="_ReviewingToolsShownOnce">
    <vt:lpwstr/>
  </property>
</Properties>
</file>