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140" windowWidth="15480" windowHeight="11640" activeTab="0"/>
  </bookViews>
  <sheets>
    <sheet name="MC Longitudinal" sheetId="1" r:id="rId1"/>
  </sheets>
  <externalReferences>
    <externalReference r:id="rId4"/>
  </externalReferences>
  <definedNames>
    <definedName name="_xlnm.Print_Area" localSheetId="0">'MC Longitudinal'!$A$1:$N$38</definedName>
  </definedNames>
  <calcPr fullCalcOnLoad="1"/>
</workbook>
</file>

<file path=xl/sharedStrings.xml><?xml version="1.0" encoding="utf-8"?>
<sst xmlns="http://schemas.openxmlformats.org/spreadsheetml/2006/main" count="116" uniqueCount="60">
  <si>
    <t xml:space="preserve">Base Primary Beam Energy (GeV):   </t>
  </si>
  <si>
    <t xml:space="preserve">Primary Beam Energy (GeV):   </t>
  </si>
  <si>
    <t xml:space="preserve">Base Primary Beam Intensity (protons/pulse):   </t>
  </si>
  <si>
    <t xml:space="preserve">Primary Beam Intensity (protons/pulse):   </t>
  </si>
  <si>
    <t xml:space="preserve"> </t>
  </si>
  <si>
    <t xml:space="preserve">Secondary Beam Energy (GeV):   </t>
  </si>
  <si>
    <t xml:space="preserve">Secondary Yield:   </t>
  </si>
  <si>
    <t xml:space="preserve">Accelerator Cycle Time (sec):   </t>
  </si>
  <si>
    <t>Fixed</t>
  </si>
  <si>
    <t>Removable</t>
  </si>
  <si>
    <t xml:space="preserve">Change in </t>
  </si>
  <si>
    <t>Current</t>
  </si>
  <si>
    <t>Limits</t>
  </si>
  <si>
    <t>Z-Range</t>
  </si>
  <si>
    <t>Enclosure</t>
  </si>
  <si>
    <t>Beam</t>
  </si>
  <si>
    <t>Shielding</t>
  </si>
  <si>
    <t>Cossairt</t>
  </si>
  <si>
    <t xml:space="preserve"> Standard </t>
  </si>
  <si>
    <t>Required</t>
  </si>
  <si>
    <t>Difference</t>
  </si>
  <si>
    <t>Past</t>
  </si>
  <si>
    <t xml:space="preserve">After </t>
  </si>
  <si>
    <t>Old</t>
  </si>
  <si>
    <t>Special</t>
  </si>
  <si>
    <t>(ft)</t>
  </si>
  <si>
    <t>Type</t>
  </si>
  <si>
    <t>(e.f.d.)</t>
  </si>
  <si>
    <t>Category</t>
  </si>
  <si>
    <t>Solutions</t>
  </si>
  <si>
    <t>Fail?</t>
  </si>
  <si>
    <t>Credit</t>
  </si>
  <si>
    <t>pipe</t>
  </si>
  <si>
    <t>P</t>
  </si>
  <si>
    <t>4C</t>
  </si>
  <si>
    <t>F3</t>
  </si>
  <si>
    <t>4' pipe</t>
  </si>
  <si>
    <t>M01</t>
  </si>
  <si>
    <t>4A</t>
  </si>
  <si>
    <t>targ. tube</t>
  </si>
  <si>
    <t>M02</t>
  </si>
  <si>
    <t>PIPE</t>
  </si>
  <si>
    <t>M03</t>
  </si>
  <si>
    <t>M04</t>
  </si>
  <si>
    <t>4B</t>
  </si>
  <si>
    <t>MC6</t>
  </si>
  <si>
    <t>Past Solution Key</t>
  </si>
  <si>
    <t>RT = "Red Tag:" Administrative controls on changes to area</t>
  </si>
  <si>
    <t>Name/Date</t>
  </si>
  <si>
    <t>Originated</t>
  </si>
  <si>
    <t>Checked</t>
  </si>
  <si>
    <t>Approved</t>
  </si>
  <si>
    <t>MC-3</t>
  </si>
  <si>
    <t>M05</t>
  </si>
  <si>
    <t>5518-5583</t>
  </si>
  <si>
    <t>5583-5715</t>
  </si>
  <si>
    <t>5715-5775</t>
  </si>
  <si>
    <t>S</t>
  </si>
  <si>
    <t>Meson Center (MC)  Longitudinal Shielding, enclosure M01 - MC7</t>
  </si>
  <si>
    <t>8A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</si>
</sst>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;\-0.0;0.0"/>
    <numFmt numFmtId="166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36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4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1" fontId="1" fillId="0" borderId="8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1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6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iggins\LOCALS~1\Temp\SOD%20ManagementBeams\Higgins%20shielding\Phase%202%20Longitudinal\MC_Delt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_Deltas"/>
    </sheetNames>
    <sheetDataSet>
      <sheetData sheetId="0">
        <row r="5">
          <cell r="A5" t="str">
            <v>3347-3475</v>
          </cell>
          <cell r="B5">
            <v>4.7681818181818185</v>
          </cell>
        </row>
        <row r="6">
          <cell r="A6" t="str">
            <v>3475-3558</v>
          </cell>
          <cell r="B6">
            <v>4.800000000000001</v>
          </cell>
        </row>
        <row r="7">
          <cell r="A7" t="str">
            <v>3558-3950</v>
          </cell>
          <cell r="B7">
            <v>2.578787878787879</v>
          </cell>
        </row>
        <row r="8">
          <cell r="A8" t="str">
            <v>3950-3967</v>
          </cell>
          <cell r="B8">
            <v>3.133333333333333</v>
          </cell>
        </row>
        <row r="9">
          <cell r="A9" t="str">
            <v>3967-4003</v>
          </cell>
          <cell r="B9">
            <v>2.8333333333333335</v>
          </cell>
        </row>
        <row r="10">
          <cell r="A10" t="str">
            <v>4003-4062</v>
          </cell>
          <cell r="B10">
            <v>1.5333333333333334</v>
          </cell>
        </row>
        <row r="11">
          <cell r="A11" t="str">
            <v>4062-4160</v>
          </cell>
          <cell r="B11">
            <v>-0.11764705882352941</v>
          </cell>
        </row>
        <row r="12">
          <cell r="A12" t="str">
            <v>4160-4300</v>
          </cell>
          <cell r="B12">
            <v>-0.0608695652173913</v>
          </cell>
        </row>
        <row r="13">
          <cell r="A13" t="str">
            <v>4300-4340</v>
          </cell>
          <cell r="B13">
            <v>-0.21428571428571427</v>
          </cell>
        </row>
        <row r="14">
          <cell r="A14" t="str">
            <v>4340-4566</v>
          </cell>
          <cell r="B14">
            <v>-0.44054054054054054</v>
          </cell>
        </row>
        <row r="15">
          <cell r="A15" t="str">
            <v>4566-4656</v>
          </cell>
          <cell r="B15">
            <v>0.94</v>
          </cell>
        </row>
        <row r="16">
          <cell r="A16" t="str">
            <v>4656-4709</v>
          </cell>
          <cell r="B16">
            <v>0.9777777777777779</v>
          </cell>
        </row>
        <row r="17">
          <cell r="A17" t="str">
            <v>4709-4936</v>
          </cell>
          <cell r="B17">
            <v>-0.20263157894736838</v>
          </cell>
        </row>
        <row r="18">
          <cell r="A18" t="str">
            <v>4936-4986</v>
          </cell>
          <cell r="B18">
            <v>0.9749999999999999</v>
          </cell>
        </row>
        <row r="19">
          <cell r="A19" t="str">
            <v>4986-5297</v>
          </cell>
          <cell r="B19">
            <v>0.6000000000000001</v>
          </cell>
        </row>
        <row r="20">
          <cell r="A20" t="str">
            <v>5297-5353</v>
          </cell>
          <cell r="B20">
            <v>1.61</v>
          </cell>
        </row>
        <row r="21">
          <cell r="A21" t="str">
            <v>5353-5518</v>
          </cell>
          <cell r="B21">
            <v>0.9222222222222223</v>
          </cell>
        </row>
        <row r="22">
          <cell r="B22">
            <v>0.9500000000000001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8.625" style="6" customWidth="1"/>
    <col min="2" max="2" width="8.375" style="6" customWidth="1"/>
    <col min="3" max="3" width="5.00390625" style="6" customWidth="1"/>
    <col min="4" max="4" width="8.75390625" style="0" customWidth="1"/>
    <col min="5" max="5" width="11.00390625" style="6" customWidth="1"/>
    <col min="6" max="6" width="8.75390625" style="57" customWidth="1"/>
    <col min="7" max="7" width="8.75390625" style="50" customWidth="1"/>
    <col min="8" max="8" width="8.75390625" style="0" customWidth="1"/>
    <col min="9" max="9" width="8.75390625" style="6" customWidth="1"/>
    <col min="10" max="10" width="8.75390625" style="0" customWidth="1"/>
    <col min="11" max="11" width="8.75390625" style="6" customWidth="1"/>
    <col min="12" max="12" width="9.375" style="6" customWidth="1"/>
    <col min="13" max="13" width="9.75390625" style="6" customWidth="1"/>
    <col min="14" max="14" width="5.375" style="0" customWidth="1"/>
    <col min="15" max="15" width="10.75390625" style="18" customWidth="1"/>
    <col min="16" max="16384" width="12.375" style="0" customWidth="1"/>
  </cols>
  <sheetData>
    <row r="1" spans="1:14" ht="18.75" thickBot="1">
      <c r="A1" s="29" t="s">
        <v>58</v>
      </c>
      <c r="B1"/>
      <c r="C1" s="19"/>
      <c r="D1" s="18"/>
      <c r="E1" s="22"/>
      <c r="F1" s="51"/>
      <c r="G1" s="40"/>
      <c r="I1" s="64"/>
      <c r="J1" s="18"/>
      <c r="K1" s="22"/>
      <c r="L1" s="22"/>
      <c r="M1" s="33"/>
      <c r="N1" s="18"/>
    </row>
    <row r="2" spans="2:14" ht="13.5" thickBot="1">
      <c r="B2" s="22"/>
      <c r="D2" s="3"/>
      <c r="E2" s="25" t="s">
        <v>0</v>
      </c>
      <c r="F2" s="52">
        <v>1000</v>
      </c>
      <c r="G2" s="40"/>
      <c r="J2" s="18"/>
      <c r="K2" s="22"/>
      <c r="L2" s="4" t="s">
        <v>1</v>
      </c>
      <c r="M2" s="43">
        <v>120</v>
      </c>
      <c r="N2" s="18"/>
    </row>
    <row r="3" spans="2:15" ht="13.5" thickBot="1">
      <c r="B3" s="22"/>
      <c r="D3" s="3"/>
      <c r="E3" s="25" t="s">
        <v>2</v>
      </c>
      <c r="F3" s="58">
        <v>20000000000000</v>
      </c>
      <c r="G3" s="40"/>
      <c r="J3" s="18"/>
      <c r="K3" s="22"/>
      <c r="L3" s="4" t="s">
        <v>3</v>
      </c>
      <c r="M3" s="44">
        <v>2000000000000</v>
      </c>
      <c r="N3" s="18"/>
      <c r="O3" s="59">
        <f>2.8*LOG(($M$6/57)*($F$3/$M$3)*($F$2/$M$2)^0.8)</f>
        <v>1.2408988070874216</v>
      </c>
    </row>
    <row r="4" spans="1:15" ht="13.5" thickBot="1">
      <c r="A4" s="20"/>
      <c r="B4" s="23"/>
      <c r="C4" s="20"/>
      <c r="D4" s="27"/>
      <c r="E4"/>
      <c r="F4" s="53"/>
      <c r="G4" s="47"/>
      <c r="H4" s="5"/>
      <c r="I4" s="6" t="s">
        <v>4</v>
      </c>
      <c r="J4" s="18"/>
      <c r="K4" s="22"/>
      <c r="L4" s="4" t="s">
        <v>5</v>
      </c>
      <c r="M4" s="43">
        <v>120</v>
      </c>
      <c r="N4" s="18"/>
      <c r="O4" s="22"/>
    </row>
    <row r="5" spans="1:15" ht="13.5" thickBot="1">
      <c r="A5" s="20"/>
      <c r="B5" s="23"/>
      <c r="C5" s="20"/>
      <c r="D5" s="27"/>
      <c r="E5" s="28"/>
      <c r="F5" s="54"/>
      <c r="G5" s="47"/>
      <c r="H5" s="5"/>
      <c r="J5" s="18"/>
      <c r="K5" s="22"/>
      <c r="L5" s="15" t="s">
        <v>6</v>
      </c>
      <c r="M5" s="44">
        <v>0.0001</v>
      </c>
      <c r="N5" s="18"/>
      <c r="O5" s="59">
        <f>2.8*LOG(($M$6/57)*($F$3/($M$3*$M$5))*($F$2/$M$4)^0.8)</f>
        <v>12.440898807087422</v>
      </c>
    </row>
    <row r="6" spans="2:14" ht="16.5" thickBot="1">
      <c r="B6" s="22"/>
      <c r="D6" s="18"/>
      <c r="E6" s="22"/>
      <c r="F6" s="51"/>
      <c r="G6" s="40"/>
      <c r="H6" s="7"/>
      <c r="I6" s="7"/>
      <c r="J6" s="18"/>
      <c r="K6" s="22"/>
      <c r="L6" s="4" t="s">
        <v>7</v>
      </c>
      <c r="M6" s="43">
        <v>2.9</v>
      </c>
      <c r="N6" s="18"/>
    </row>
    <row r="7" spans="2:14" ht="15.75">
      <c r="B7" s="22"/>
      <c r="D7" s="18"/>
      <c r="E7" s="22"/>
      <c r="F7" s="51"/>
      <c r="G7" s="40"/>
      <c r="H7" s="7"/>
      <c r="I7" s="7"/>
      <c r="J7" s="3"/>
      <c r="K7" s="22"/>
      <c r="L7" s="22"/>
      <c r="M7" s="22"/>
      <c r="N7" s="18"/>
    </row>
    <row r="8" spans="1:14" ht="15.75">
      <c r="A8" s="62" t="s">
        <v>4</v>
      </c>
      <c r="B8" s="8"/>
      <c r="C8" s="8"/>
      <c r="D8" s="21" t="s">
        <v>8</v>
      </c>
      <c r="E8" s="11" t="s">
        <v>9</v>
      </c>
      <c r="F8" s="55" t="s">
        <v>10</v>
      </c>
      <c r="G8" s="48" t="s">
        <v>11</v>
      </c>
      <c r="H8" s="30" t="s">
        <v>12</v>
      </c>
      <c r="I8" s="12"/>
      <c r="J8" s="39"/>
      <c r="K8" s="22"/>
      <c r="L8" s="22"/>
      <c r="M8" s="22"/>
      <c r="N8" s="22"/>
    </row>
    <row r="9" spans="1:16" ht="12.75">
      <c r="A9" s="63" t="s">
        <v>13</v>
      </c>
      <c r="B9" s="9" t="s">
        <v>14</v>
      </c>
      <c r="C9" s="10" t="s">
        <v>15</v>
      </c>
      <c r="D9" s="21" t="s">
        <v>16</v>
      </c>
      <c r="E9" s="11" t="s">
        <v>16</v>
      </c>
      <c r="F9" s="55" t="s">
        <v>16</v>
      </c>
      <c r="G9" s="48" t="s">
        <v>16</v>
      </c>
      <c r="H9" s="31" t="s">
        <v>17</v>
      </c>
      <c r="I9" s="32" t="s">
        <v>18</v>
      </c>
      <c r="J9" s="35" t="s">
        <v>19</v>
      </c>
      <c r="K9" s="9" t="s">
        <v>20</v>
      </c>
      <c r="L9" s="9" t="s">
        <v>21</v>
      </c>
      <c r="M9" s="36" t="s">
        <v>22</v>
      </c>
      <c r="N9" s="37"/>
      <c r="O9" s="9" t="s">
        <v>23</v>
      </c>
      <c r="P9" s="46" t="s">
        <v>24</v>
      </c>
    </row>
    <row r="10" spans="1:20" ht="12.75">
      <c r="A10" s="13" t="s">
        <v>25</v>
      </c>
      <c r="B10" s="13" t="s">
        <v>26</v>
      </c>
      <c r="C10" s="14" t="s">
        <v>26</v>
      </c>
      <c r="D10" s="24" t="s">
        <v>27</v>
      </c>
      <c r="E10" s="17" t="s">
        <v>27</v>
      </c>
      <c r="F10" s="56" t="s">
        <v>25</v>
      </c>
      <c r="G10" s="49" t="s">
        <v>25</v>
      </c>
      <c r="H10" s="34" t="s">
        <v>28</v>
      </c>
      <c r="I10" s="17" t="s">
        <v>27</v>
      </c>
      <c r="J10" s="24" t="s">
        <v>27</v>
      </c>
      <c r="K10" s="13" t="s">
        <v>25</v>
      </c>
      <c r="L10" s="13" t="s">
        <v>29</v>
      </c>
      <c r="M10" s="2" t="s">
        <v>29</v>
      </c>
      <c r="N10" s="38" t="s">
        <v>30</v>
      </c>
      <c r="O10" s="13" t="s">
        <v>29</v>
      </c>
      <c r="P10" s="13" t="s">
        <v>31</v>
      </c>
      <c r="T10" s="1"/>
    </row>
    <row r="11" spans="1:16" ht="12.75">
      <c r="A11" s="61" t="str">
        <f>'[1]MC_Deltas'!$A$5</f>
        <v>3347-3475</v>
      </c>
      <c r="B11" s="22" t="s">
        <v>32</v>
      </c>
      <c r="C11" s="22" t="s">
        <v>33</v>
      </c>
      <c r="D11" s="41">
        <v>13.3</v>
      </c>
      <c r="F11" s="51">
        <f>'[1]MC_Deltas'!$B$5</f>
        <v>4.7681818181818185</v>
      </c>
      <c r="G11" s="26">
        <f aca="true" t="shared" si="0" ref="G11:G30">D11+E11+F11</f>
        <v>18.06818181818182</v>
      </c>
      <c r="H11" s="60" t="s">
        <v>34</v>
      </c>
      <c r="I11" s="26">
        <f>LOOKUP(H11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1" s="41">
        <f aca="true" t="shared" si="1" ref="J11:J26">IF((IF(C11="S",IF((VALUE(LEFT(TRIM(H11),LEN(TRIM(H11))-1)))&gt;=6,I11-$O$5-2.8*(LOG(57))+2.8*(LOG($M$6)),I11-$O$5),IF((VALUE(LEFT(TRIM(H11),LEN(TRIM(H11))-1)))&gt;=6,I11-$O$3-2.8*(LOG(57))+2.8*(LOG($M$6)),I11-$O$3)))&lt;=0,3,IF(C11="S",IF((VALUE(LEFT(TRIM(H11),LEN(TRIM(H11))-1)))&gt;=6,I11-$O$5-2.8*(LOG(57))+2.8*(LOG($M$6)),I11-$O$5),IF((VALUE(LEFT(TRIM(H11),LEN(TRIM(H11))-1)))&gt;=6,I11-$O$3-2.8*(LOG(57))+2.8*(LOG($M$6)),I11-$O$3)))</f>
        <v>15.259101192912578</v>
      </c>
      <c r="K11" s="51">
        <f aca="true" t="shared" si="2" ref="K11:K30">G11-J11</f>
        <v>2.8090806252692424</v>
      </c>
      <c r="L11" s="32" t="str">
        <f aca="true" t="shared" si="3" ref="L11:L30">IF(K11&lt;-0.5,UPPER(O11)," ")</f>
        <v> </v>
      </c>
      <c r="M11" s="45" t="str">
        <f aca="true" t="shared" si="4" ref="M11:M30">IF(K11&lt;-0.5,IF(ISERR(SEARCH("NH",L11)),K11+IF(P11="",0,P11)+IF(ISERR(SEARCH("IM",L11)),0,2),"-")," ")</f>
        <v> </v>
      </c>
      <c r="N11" s="42" t="str">
        <f aca="true" t="shared" si="5" ref="N11:N30">IF(M11&lt;-0.5,"X"," ")</f>
        <v> </v>
      </c>
      <c r="P11" t="str">
        <f aca="true" t="shared" si="6" ref="P11:P30">SUBSTITUTE(SUBSTITUTE(SUBSTITUTE(SUBSTITUTE(L11,",",""),"IM",""),"RT",""),"NH","")</f>
        <v> </v>
      </c>
    </row>
    <row r="12" spans="1:16" ht="12.75">
      <c r="A12" s="61" t="str">
        <f>'[1]MC_Deltas'!$A$6</f>
        <v>3475-3558</v>
      </c>
      <c r="B12" s="22" t="s">
        <v>35</v>
      </c>
      <c r="C12" s="22" t="s">
        <v>33</v>
      </c>
      <c r="D12" s="41">
        <v>13.9</v>
      </c>
      <c r="F12" s="51">
        <f>'[1]MC_Deltas'!$B$6</f>
        <v>4.800000000000001</v>
      </c>
      <c r="G12" s="26">
        <f t="shared" si="0"/>
        <v>18.700000000000003</v>
      </c>
      <c r="H12" s="60" t="s">
        <v>34</v>
      </c>
      <c r="I12" s="26">
        <f>LOOKUP(H12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2" s="41">
        <f t="shared" si="1"/>
        <v>15.259101192912578</v>
      </c>
      <c r="K12" s="51">
        <f t="shared" si="2"/>
        <v>3.440898807087425</v>
      </c>
      <c r="L12" s="32" t="str">
        <f t="shared" si="3"/>
        <v> </v>
      </c>
      <c r="M12" s="45" t="str">
        <f t="shared" si="4"/>
        <v> </v>
      </c>
      <c r="N12" s="42" t="str">
        <f t="shared" si="5"/>
        <v> </v>
      </c>
      <c r="P12" t="str">
        <f t="shared" si="6"/>
        <v> </v>
      </c>
    </row>
    <row r="13" spans="1:16" ht="12.75">
      <c r="A13" s="61" t="str">
        <f>'[1]MC_Deltas'!$A$7</f>
        <v>3558-3950</v>
      </c>
      <c r="B13" s="22" t="s">
        <v>36</v>
      </c>
      <c r="C13" s="22" t="s">
        <v>33</v>
      </c>
      <c r="D13" s="41">
        <v>15.1</v>
      </c>
      <c r="F13" s="51">
        <f>'[1]MC_Deltas'!$B$7</f>
        <v>2.578787878787879</v>
      </c>
      <c r="G13" s="26">
        <f t="shared" si="0"/>
        <v>17.67878787878788</v>
      </c>
      <c r="H13" s="60" t="s">
        <v>34</v>
      </c>
      <c r="I13" s="26">
        <f>LOOKUP(H13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3" s="41">
        <f t="shared" si="1"/>
        <v>15.259101192912578</v>
      </c>
      <c r="K13" s="51">
        <f t="shared" si="2"/>
        <v>2.419686685875302</v>
      </c>
      <c r="L13" s="32" t="str">
        <f t="shared" si="3"/>
        <v> </v>
      </c>
      <c r="M13" s="45" t="str">
        <f t="shared" si="4"/>
        <v> </v>
      </c>
      <c r="N13" s="42" t="str">
        <f t="shared" si="5"/>
        <v> </v>
      </c>
      <c r="P13" t="str">
        <f t="shared" si="6"/>
        <v> </v>
      </c>
    </row>
    <row r="14" spans="1:16" ht="12.75">
      <c r="A14" s="61" t="str">
        <f>'[1]MC_Deltas'!$A$8</f>
        <v>3950-3967</v>
      </c>
      <c r="B14" s="22" t="s">
        <v>36</v>
      </c>
      <c r="C14" s="22" t="s">
        <v>33</v>
      </c>
      <c r="D14" s="41">
        <v>15.5</v>
      </c>
      <c r="F14" s="51">
        <f>'[1]MC_Deltas'!$B$8</f>
        <v>3.133333333333333</v>
      </c>
      <c r="G14" s="26">
        <f t="shared" si="0"/>
        <v>18.633333333333333</v>
      </c>
      <c r="H14" s="60" t="s">
        <v>34</v>
      </c>
      <c r="I14" s="26">
        <f>LOOKUP(H14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4" s="41">
        <f t="shared" si="1"/>
        <v>15.259101192912578</v>
      </c>
      <c r="K14" s="51">
        <f t="shared" si="2"/>
        <v>3.374232140420755</v>
      </c>
      <c r="L14" s="32" t="str">
        <f t="shared" si="3"/>
        <v> </v>
      </c>
      <c r="M14" s="45" t="str">
        <f t="shared" si="4"/>
        <v> </v>
      </c>
      <c r="N14" s="42" t="str">
        <f t="shared" si="5"/>
        <v> </v>
      </c>
      <c r="P14" t="str">
        <f t="shared" si="6"/>
        <v> </v>
      </c>
    </row>
    <row r="15" spans="1:16" ht="12.75">
      <c r="A15" s="61" t="str">
        <f>'[1]MC_Deltas'!$A$9</f>
        <v>3967-4003</v>
      </c>
      <c r="B15" s="22" t="s">
        <v>37</v>
      </c>
      <c r="C15" s="22" t="s">
        <v>33</v>
      </c>
      <c r="D15" s="41">
        <v>12.9</v>
      </c>
      <c r="F15" s="51">
        <f>'[1]MC_Deltas'!$B$9</f>
        <v>2.8333333333333335</v>
      </c>
      <c r="G15" s="26">
        <f t="shared" si="0"/>
        <v>15.733333333333334</v>
      </c>
      <c r="H15" s="60" t="s">
        <v>38</v>
      </c>
      <c r="I15" s="26">
        <f>LOOKUP(H15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15" s="41">
        <f t="shared" si="1"/>
        <v>13.759101192912578</v>
      </c>
      <c r="K15" s="51">
        <f t="shared" si="2"/>
        <v>1.9742321404207566</v>
      </c>
      <c r="L15" s="32" t="str">
        <f t="shared" si="3"/>
        <v> </v>
      </c>
      <c r="M15" s="45" t="str">
        <f t="shared" si="4"/>
        <v> </v>
      </c>
      <c r="N15" s="42" t="str">
        <f t="shared" si="5"/>
        <v> </v>
      </c>
      <c r="P15" t="str">
        <f t="shared" si="6"/>
        <v> </v>
      </c>
    </row>
    <row r="16" spans="1:16" ht="12.75">
      <c r="A16" s="61" t="str">
        <f>'[1]MC_Deltas'!$A$10</f>
        <v>4003-4062</v>
      </c>
      <c r="B16" s="22" t="s">
        <v>37</v>
      </c>
      <c r="C16" s="22" t="s">
        <v>33</v>
      </c>
      <c r="D16" s="41">
        <v>15</v>
      </c>
      <c r="F16" s="51">
        <f>'[1]MC_Deltas'!$B$10</f>
        <v>1.5333333333333334</v>
      </c>
      <c r="G16" s="26">
        <f t="shared" si="0"/>
        <v>16.533333333333335</v>
      </c>
      <c r="H16" s="60" t="s">
        <v>38</v>
      </c>
      <c r="I16" s="26">
        <f>LOOKUP(H16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16" s="41">
        <f t="shared" si="1"/>
        <v>13.759101192912578</v>
      </c>
      <c r="K16" s="51">
        <f t="shared" si="2"/>
        <v>2.7742321404207573</v>
      </c>
      <c r="L16" s="32" t="str">
        <f t="shared" si="3"/>
        <v> </v>
      </c>
      <c r="M16" s="45" t="str">
        <f t="shared" si="4"/>
        <v> </v>
      </c>
      <c r="N16" s="42" t="str">
        <f t="shared" si="5"/>
        <v> </v>
      </c>
      <c r="P16" t="str">
        <f t="shared" si="6"/>
        <v> </v>
      </c>
    </row>
    <row r="17" spans="1:16" ht="12.75">
      <c r="A17" s="61" t="str">
        <f>'[1]MC_Deltas'!$A$11</f>
        <v>4062-4160</v>
      </c>
      <c r="B17" s="22" t="s">
        <v>37</v>
      </c>
      <c r="C17" s="22" t="s">
        <v>33</v>
      </c>
      <c r="D17" s="41">
        <v>20.5</v>
      </c>
      <c r="E17" s="26"/>
      <c r="F17" s="51">
        <f>'[1]MC_Deltas'!$B$11</f>
        <v>-0.11764705882352941</v>
      </c>
      <c r="G17" s="26">
        <f t="shared" si="0"/>
        <v>20.38235294117647</v>
      </c>
      <c r="H17" s="60" t="s">
        <v>38</v>
      </c>
      <c r="I17" s="26">
        <f>LOOKUP(H17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17" s="41">
        <f t="shared" si="1"/>
        <v>13.759101192912578</v>
      </c>
      <c r="K17" s="51">
        <f t="shared" si="2"/>
        <v>6.623251748263893</v>
      </c>
      <c r="L17" s="32" t="str">
        <f t="shared" si="3"/>
        <v> </v>
      </c>
      <c r="M17" s="45" t="str">
        <f t="shared" si="4"/>
        <v> </v>
      </c>
      <c r="N17" s="42" t="str">
        <f t="shared" si="5"/>
        <v> </v>
      </c>
      <c r="P17" t="str">
        <f t="shared" si="6"/>
        <v> </v>
      </c>
    </row>
    <row r="18" spans="1:16" ht="12.75">
      <c r="A18" s="61" t="str">
        <f>'[1]MC_Deltas'!$A$12</f>
        <v>4160-4300</v>
      </c>
      <c r="B18" s="22" t="s">
        <v>37</v>
      </c>
      <c r="C18" s="22" t="s">
        <v>33</v>
      </c>
      <c r="D18" s="41">
        <v>16.5</v>
      </c>
      <c r="E18" s="26"/>
      <c r="F18" s="51">
        <f>'[1]MC_Deltas'!$B$12</f>
        <v>-0.0608695652173913</v>
      </c>
      <c r="G18" s="26">
        <f t="shared" si="0"/>
        <v>16.43913043478261</v>
      </c>
      <c r="H18" s="60" t="s">
        <v>38</v>
      </c>
      <c r="I18" s="26">
        <f>LOOKUP(H18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18" s="41">
        <f t="shared" si="1"/>
        <v>13.759101192912578</v>
      </c>
      <c r="K18" s="51">
        <f t="shared" si="2"/>
        <v>2.680029241870031</v>
      </c>
      <c r="L18" s="32" t="str">
        <f t="shared" si="3"/>
        <v> </v>
      </c>
      <c r="M18" s="45" t="str">
        <f t="shared" si="4"/>
        <v> </v>
      </c>
      <c r="N18" s="42" t="str">
        <f t="shared" si="5"/>
        <v> </v>
      </c>
      <c r="P18" t="str">
        <f t="shared" si="6"/>
        <v> </v>
      </c>
    </row>
    <row r="19" spans="1:16" ht="12.75">
      <c r="A19" s="61" t="str">
        <f>'[1]MC_Deltas'!$A$13</f>
        <v>4300-4340</v>
      </c>
      <c r="B19" s="22" t="s">
        <v>39</v>
      </c>
      <c r="C19" s="22" t="s">
        <v>33</v>
      </c>
      <c r="D19" s="41">
        <v>26</v>
      </c>
      <c r="E19" s="26"/>
      <c r="F19" s="51">
        <f>'[1]MC_Deltas'!$B$13</f>
        <v>-0.21428571428571427</v>
      </c>
      <c r="G19" s="26">
        <f t="shared" si="0"/>
        <v>25.785714285714285</v>
      </c>
      <c r="H19" s="60" t="s">
        <v>38</v>
      </c>
      <c r="I19" s="26">
        <f>LOOKUP(H19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19" s="41">
        <f t="shared" si="1"/>
        <v>13.759101192912578</v>
      </c>
      <c r="K19" s="51">
        <f t="shared" si="2"/>
        <v>12.026613092801707</v>
      </c>
      <c r="L19" s="32" t="str">
        <f t="shared" si="3"/>
        <v> </v>
      </c>
      <c r="M19" s="45" t="str">
        <f t="shared" si="4"/>
        <v> </v>
      </c>
      <c r="N19" s="42" t="str">
        <f t="shared" si="5"/>
        <v> </v>
      </c>
      <c r="P19" t="str">
        <f t="shared" si="6"/>
        <v> </v>
      </c>
    </row>
    <row r="20" spans="1:16" ht="12.75">
      <c r="A20" s="61" t="str">
        <f>'[1]MC_Deltas'!$A$14</f>
        <v>4340-4566</v>
      </c>
      <c r="B20" s="22" t="s">
        <v>40</v>
      </c>
      <c r="C20" s="22" t="s">
        <v>33</v>
      </c>
      <c r="D20" s="41">
        <v>19</v>
      </c>
      <c r="E20" s="26"/>
      <c r="F20" s="51">
        <f>'[1]MC_Deltas'!$B$14</f>
        <v>-0.44054054054054054</v>
      </c>
      <c r="G20" s="26">
        <f t="shared" si="0"/>
        <v>18.55945945945946</v>
      </c>
      <c r="H20" s="60" t="s">
        <v>38</v>
      </c>
      <c r="I20" s="26">
        <f>LOOKUP(H20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0" s="41">
        <f t="shared" si="1"/>
        <v>13.759101192912578</v>
      </c>
      <c r="K20" s="51">
        <f t="shared" si="2"/>
        <v>4.800358266546883</v>
      </c>
      <c r="L20" s="32" t="str">
        <f t="shared" si="3"/>
        <v> </v>
      </c>
      <c r="M20" s="45" t="str">
        <f t="shared" si="4"/>
        <v> </v>
      </c>
      <c r="N20" s="42" t="str">
        <f t="shared" si="5"/>
        <v> </v>
      </c>
      <c r="P20" t="str">
        <f t="shared" si="6"/>
        <v> </v>
      </c>
    </row>
    <row r="21" spans="1:16" ht="12.75">
      <c r="A21" s="61" t="str">
        <f>'[1]MC_Deltas'!$A$15</f>
        <v>4566-4656</v>
      </c>
      <c r="B21" s="22" t="s">
        <v>40</v>
      </c>
      <c r="C21" s="22" t="s">
        <v>33</v>
      </c>
      <c r="D21" s="41">
        <v>18</v>
      </c>
      <c r="E21" s="26"/>
      <c r="F21" s="51">
        <f>'[1]MC_Deltas'!$B$15</f>
        <v>0.94</v>
      </c>
      <c r="G21" s="26">
        <f t="shared" si="0"/>
        <v>18.94</v>
      </c>
      <c r="H21" s="60" t="s">
        <v>38</v>
      </c>
      <c r="I21" s="26">
        <f>LOOKUP(H21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1" s="41">
        <f t="shared" si="1"/>
        <v>13.759101192912578</v>
      </c>
      <c r="K21" s="51">
        <f t="shared" si="2"/>
        <v>5.180898807087424</v>
      </c>
      <c r="L21" s="32" t="str">
        <f t="shared" si="3"/>
        <v> </v>
      </c>
      <c r="M21" s="45" t="str">
        <f t="shared" si="4"/>
        <v> </v>
      </c>
      <c r="N21" s="42" t="str">
        <f t="shared" si="5"/>
        <v> </v>
      </c>
      <c r="P21" t="str">
        <f t="shared" si="6"/>
        <v> </v>
      </c>
    </row>
    <row r="22" spans="1:16" ht="12.75">
      <c r="A22" s="61" t="str">
        <f>'[1]MC_Deltas'!$A$16</f>
        <v>4656-4709</v>
      </c>
      <c r="B22" s="22" t="s">
        <v>40</v>
      </c>
      <c r="C22" s="22" t="s">
        <v>33</v>
      </c>
      <c r="D22" s="41">
        <v>20.5</v>
      </c>
      <c r="E22" s="26"/>
      <c r="F22" s="51">
        <f>'[1]MC_Deltas'!$B$16</f>
        <v>0.9777777777777779</v>
      </c>
      <c r="G22" s="26">
        <f t="shared" si="0"/>
        <v>21.477777777777778</v>
      </c>
      <c r="H22" s="60" t="s">
        <v>38</v>
      </c>
      <c r="I22" s="26">
        <f>LOOKUP(H22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2" s="41">
        <f t="shared" si="1"/>
        <v>13.759101192912578</v>
      </c>
      <c r="K22" s="51">
        <f t="shared" si="2"/>
        <v>7.7186765848652</v>
      </c>
      <c r="L22" s="32" t="str">
        <f t="shared" si="3"/>
        <v> </v>
      </c>
      <c r="M22" s="45" t="str">
        <f t="shared" si="4"/>
        <v> </v>
      </c>
      <c r="N22" s="42" t="str">
        <f t="shared" si="5"/>
        <v> </v>
      </c>
      <c r="P22" t="str">
        <f t="shared" si="6"/>
        <v> </v>
      </c>
    </row>
    <row r="23" spans="1:16" ht="12.75">
      <c r="A23" s="61" t="str">
        <f>'[1]MC_Deltas'!$A$17</f>
        <v>4709-4936</v>
      </c>
      <c r="B23" s="22" t="s">
        <v>41</v>
      </c>
      <c r="C23" s="22" t="s">
        <v>33</v>
      </c>
      <c r="D23" s="41">
        <v>24.5</v>
      </c>
      <c r="E23" s="26"/>
      <c r="F23" s="51">
        <f>'[1]MC_Deltas'!$B$17</f>
        <v>-0.20263157894736838</v>
      </c>
      <c r="G23" s="26">
        <f t="shared" si="0"/>
        <v>24.29736842105263</v>
      </c>
      <c r="H23" s="60" t="s">
        <v>34</v>
      </c>
      <c r="I23" s="26">
        <f>LOOKUP(H23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3" s="41">
        <f t="shared" si="1"/>
        <v>15.259101192912578</v>
      </c>
      <c r="K23" s="51">
        <f t="shared" si="2"/>
        <v>9.038267228140054</v>
      </c>
      <c r="L23" s="32" t="str">
        <f t="shared" si="3"/>
        <v> </v>
      </c>
      <c r="M23" s="45" t="str">
        <f t="shared" si="4"/>
        <v> </v>
      </c>
      <c r="N23" s="42" t="str">
        <f t="shared" si="5"/>
        <v> </v>
      </c>
      <c r="P23" t="str">
        <f t="shared" si="6"/>
        <v> </v>
      </c>
    </row>
    <row r="24" spans="1:16" ht="12.75">
      <c r="A24" s="61" t="str">
        <f>'[1]MC_Deltas'!$A$18</f>
        <v>4936-4986</v>
      </c>
      <c r="B24" s="22" t="s">
        <v>42</v>
      </c>
      <c r="C24" s="22" t="s">
        <v>33</v>
      </c>
      <c r="D24" s="41">
        <v>16.5</v>
      </c>
      <c r="E24" s="26"/>
      <c r="F24" s="51">
        <f>'[1]MC_Deltas'!$B$18</f>
        <v>0.9749999999999999</v>
      </c>
      <c r="G24" s="26">
        <f t="shared" si="0"/>
        <v>17.475</v>
      </c>
      <c r="H24" s="60" t="s">
        <v>38</v>
      </c>
      <c r="I24" s="26">
        <f>LOOKUP(H24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4" s="41">
        <f t="shared" si="1"/>
        <v>13.759101192912578</v>
      </c>
      <c r="K24" s="51">
        <f t="shared" si="2"/>
        <v>3.7158988070874237</v>
      </c>
      <c r="L24" s="32" t="str">
        <f t="shared" si="3"/>
        <v> </v>
      </c>
      <c r="M24" s="45" t="str">
        <f t="shared" si="4"/>
        <v> </v>
      </c>
      <c r="N24" s="42" t="str">
        <f t="shared" si="5"/>
        <v> </v>
      </c>
      <c r="P24" t="str">
        <f t="shared" si="6"/>
        <v> </v>
      </c>
    </row>
    <row r="25" spans="1:16" ht="12.75">
      <c r="A25" s="61" t="str">
        <f>'[1]MC_Deltas'!$A$19</f>
        <v>4986-5297</v>
      </c>
      <c r="B25" s="22" t="s">
        <v>41</v>
      </c>
      <c r="C25" s="22" t="s">
        <v>33</v>
      </c>
      <c r="D25" s="41">
        <v>18.5</v>
      </c>
      <c r="E25" s="26"/>
      <c r="F25" s="51">
        <f>'[1]MC_Deltas'!$B$19</f>
        <v>0.6000000000000001</v>
      </c>
      <c r="G25" s="26">
        <f t="shared" si="0"/>
        <v>19.1</v>
      </c>
      <c r="H25" s="60" t="s">
        <v>34</v>
      </c>
      <c r="I25" s="26">
        <f>LOOKUP(H25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5" s="41">
        <f t="shared" si="1"/>
        <v>15.259101192912578</v>
      </c>
      <c r="K25" s="51">
        <f t="shared" si="2"/>
        <v>3.8408988070874237</v>
      </c>
      <c r="L25" s="32" t="str">
        <f t="shared" si="3"/>
        <v> </v>
      </c>
      <c r="M25" s="45" t="str">
        <f t="shared" si="4"/>
        <v> </v>
      </c>
      <c r="N25" s="42" t="str">
        <f t="shared" si="5"/>
        <v> </v>
      </c>
      <c r="P25" t="str">
        <f t="shared" si="6"/>
        <v> </v>
      </c>
    </row>
    <row r="26" spans="1:16" ht="12.75">
      <c r="A26" s="61" t="str">
        <f>'[1]MC_Deltas'!$A$20</f>
        <v>5297-5353</v>
      </c>
      <c r="B26" s="22" t="s">
        <v>43</v>
      </c>
      <c r="C26" s="22" t="s">
        <v>33</v>
      </c>
      <c r="D26" s="60">
        <v>13.5</v>
      </c>
      <c r="E26" s="26"/>
      <c r="F26" s="51">
        <f>'[1]MC_Deltas'!$B$20</f>
        <v>1.61</v>
      </c>
      <c r="G26" s="26">
        <f t="shared" si="0"/>
        <v>15.11</v>
      </c>
      <c r="H26" s="60" t="s">
        <v>44</v>
      </c>
      <c r="I26" s="26">
        <f>LOOKUP(H26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13</v>
      </c>
      <c r="J26" s="41">
        <f t="shared" si="1"/>
        <v>11.759101192912578</v>
      </c>
      <c r="K26" s="51">
        <f t="shared" si="2"/>
        <v>3.3508988070874217</v>
      </c>
      <c r="L26" s="32" t="str">
        <f t="shared" si="3"/>
        <v> </v>
      </c>
      <c r="M26" s="45" t="str">
        <f t="shared" si="4"/>
        <v> </v>
      </c>
      <c r="N26" s="42" t="str">
        <f t="shared" si="5"/>
        <v> </v>
      </c>
      <c r="P26" t="str">
        <f t="shared" si="6"/>
        <v> </v>
      </c>
    </row>
    <row r="27" spans="1:16" ht="12.75">
      <c r="A27" s="61" t="str">
        <f>'[1]MC_Deltas'!$A$21</f>
        <v>5353-5518</v>
      </c>
      <c r="B27" s="22" t="s">
        <v>41</v>
      </c>
      <c r="C27" s="22" t="s">
        <v>33</v>
      </c>
      <c r="D27" s="41">
        <v>18</v>
      </c>
      <c r="E27" s="26"/>
      <c r="F27" s="51">
        <f>'[1]MC_Deltas'!$B$21</f>
        <v>0.9222222222222223</v>
      </c>
      <c r="G27" s="26">
        <f t="shared" si="0"/>
        <v>18.92222222222222</v>
      </c>
      <c r="H27" s="60" t="s">
        <v>34</v>
      </c>
      <c r="I27" s="26">
        <f>LOOKUP(H27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7" s="41">
        <f>IF((IF(C27="S",IF((VALUE(LEFT(TRIM(H27),LEN(TRIM(H27))-1)))&gt;=6,I27-$O$5-2.8*(LOG(57))+2.8*(LOG($M$6)),I27-$O$5),IF((VALUE(LEFT(TRIM(H27),LEN(TRIM(H27))-1)))&gt;=6,I27-$O$3-2.8*(LOG(57))+2.8*(LOG($M$6)),I27-$O$3)))&lt;=0,3,IF(C27="S",IF((VALUE(LEFT(TRIM(H27),LEN(TRIM(H27))-1)))&gt;=6,I27-$O$5-2.8*(LOG(57))+2.8*(LOG($M$6)),I27-$O$5),IF((VALUE(LEFT(TRIM(H27),LEN(TRIM(H27))-1)))&gt;=6,I27-$O$3-2.8*(LOG(57))+2.8*(LOG($M$6)),I27-$O$3)))</f>
        <v>15.259101192912578</v>
      </c>
      <c r="K27" s="51">
        <f t="shared" si="2"/>
        <v>3.663121029309643</v>
      </c>
      <c r="L27" s="32" t="str">
        <f t="shared" si="3"/>
        <v> </v>
      </c>
      <c r="M27" s="45" t="str">
        <f t="shared" si="4"/>
        <v> </v>
      </c>
      <c r="N27" s="42" t="str">
        <f t="shared" si="5"/>
        <v> </v>
      </c>
      <c r="P27" t="str">
        <f t="shared" si="6"/>
        <v> </v>
      </c>
    </row>
    <row r="28" spans="1:16" ht="12.75">
      <c r="A28" s="61" t="s">
        <v>54</v>
      </c>
      <c r="B28" s="22" t="s">
        <v>53</v>
      </c>
      <c r="C28" s="22" t="s">
        <v>33</v>
      </c>
      <c r="D28" s="41">
        <v>15.5</v>
      </c>
      <c r="E28" s="26"/>
      <c r="F28" s="51">
        <f>'[1]MC_Deltas'!$B$22</f>
        <v>0.9500000000000001</v>
      </c>
      <c r="G28" s="26">
        <f t="shared" si="0"/>
        <v>16.45</v>
      </c>
      <c r="H28" s="60" t="s">
        <v>38</v>
      </c>
      <c r="I28" s="26">
        <f>LOOKUP(H28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8" s="41">
        <f>IF((IF(C28="S",IF((VALUE(LEFT(TRIM(H28),LEN(TRIM(H28))-1)))&gt;=6,I28-$O$5-2.8*(LOG(57))+2.8*(LOG($M$6)),I28-$O$5),IF((VALUE(LEFT(TRIM(H28),LEN(TRIM(H28))-1)))&gt;=6,I28-$O$3-2.8*(LOG(57))+2.8*(LOG($M$6)),I28-$O$3)))&lt;=0,3,IF(C28="S",IF((VALUE(LEFT(TRIM(H28),LEN(TRIM(H28))-1)))&gt;=6,I28-$O$5-2.8*(LOG(57))+2.8*(LOG($M$6)),I28-$O$5),IF((VALUE(LEFT(TRIM(H28),LEN(TRIM(H28))-1)))&gt;=6,I28-$O$3-2.8*(LOG(57))+2.8*(LOG($M$6)),I28-$O$3)))</f>
        <v>13.759101192912578</v>
      </c>
      <c r="K28" s="51">
        <f t="shared" si="2"/>
        <v>2.6908988070874216</v>
      </c>
      <c r="L28" s="32" t="str">
        <f t="shared" si="3"/>
        <v> </v>
      </c>
      <c r="M28" s="45" t="str">
        <f t="shared" si="4"/>
        <v> </v>
      </c>
      <c r="N28" s="42" t="str">
        <f t="shared" si="5"/>
        <v> </v>
      </c>
      <c r="P28" t="str">
        <f t="shared" si="6"/>
        <v> </v>
      </c>
    </row>
    <row r="29" spans="1:16" ht="12" customHeight="1">
      <c r="A29" s="61" t="s">
        <v>55</v>
      </c>
      <c r="B29" s="22" t="s">
        <v>45</v>
      </c>
      <c r="C29" s="22" t="s">
        <v>33</v>
      </c>
      <c r="D29" s="41"/>
      <c r="E29" s="26">
        <f>3*(1.1)+(3)*(1.5)</f>
        <v>7.800000000000001</v>
      </c>
      <c r="F29" s="51">
        <v>0</v>
      </c>
      <c r="G29" s="26">
        <f t="shared" si="0"/>
        <v>7.800000000000001</v>
      </c>
      <c r="H29" s="60" t="s">
        <v>59</v>
      </c>
      <c r="I29" s="26">
        <f>LOOKUP(H29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11.7</v>
      </c>
      <c r="J29" s="41">
        <f>IF((IF(C29="S",IF((VALUE(LEFT(TRIM(H29),LEN(TRIM(H29))-1)))&gt;=6,I29-$O$5-2.8*(LOG(57))+2.8*(LOG($M$6)),I29-$O$5),IF((VALUE(LEFT(TRIM(H29),LEN(TRIM(H29))-1)))&gt;=6,I29-$O$3-2.8*(LOG(57))+2.8*(LOG($M$6)),I29-$O$3)))&lt;=0,3,IF(C29="S",IF((VALUE(LEFT(TRIM(H29),LEN(TRIM(H29))-1)))&gt;=6,I29-$O$5-2.8*(LOG(57))+2.8*(LOG($M$6)),I29-$O$5),IF((VALUE(LEFT(TRIM(H29),LEN(TRIM(H29))-1)))&gt;=6,I29-$O$3-2.8*(LOG(57))+2.8*(LOG($M$6)),I29-$O$3)))</f>
        <v>6.837365991146678</v>
      </c>
      <c r="K29" s="51">
        <f>E29-J29</f>
        <v>0.962634008853323</v>
      </c>
      <c r="L29" s="32" t="str">
        <f t="shared" si="3"/>
        <v> </v>
      </c>
      <c r="M29" s="45" t="str">
        <f t="shared" si="4"/>
        <v> </v>
      </c>
      <c r="N29" s="42" t="str">
        <f t="shared" si="5"/>
        <v> </v>
      </c>
      <c r="P29" t="str">
        <f t="shared" si="6"/>
        <v> </v>
      </c>
    </row>
    <row r="30" spans="1:16" ht="10.5" customHeight="1">
      <c r="A30" s="61" t="s">
        <v>56</v>
      </c>
      <c r="B30" s="22" t="s">
        <v>45</v>
      </c>
      <c r="C30" s="22" t="s">
        <v>57</v>
      </c>
      <c r="D30" s="41"/>
      <c r="E30" s="26">
        <f>6*(1.1)</f>
        <v>6.6000000000000005</v>
      </c>
      <c r="F30" s="69">
        <v>0</v>
      </c>
      <c r="G30" s="26">
        <f t="shared" si="0"/>
        <v>6.6000000000000005</v>
      </c>
      <c r="H30" s="60" t="s">
        <v>59</v>
      </c>
      <c r="I30" s="26">
        <f>LOOKUP(H30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11.7</v>
      </c>
      <c r="J30" s="41">
        <f>IF((IF(C30="S",IF((VALUE(LEFT(TRIM(H30),LEN(TRIM(H30))-1)))&gt;=6,I30-$O$5-2.8*(LOG(57))+2.8*(LOG($M$6)),I30-$O$5),IF((VALUE(LEFT(TRIM(H30),LEN(TRIM(H30))-1)))&gt;=6,I30-$O$3-2.8*(LOG(57))+2.8*(LOG($M$6)),I30-$O$3)))&lt;=0,3,IF(C30="S",IF((VALUE(LEFT(TRIM(H30),LEN(TRIM(H30))-1)))&gt;=6,I30-$O$5-2.8*(LOG(57))+2.8*(LOG($M$6)),I30-$O$5),IF((VALUE(LEFT(TRIM(H30),LEN(TRIM(H30))-1)))&gt;=6,I30-$O$3-2.8*(LOG(57))+2.8*(LOG($M$6)),I30-$O$3)))</f>
        <v>3</v>
      </c>
      <c r="K30" s="51">
        <f t="shared" si="2"/>
        <v>3.6000000000000005</v>
      </c>
      <c r="L30" s="32" t="str">
        <f t="shared" si="3"/>
        <v> </v>
      </c>
      <c r="M30" s="45" t="str">
        <f t="shared" si="4"/>
        <v> </v>
      </c>
      <c r="N30" s="42" t="str">
        <f t="shared" si="5"/>
        <v> </v>
      </c>
      <c r="P30" t="str">
        <f t="shared" si="6"/>
        <v> </v>
      </c>
    </row>
    <row r="31" spans="2:15" s="6" customFormat="1" ht="15.75">
      <c r="B31" s="22"/>
      <c r="D31" s="22"/>
      <c r="E31" s="22"/>
      <c r="F31" s="51"/>
      <c r="G31" s="40"/>
      <c r="J31" s="40"/>
      <c r="K31" s="51"/>
      <c r="L31" s="32"/>
      <c r="M31" s="51"/>
      <c r="N31" s="63"/>
      <c r="O31" s="16" t="s">
        <v>46</v>
      </c>
    </row>
    <row r="32" spans="2:15" ht="15.75">
      <c r="B32" s="22"/>
      <c r="D32" s="18"/>
      <c r="E32" s="22"/>
      <c r="F32" s="51"/>
      <c r="G32" s="40"/>
      <c r="H32" s="16"/>
      <c r="J32" s="18"/>
      <c r="K32" s="22"/>
      <c r="L32" s="22"/>
      <c r="M32" s="22"/>
      <c r="N32" s="18"/>
      <c r="O32" s="6" t="s">
        <v>47</v>
      </c>
    </row>
    <row r="33" spans="2:14" ht="13.5" thickBot="1">
      <c r="B33" s="22"/>
      <c r="D33" s="18"/>
      <c r="E33" s="22"/>
      <c r="F33" s="51"/>
      <c r="G33" s="40"/>
      <c r="H33" s="6"/>
      <c r="I33"/>
      <c r="J33" s="18"/>
      <c r="K33" s="22"/>
      <c r="L33" s="22"/>
      <c r="M33" s="22"/>
      <c r="N33" s="18"/>
    </row>
    <row r="34" spans="2:14" ht="13.5" thickBot="1">
      <c r="B34" s="22"/>
      <c r="D34" s="18"/>
      <c r="E34" s="22"/>
      <c r="F34" s="51"/>
      <c r="G34" s="66"/>
      <c r="H34" s="67"/>
      <c r="I34" s="67" t="s">
        <v>48</v>
      </c>
      <c r="J34" s="68"/>
      <c r="K34" s="22"/>
      <c r="L34" s="22"/>
      <c r="M34" s="22"/>
      <c r="N34" s="18"/>
    </row>
    <row r="35" spans="2:14" ht="13.5" thickBot="1">
      <c r="B35" s="22"/>
      <c r="D35" s="18"/>
      <c r="E35" s="22"/>
      <c r="F35" s="51"/>
      <c r="G35" s="66" t="s">
        <v>49</v>
      </c>
      <c r="H35" s="67"/>
      <c r="I35" s="67"/>
      <c r="J35" s="68"/>
      <c r="K35" s="22"/>
      <c r="L35" s="22"/>
      <c r="M35" s="22"/>
      <c r="N35" s="18"/>
    </row>
    <row r="36" spans="2:14" ht="13.5" thickBot="1">
      <c r="B36" s="22"/>
      <c r="D36" s="18"/>
      <c r="E36" s="22"/>
      <c r="F36" s="51"/>
      <c r="G36" s="66" t="s">
        <v>50</v>
      </c>
      <c r="H36" s="67"/>
      <c r="I36" s="67"/>
      <c r="J36" s="68"/>
      <c r="K36" s="22"/>
      <c r="L36" s="22"/>
      <c r="M36" s="22"/>
      <c r="N36" s="18"/>
    </row>
    <row r="37" spans="2:14" ht="13.5" thickBot="1">
      <c r="B37" s="22"/>
      <c r="D37" s="18"/>
      <c r="E37" s="22"/>
      <c r="F37" s="51"/>
      <c r="G37" s="66" t="s">
        <v>51</v>
      </c>
      <c r="H37" s="67"/>
      <c r="I37" s="67"/>
      <c r="J37" s="68"/>
      <c r="K37" s="22"/>
      <c r="L37" s="22"/>
      <c r="M37" s="22"/>
      <c r="N37" s="18"/>
    </row>
    <row r="38" ht="44.25">
      <c r="B38" s="65" t="s">
        <v>52</v>
      </c>
    </row>
  </sheetData>
  <printOptions/>
  <pageMargins left="0.75" right="0.75" top="0.75" bottom="0.75" header="0.5" footer="0.5"/>
  <pageSetup horizontalDpi="600" verticalDpi="600" orientation="landscape" scale="90" r:id="rId1"/>
  <headerFooter alignWithMargins="0">
    <oddHeader>&amp;C&amp;F&amp;R&amp;D &amp;T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chuckb</dc:creator>
  <cp:keywords/>
  <dc:description/>
  <cp:lastModifiedBy>chuckb</cp:lastModifiedBy>
  <cp:lastPrinted>2003-11-07T21:50:47Z</cp:lastPrinted>
  <dcterms:created xsi:type="dcterms:W3CDTF">2003-10-29T17:31:14Z</dcterms:created>
  <dcterms:modified xsi:type="dcterms:W3CDTF">2003-11-11T16:08:04Z</dcterms:modified>
  <cp:category/>
  <cp:version/>
  <cp:contentType/>
  <cp:contentStatus/>
</cp:coreProperties>
</file>