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firstSheet="2" activeTab="5"/>
  </bookViews>
  <sheets>
    <sheet name="Inputs - base case" sheetId="1" r:id="rId1"/>
    <sheet name="fan base case calcs" sheetId="2" r:id="rId2"/>
    <sheet name="Inputs - plan #1" sheetId="3" r:id="rId3"/>
    <sheet name="lighting - base case" sheetId="4" r:id="rId4"/>
    <sheet name="lighting calcs" sheetId="5" r:id="rId5"/>
    <sheet name="lighting - plan #1" sheetId="6" r:id="rId6"/>
  </sheets>
  <definedNames>
    <definedName name="conf_lim_Z">'lighting calcs'!$A$1:$B$8</definedName>
    <definedName name="_xlnm.Print_Area" localSheetId="3">'lighting - base case'!$A$1:$P$58</definedName>
  </definedNames>
  <calcPr fullCalcOnLoad="1"/>
</workbook>
</file>

<file path=xl/comments1.xml><?xml version="1.0" encoding="utf-8"?>
<comments xmlns="http://schemas.openxmlformats.org/spreadsheetml/2006/main">
  <authors>
    <author>David Jump</author>
  </authors>
  <commentList>
    <comment ref="C45" authorId="0">
      <text>
        <r>
          <rPr>
            <b/>
            <sz val="8"/>
            <rFont val="Tahoma"/>
            <family val="0"/>
          </rPr>
          <t>David Jump:</t>
        </r>
        <r>
          <rPr>
            <sz val="8"/>
            <rFont val="Tahoma"/>
            <family val="0"/>
          </rPr>
          <t xml:space="preserve">
at 95% confidence interval</t>
        </r>
      </text>
    </comment>
    <comment ref="D45" authorId="0">
      <text>
        <r>
          <rPr>
            <b/>
            <sz val="8"/>
            <rFont val="Tahoma"/>
            <family val="0"/>
          </rPr>
          <t>David Jump:</t>
        </r>
        <r>
          <rPr>
            <sz val="8"/>
            <rFont val="Tahoma"/>
            <family val="0"/>
          </rPr>
          <t xml:space="preserve">
at 68% confidence interval</t>
        </r>
      </text>
    </comment>
  </commentList>
</comments>
</file>

<file path=xl/sharedStrings.xml><?xml version="1.0" encoding="utf-8"?>
<sst xmlns="http://schemas.openxmlformats.org/spreadsheetml/2006/main" count="595" uniqueCount="148">
  <si>
    <t>kW_i</t>
  </si>
  <si>
    <t>HRS_i</t>
  </si>
  <si>
    <t>Uncertainty</t>
  </si>
  <si>
    <t>kW</t>
  </si>
  <si>
    <t>HRS</t>
  </si>
  <si>
    <t>total</t>
  </si>
  <si>
    <t>squared</t>
  </si>
  <si>
    <t>sum</t>
  </si>
  <si>
    <t>Post</t>
  </si>
  <si>
    <t>summed</t>
  </si>
  <si>
    <t>square root</t>
  </si>
  <si>
    <t>abs uncert.</t>
  </si>
  <si>
    <t>savings</t>
  </si>
  <si>
    <t>base - post</t>
  </si>
  <si>
    <t>ECM Level</t>
  </si>
  <si>
    <t>Fan Project</t>
  </si>
  <si>
    <t>M&amp;V Method Level</t>
  </si>
  <si>
    <t>Data Collection Method Level</t>
  </si>
  <si>
    <t>Numerical inputs only</t>
  </si>
  <si>
    <t>Base Case M&amp;V Plan</t>
  </si>
  <si>
    <t>Energy Rate:</t>
  </si>
  <si>
    <t>Constant Load, Timed Schedule to Variable Load, Variable Schedule</t>
  </si>
  <si>
    <t>indicates input parameter</t>
  </si>
  <si>
    <t>Direct Costs:</t>
  </si>
  <si>
    <t>Monitoring Equipment Cost</t>
  </si>
  <si>
    <t>Other Equipment Costs</t>
  </si>
  <si>
    <t>Travel and lodging</t>
  </si>
  <si>
    <t>Miscellaneous Costs</t>
  </si>
  <si>
    <t>logger software</t>
  </si>
  <si>
    <t>mileage, meals</t>
  </si>
  <si>
    <t>M&amp;V Plan cost</t>
  </si>
  <si>
    <t>ECM Savings</t>
  </si>
  <si>
    <t>indicates tool output</t>
  </si>
  <si>
    <r>
      <t>E</t>
    </r>
    <r>
      <rPr>
        <vertAlign val="subscript"/>
        <sz val="10"/>
        <rFont val="Arial"/>
        <family val="2"/>
      </rPr>
      <t>save</t>
    </r>
    <r>
      <rPr>
        <sz val="10"/>
        <rFont val="Arial"/>
        <family val="0"/>
      </rPr>
      <t xml:space="preserve"> = kW</t>
    </r>
    <r>
      <rPr>
        <vertAlign val="subscript"/>
        <sz val="10"/>
        <rFont val="Arial"/>
        <family val="2"/>
      </rPr>
      <t>base</t>
    </r>
    <r>
      <rPr>
        <sz val="10"/>
        <rFont val="Arial"/>
        <family val="0"/>
      </rPr>
      <t>HRS</t>
    </r>
    <r>
      <rPr>
        <vertAlign val="subscript"/>
        <sz val="10"/>
        <rFont val="Arial"/>
        <family val="2"/>
      </rPr>
      <t>base</t>
    </r>
    <r>
      <rPr>
        <sz val="10"/>
        <rFont val="Arial"/>
        <family val="0"/>
      </rPr>
      <t xml:space="preserve"> - </t>
    </r>
    <r>
      <rPr>
        <sz val="12"/>
        <rFont val="Symbol"/>
        <family val="1"/>
      </rPr>
      <t>S</t>
    </r>
    <r>
      <rPr>
        <vertAlign val="subscript"/>
        <sz val="12"/>
        <rFont val="Arial"/>
        <family val="2"/>
      </rPr>
      <t>i</t>
    </r>
    <r>
      <rPr>
        <sz val="10"/>
        <rFont val="Arial"/>
        <family val="2"/>
      </rPr>
      <t>kW</t>
    </r>
    <r>
      <rPr>
        <vertAlign val="subscript"/>
        <sz val="10"/>
        <rFont val="Arial"/>
        <family val="2"/>
      </rPr>
      <t>post,i</t>
    </r>
    <r>
      <rPr>
        <sz val="10"/>
        <rFont val="Arial"/>
        <family val="2"/>
      </rPr>
      <t>HRS</t>
    </r>
    <r>
      <rPr>
        <vertAlign val="subscript"/>
        <sz val="10"/>
        <rFont val="Arial"/>
        <family val="2"/>
      </rPr>
      <t>post,i</t>
    </r>
  </si>
  <si>
    <t>Equation Selection</t>
  </si>
  <si>
    <t>Number Operation Stages</t>
  </si>
  <si>
    <r>
      <t>HRS</t>
    </r>
    <r>
      <rPr>
        <vertAlign val="subscript"/>
        <sz val="10"/>
        <rFont val="Arial"/>
        <family val="2"/>
      </rPr>
      <t>base</t>
    </r>
  </si>
  <si>
    <r>
      <t>kW</t>
    </r>
    <r>
      <rPr>
        <vertAlign val="subscript"/>
        <sz val="10"/>
        <rFont val="Arial"/>
        <family val="2"/>
      </rPr>
      <t>post,i</t>
    </r>
  </si>
  <si>
    <r>
      <t>HRS</t>
    </r>
    <r>
      <rPr>
        <vertAlign val="subscript"/>
        <sz val="10"/>
        <rFont val="Arial"/>
        <family val="2"/>
      </rPr>
      <t>post,i</t>
    </r>
  </si>
  <si>
    <t>value</t>
  </si>
  <si>
    <t>single spot measurement</t>
  </si>
  <si>
    <t>Variable Total Uncertainty Value</t>
  </si>
  <si>
    <t>Data Collection Equipment Level</t>
  </si>
  <si>
    <t>Relevant Uncertainty Values</t>
  </si>
  <si>
    <t>Selected Measurement Instrument</t>
  </si>
  <si>
    <r>
      <t>U</t>
    </r>
    <r>
      <rPr>
        <vertAlign val="subscript"/>
        <sz val="10"/>
        <rFont val="Arial"/>
        <family val="2"/>
      </rPr>
      <t>inst,prec</t>
    </r>
  </si>
  <si>
    <r>
      <t>U</t>
    </r>
    <r>
      <rPr>
        <vertAlign val="subscript"/>
        <sz val="10"/>
        <rFont val="Arial"/>
        <family val="2"/>
      </rPr>
      <t>inst,bias</t>
    </r>
  </si>
  <si>
    <r>
      <t>U</t>
    </r>
    <r>
      <rPr>
        <vertAlign val="subscript"/>
        <sz val="10"/>
        <rFont val="Arial"/>
        <family val="2"/>
      </rPr>
      <t>eqp,prec</t>
    </r>
  </si>
  <si>
    <t>Equipment Cost</t>
  </si>
  <si>
    <t>Variable Uncertainty</t>
  </si>
  <si>
    <t>stipulation</t>
  </si>
  <si>
    <t>n/a</t>
  </si>
  <si>
    <r>
      <t>U</t>
    </r>
    <r>
      <rPr>
        <vertAlign val="subscript"/>
        <sz val="10"/>
        <rFont val="Arial"/>
        <family val="2"/>
      </rPr>
      <t>stip</t>
    </r>
  </si>
  <si>
    <t>values</t>
  </si>
  <si>
    <t>short-term monitoring</t>
  </si>
  <si>
    <t xml:space="preserve">ind. var. </t>
  </si>
  <si>
    <t>Pressure</t>
  </si>
  <si>
    <r>
      <t>U</t>
    </r>
    <r>
      <rPr>
        <vertAlign val="subscript"/>
        <sz val="10"/>
        <rFont val="Arial"/>
        <family val="2"/>
      </rPr>
      <t>meas,prec</t>
    </r>
  </si>
  <si>
    <r>
      <t>U</t>
    </r>
    <r>
      <rPr>
        <vertAlign val="subscript"/>
        <sz val="10"/>
        <rFont val="Arial"/>
        <family val="2"/>
      </rPr>
      <t>meas,bias</t>
    </r>
  </si>
  <si>
    <r>
      <t>U</t>
    </r>
    <r>
      <rPr>
        <vertAlign val="subscript"/>
        <sz val="10"/>
        <rFont val="Arial"/>
        <family val="2"/>
      </rPr>
      <t>model,prec</t>
    </r>
  </si>
  <si>
    <r>
      <t>U</t>
    </r>
    <r>
      <rPr>
        <vertAlign val="subscript"/>
        <sz val="10"/>
        <rFont val="Arial"/>
        <family val="2"/>
      </rPr>
      <t>model,bias</t>
    </r>
  </si>
  <si>
    <t>Independent Variable Instrument</t>
  </si>
  <si>
    <t>Onset HOBO air pressure</t>
  </si>
  <si>
    <t>ind. var.</t>
  </si>
  <si>
    <t>Short-term monitoring</t>
  </si>
  <si>
    <r>
      <t>U</t>
    </r>
    <r>
      <rPr>
        <vertAlign val="subscript"/>
        <sz val="10"/>
        <rFont val="Arial"/>
        <family val="2"/>
      </rPr>
      <t>bias,bin i</t>
    </r>
  </si>
  <si>
    <t>Baseline</t>
  </si>
  <si>
    <t>kWh</t>
  </si>
  <si>
    <t>Rate 1</t>
  </si>
  <si>
    <t>Labor</t>
  </si>
  <si>
    <t>Hours</t>
  </si>
  <si>
    <t>Rate 2</t>
  </si>
  <si>
    <t>Totals</t>
  </si>
  <si>
    <t>Fract. M&amp;V Cost</t>
  </si>
  <si>
    <t>ECM Cost Savings</t>
  </si>
  <si>
    <t>kWh_i</t>
  </si>
  <si>
    <t>sqrt</t>
  </si>
  <si>
    <t>abs. savings uncert.</t>
  </si>
  <si>
    <t>rel. savings uncert.</t>
  </si>
  <si>
    <t>rel. uncert.</t>
  </si>
  <si>
    <r>
      <t>kW</t>
    </r>
    <r>
      <rPr>
        <vertAlign val="subscript"/>
        <sz val="10"/>
        <rFont val="Arial"/>
        <family val="2"/>
      </rPr>
      <t>base</t>
    </r>
  </si>
  <si>
    <t>Savings %</t>
  </si>
  <si>
    <t>Project: A variable frequency drive is added at a constantly loaded 15HP fan motor.</t>
  </si>
  <si>
    <t>M&amp;V Plan #1</t>
  </si>
  <si>
    <r>
      <t>E</t>
    </r>
    <r>
      <rPr>
        <vertAlign val="subscript"/>
        <sz val="10"/>
        <rFont val="Arial"/>
        <family val="2"/>
      </rPr>
      <t>save</t>
    </r>
    <r>
      <rPr>
        <sz val="10"/>
        <rFont val="Arial"/>
        <family val="0"/>
      </rPr>
      <t xml:space="preserve"> = kWh</t>
    </r>
    <r>
      <rPr>
        <vertAlign val="subscript"/>
        <sz val="10"/>
        <rFont val="Arial"/>
        <family val="2"/>
      </rPr>
      <t>base</t>
    </r>
    <r>
      <rPr>
        <sz val="10"/>
        <rFont val="Arial"/>
        <family val="0"/>
      </rPr>
      <t xml:space="preserve"> - </t>
    </r>
    <r>
      <rPr>
        <sz val="10"/>
        <rFont val="Arial"/>
        <family val="2"/>
      </rPr>
      <t>kWh</t>
    </r>
    <r>
      <rPr>
        <vertAlign val="subscript"/>
        <sz val="10"/>
        <rFont val="Arial"/>
        <family val="2"/>
      </rPr>
      <t>post</t>
    </r>
  </si>
  <si>
    <r>
      <t>kWh</t>
    </r>
    <r>
      <rPr>
        <vertAlign val="subscript"/>
        <sz val="10"/>
        <rFont val="Arial"/>
        <family val="2"/>
      </rPr>
      <t>base</t>
    </r>
  </si>
  <si>
    <r>
      <t>kWh</t>
    </r>
    <r>
      <rPr>
        <vertAlign val="subscript"/>
        <sz val="10"/>
        <rFont val="Arial"/>
        <family val="2"/>
      </rPr>
      <t>post</t>
    </r>
  </si>
  <si>
    <t>continuous monitoring</t>
  </si>
  <si>
    <t xml:space="preserve">PST Ultralite </t>
  </si>
  <si>
    <t>Benefit-Cost Plan 1:</t>
  </si>
  <si>
    <t>ECM Savings Uncertainty (%)</t>
  </si>
  <si>
    <t>ECM Savings Uncertainty ($)</t>
  </si>
  <si>
    <t>Lighting Project</t>
  </si>
  <si>
    <t>Fluke 39</t>
  </si>
  <si>
    <t>Amortization Factor</t>
  </si>
  <si>
    <t>Equipment Purchase Cost</t>
  </si>
  <si>
    <t>Veris Enspector E7003</t>
  </si>
  <si>
    <t>M&amp;V Plan Cost</t>
  </si>
  <si>
    <t>per kWh</t>
  </si>
  <si>
    <t>Project: A variable frequency drive is added at a constantly loaded 150HP fan motor.</t>
  </si>
  <si>
    <t>Number of Usage Groups</t>
  </si>
  <si>
    <t>Usage Group Names</t>
  </si>
  <si>
    <t>Offices</t>
  </si>
  <si>
    <t>Restrooms</t>
  </si>
  <si>
    <t>Common Areas</t>
  </si>
  <si>
    <t>Population</t>
  </si>
  <si>
    <r>
      <t>E</t>
    </r>
    <r>
      <rPr>
        <vertAlign val="subscript"/>
        <sz val="10"/>
        <rFont val="Arial"/>
        <family val="2"/>
      </rPr>
      <t>save</t>
    </r>
    <r>
      <rPr>
        <sz val="10"/>
        <rFont val="Arial"/>
        <family val="0"/>
      </rPr>
      <t xml:space="preserve"> = kW</t>
    </r>
    <r>
      <rPr>
        <vertAlign val="subscript"/>
        <sz val="10"/>
        <rFont val="Arial"/>
        <family val="2"/>
      </rPr>
      <t>base</t>
    </r>
    <r>
      <rPr>
        <sz val="10"/>
        <rFont val="Arial"/>
        <family val="2"/>
      </rPr>
      <t>HRS</t>
    </r>
    <r>
      <rPr>
        <vertAlign val="subscript"/>
        <sz val="10"/>
        <rFont val="Arial"/>
        <family val="2"/>
      </rPr>
      <t>base</t>
    </r>
    <r>
      <rPr>
        <sz val="10"/>
        <rFont val="Arial"/>
        <family val="0"/>
      </rPr>
      <t xml:space="preserve"> - </t>
    </r>
    <r>
      <rPr>
        <sz val="10"/>
        <rFont val="Arial"/>
        <family val="2"/>
      </rPr>
      <t>kW</t>
    </r>
    <r>
      <rPr>
        <vertAlign val="subscript"/>
        <sz val="10"/>
        <rFont val="Arial"/>
        <family val="2"/>
      </rPr>
      <t>post</t>
    </r>
    <r>
      <rPr>
        <sz val="10"/>
        <rFont val="Arial"/>
        <family val="2"/>
      </rPr>
      <t>HRS</t>
    </r>
    <r>
      <rPr>
        <vertAlign val="subscript"/>
        <sz val="10"/>
        <rFont val="Arial"/>
        <family val="2"/>
      </rPr>
      <t>post</t>
    </r>
  </si>
  <si>
    <t>kW/fixture</t>
  </si>
  <si>
    <t>Data Collection Method:</t>
  </si>
  <si>
    <t>Stipulation</t>
  </si>
  <si>
    <t>hours</t>
  </si>
  <si>
    <t>Data Collection Method</t>
  </si>
  <si>
    <t>Number Samples per usage group</t>
  </si>
  <si>
    <t>CV</t>
  </si>
  <si>
    <t>P</t>
  </si>
  <si>
    <t>C.L.</t>
  </si>
  <si>
    <t>n*</t>
  </si>
  <si>
    <t>lookup table of Z values</t>
  </si>
  <si>
    <t>Z</t>
  </si>
  <si>
    <t>n</t>
  </si>
  <si>
    <t>sample sizes:</t>
  </si>
  <si>
    <t>Onset HOBO light on/off</t>
  </si>
  <si>
    <t>Project: A timed schedule lighting system will be retrofit with more efficient ballasts and occupancy sensors</t>
  </si>
  <si>
    <t>Constant Load, Timed Schedule to change load and schedule</t>
  </si>
  <si>
    <r>
      <t>U</t>
    </r>
    <r>
      <rPr>
        <vertAlign val="subscript"/>
        <sz val="10"/>
        <rFont val="Arial"/>
        <family val="2"/>
      </rPr>
      <t>sched,bias</t>
    </r>
  </si>
  <si>
    <t>Equipment Cost (per point)</t>
  </si>
  <si>
    <t>Total Equipment Cost</t>
  </si>
  <si>
    <r>
      <t>kW</t>
    </r>
    <r>
      <rPr>
        <vertAlign val="subscript"/>
        <sz val="10"/>
        <rFont val="Arial"/>
        <family val="2"/>
      </rPr>
      <t>post</t>
    </r>
  </si>
  <si>
    <r>
      <t>HRS</t>
    </r>
    <r>
      <rPr>
        <vertAlign val="subscript"/>
        <sz val="10"/>
        <rFont val="Arial"/>
        <family val="2"/>
      </rPr>
      <t>post</t>
    </r>
  </si>
  <si>
    <t>(wattage table)</t>
  </si>
  <si>
    <t>Continuous Monitoring</t>
  </si>
  <si>
    <t>ACME K667</t>
  </si>
  <si>
    <t>Sampling Uncertainty</t>
  </si>
  <si>
    <t>Usage Group</t>
  </si>
  <si>
    <t>Pop.</t>
  </si>
  <si>
    <t>Variable Uncertainty (68%)</t>
  </si>
  <si>
    <t>(68%)</t>
  </si>
  <si>
    <t>Total U.</t>
  </si>
  <si>
    <r>
      <t>D</t>
    </r>
    <r>
      <rPr>
        <sz val="10"/>
        <rFont val="Arial"/>
        <family val="0"/>
      </rPr>
      <t>kW</t>
    </r>
  </si>
  <si>
    <r>
      <t>D</t>
    </r>
    <r>
      <rPr>
        <sz val="10"/>
        <rFont val="Arial"/>
        <family val="0"/>
      </rPr>
      <t>HRS</t>
    </r>
  </si>
  <si>
    <r>
      <t>D</t>
    </r>
    <r>
      <rPr>
        <sz val="10"/>
        <rFont val="Arial"/>
        <family val="0"/>
      </rPr>
      <t>kWh</t>
    </r>
  </si>
  <si>
    <r>
      <t>D</t>
    </r>
    <r>
      <rPr>
        <sz val="10"/>
        <rFont val="Arial"/>
        <family val="0"/>
      </rPr>
      <t>kWh (%)</t>
    </r>
  </si>
  <si>
    <t>rel.</t>
  </si>
  <si>
    <t>Benefit-Cost Ratio</t>
  </si>
  <si>
    <t>M&amp;V Base Case</t>
  </si>
  <si>
    <t>M&amp;V Plan 1</t>
  </si>
  <si>
    <t>none</t>
  </si>
  <si>
    <t>(using time-stamped Veris logger data)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</si>
</sst>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.0_);_(* \(#,##0.0\);_(* &quot;-&quot;?_);_(@_)"/>
    <numFmt numFmtId="167" formatCode="0.0"/>
    <numFmt numFmtId="168" formatCode="_(* #,##0_);_(* \(#,##0\);_(* &quot;-&quot;??_);_(@_)"/>
    <numFmt numFmtId="169" formatCode="0.0000%"/>
    <numFmt numFmtId="170" formatCode="0.00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%"/>
    <numFmt numFmtId="180" formatCode="0.00000%"/>
    <numFmt numFmtId="181" formatCode="0.0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3" fontId="0" fillId="0" borderId="0" xfId="0" applyNumberFormat="1" applyAlignment="1">
      <alignment/>
    </xf>
    <xf numFmtId="168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/>
    </xf>
    <xf numFmtId="44" fontId="0" fillId="2" borderId="0" xfId="17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3" borderId="8" xfId="0" applyNumberFormat="1" applyFill="1" applyBorder="1" applyAlignment="1">
      <alignment/>
    </xf>
    <xf numFmtId="0" fontId="0" fillId="2" borderId="4" xfId="0" applyFill="1" applyBorder="1" applyAlignment="1">
      <alignment/>
    </xf>
    <xf numFmtId="10" fontId="0" fillId="3" borderId="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8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ont="1" applyBorder="1" applyAlignment="1">
      <alignment/>
    </xf>
    <xf numFmtId="44" fontId="0" fillId="3" borderId="0" xfId="0" applyNumberFormat="1" applyFill="1" applyAlignment="1">
      <alignment/>
    </xf>
    <xf numFmtId="168" fontId="0" fillId="3" borderId="0" xfId="15" applyNumberFormat="1" applyFill="1" applyAlignment="1">
      <alignment/>
    </xf>
    <xf numFmtId="9" fontId="0" fillId="3" borderId="0" xfId="19" applyFill="1" applyAlignment="1">
      <alignment/>
    </xf>
    <xf numFmtId="172" fontId="0" fillId="0" borderId="0" xfId="17" applyNumberFormat="1" applyAlignment="1">
      <alignment/>
    </xf>
    <xf numFmtId="172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19" applyAlignment="1">
      <alignment/>
    </xf>
    <xf numFmtId="1" fontId="0" fillId="0" borderId="5" xfId="0" applyNumberFormat="1" applyBorder="1" applyAlignment="1">
      <alignment/>
    </xf>
    <xf numFmtId="1" fontId="0" fillId="2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3" borderId="0" xfId="15" applyFill="1" applyAlignment="1">
      <alignment/>
    </xf>
    <xf numFmtId="10" fontId="0" fillId="0" borderId="5" xfId="0" applyNumberFormat="1" applyBorder="1" applyAlignment="1">
      <alignment/>
    </xf>
    <xf numFmtId="44" fontId="0" fillId="3" borderId="0" xfId="17" applyFill="1" applyBorder="1" applyAlignment="1">
      <alignment/>
    </xf>
    <xf numFmtId="172" fontId="0" fillId="3" borderId="0" xfId="17" applyNumberFormat="1" applyFill="1" applyAlignment="1">
      <alignment/>
    </xf>
    <xf numFmtId="3" fontId="0" fillId="2" borderId="0" xfId="0" applyNumberFormat="1" applyFill="1" applyBorder="1" applyAlignment="1">
      <alignment/>
    </xf>
    <xf numFmtId="168" fontId="0" fillId="2" borderId="0" xfId="15" applyNumberFormat="1" applyFill="1" applyBorder="1" applyAlignment="1">
      <alignment/>
    </xf>
    <xf numFmtId="9" fontId="0" fillId="0" borderId="0" xfId="15" applyNumberFormat="1" applyFill="1" applyAlignment="1">
      <alignment/>
    </xf>
    <xf numFmtId="9" fontId="0" fillId="0" borderId="0" xfId="19" applyFill="1" applyAlignment="1">
      <alignment/>
    </xf>
    <xf numFmtId="179" fontId="0" fillId="0" borderId="5" xfId="19" applyNumberFormat="1" applyBorder="1" applyAlignment="1">
      <alignment/>
    </xf>
    <xf numFmtId="0" fontId="0" fillId="0" borderId="0" xfId="0" applyBorder="1" applyAlignment="1">
      <alignment horizontal="right"/>
    </xf>
    <xf numFmtId="179" fontId="0" fillId="0" borderId="0" xfId="19" applyNumberFormat="1" applyBorder="1" applyAlignment="1">
      <alignment/>
    </xf>
    <xf numFmtId="179" fontId="0" fillId="3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44" fontId="0" fillId="3" borderId="5" xfId="17" applyFill="1" applyBorder="1" applyAlignment="1">
      <alignment/>
    </xf>
    <xf numFmtId="0" fontId="0" fillId="2" borderId="5" xfId="0" applyFill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0" fontId="0" fillId="0" borderId="4" xfId="0" applyFill="1" applyBorder="1" applyAlignment="1">
      <alignment/>
    </xf>
    <xf numFmtId="10" fontId="0" fillId="3" borderId="5" xfId="0" applyNumberFormat="1" applyFill="1" applyBorder="1" applyAlignment="1">
      <alignment/>
    </xf>
    <xf numFmtId="44" fontId="0" fillId="0" borderId="5" xfId="0" applyNumberFormat="1" applyBorder="1" applyAlignment="1">
      <alignment/>
    </xf>
    <xf numFmtId="44" fontId="0" fillId="0" borderId="0" xfId="17" applyFill="1" applyBorder="1" applyAlignment="1">
      <alignment/>
    </xf>
    <xf numFmtId="44" fontId="0" fillId="2" borderId="0" xfId="17" applyFill="1" applyBorder="1" applyAlignment="1">
      <alignment/>
    </xf>
    <xf numFmtId="44" fontId="0" fillId="0" borderId="7" xfId="17" applyFill="1" applyBorder="1" applyAlignment="1">
      <alignment/>
    </xf>
    <xf numFmtId="43" fontId="0" fillId="2" borderId="5" xfId="15" applyFill="1" applyBorder="1" applyAlignment="1">
      <alignment/>
    </xf>
    <xf numFmtId="44" fontId="0" fillId="0" borderId="8" xfId="17" applyFill="1" applyBorder="1" applyAlignment="1">
      <alignment/>
    </xf>
    <xf numFmtId="44" fontId="0" fillId="3" borderId="0" xfId="17" applyFill="1" applyAlignment="1">
      <alignment/>
    </xf>
    <xf numFmtId="168" fontId="0" fillId="2" borderId="0" xfId="15" applyNumberFormat="1" applyFill="1" applyAlignment="1">
      <alignment/>
    </xf>
    <xf numFmtId="44" fontId="0" fillId="0" borderId="0" xfId="17" applyFill="1" applyAlignment="1">
      <alignment/>
    </xf>
    <xf numFmtId="0" fontId="0" fillId="2" borderId="0" xfId="0" applyFill="1" applyAlignment="1">
      <alignment horizontal="right"/>
    </xf>
    <xf numFmtId="0" fontId="0" fillId="0" borderId="4" xfId="0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Border="1" applyAlignment="1">
      <alignment/>
    </xf>
    <xf numFmtId="9" fontId="0" fillId="2" borderId="0" xfId="19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19" applyFill="1" applyBorder="1" applyAlignment="1">
      <alignment/>
    </xf>
    <xf numFmtId="1" fontId="0" fillId="3" borderId="0" xfId="0" applyNumberFormat="1" applyFill="1" applyBorder="1" applyAlignment="1">
      <alignment/>
    </xf>
    <xf numFmtId="9" fontId="0" fillId="3" borderId="0" xfId="19" applyFill="1" applyBorder="1" applyAlignment="1">
      <alignment/>
    </xf>
    <xf numFmtId="172" fontId="0" fillId="3" borderId="0" xfId="17" applyNumberFormat="1" applyFill="1" applyBorder="1" applyAlignment="1">
      <alignment/>
    </xf>
    <xf numFmtId="0" fontId="0" fillId="0" borderId="6" xfId="0" applyFill="1" applyBorder="1" applyAlignment="1">
      <alignment/>
    </xf>
    <xf numFmtId="44" fontId="0" fillId="3" borderId="7" xfId="0" applyNumberFormat="1" applyFill="1" applyBorder="1" applyAlignment="1">
      <alignment/>
    </xf>
    <xf numFmtId="0" fontId="0" fillId="0" borderId="6" xfId="0" applyBorder="1" applyAlignment="1">
      <alignment horizontal="right"/>
    </xf>
    <xf numFmtId="168" fontId="0" fillId="0" borderId="0" xfId="15" applyNumberFormat="1" applyFill="1" applyBorder="1" applyAlignment="1">
      <alignment/>
    </xf>
    <xf numFmtId="43" fontId="0" fillId="2" borderId="0" xfId="15" applyFill="1" applyBorder="1" applyAlignment="1">
      <alignment/>
    </xf>
    <xf numFmtId="167" fontId="0" fillId="0" borderId="7" xfId="0" applyNumberForma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/>
    </xf>
    <xf numFmtId="9" fontId="0" fillId="3" borderId="7" xfId="19" applyFill="1" applyBorder="1" applyAlignment="1">
      <alignment/>
    </xf>
    <xf numFmtId="0" fontId="0" fillId="0" borderId="0" xfId="0" applyFill="1" applyAlignment="1">
      <alignment horizontal="right"/>
    </xf>
    <xf numFmtId="43" fontId="0" fillId="0" borderId="0" xfId="15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Fill="1" applyBorder="1" applyAlignment="1" quotePrefix="1">
      <alignment/>
    </xf>
    <xf numFmtId="9" fontId="0" fillId="0" borderId="7" xfId="19" applyFill="1" applyBorder="1" applyAlignment="1">
      <alignment/>
    </xf>
    <xf numFmtId="9" fontId="0" fillId="3" borderId="5" xfId="19" applyFill="1" applyBorder="1" applyAlignment="1">
      <alignment/>
    </xf>
    <xf numFmtId="9" fontId="0" fillId="3" borderId="8" xfId="19" applyFill="1" applyBorder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179" fontId="0" fillId="3" borderId="5" xfId="19" applyNumberFormat="1" applyFill="1" applyBorder="1" applyAlignment="1">
      <alignment/>
    </xf>
    <xf numFmtId="179" fontId="0" fillId="3" borderId="8" xfId="19" applyNumberFormat="1" applyFill="1" applyBorder="1" applyAlignment="1">
      <alignment/>
    </xf>
    <xf numFmtId="179" fontId="0" fillId="3" borderId="0" xfId="19" applyNumberFormat="1" applyFill="1" applyBorder="1" applyAlignment="1">
      <alignment/>
    </xf>
    <xf numFmtId="179" fontId="0" fillId="3" borderId="7" xfId="19" applyNumberFormat="1" applyFill="1" applyBorder="1" applyAlignment="1">
      <alignment/>
    </xf>
    <xf numFmtId="9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2.140625" style="0" customWidth="1"/>
    <col min="4" max="4" width="10.28125" style="0" bestFit="1" customWidth="1"/>
    <col min="8" max="8" width="11.57421875" style="0" customWidth="1"/>
    <col min="11" max="11" width="10.28125" style="0" bestFit="1" customWidth="1"/>
    <col min="13" max="13" width="11.7109375" style="0" customWidth="1"/>
  </cols>
  <sheetData>
    <row r="1" spans="1:8" ht="12.75">
      <c r="A1" s="4" t="s">
        <v>15</v>
      </c>
      <c r="C1" t="s">
        <v>19</v>
      </c>
      <c r="H1" s="8" t="s">
        <v>22</v>
      </c>
    </row>
    <row r="2" spans="1:8" ht="12.75">
      <c r="A2" s="5" t="s">
        <v>18</v>
      </c>
      <c r="H2" s="11" t="s">
        <v>32</v>
      </c>
    </row>
    <row r="4" ht="12.75">
      <c r="A4" s="4" t="s">
        <v>14</v>
      </c>
    </row>
    <row r="5" ht="12.75">
      <c r="A5" t="s">
        <v>99</v>
      </c>
    </row>
    <row r="6" ht="12.75">
      <c r="A6" t="s">
        <v>21</v>
      </c>
    </row>
    <row r="7" spans="1:3" ht="12.75">
      <c r="A7" t="s">
        <v>20</v>
      </c>
      <c r="B7" s="7">
        <v>0.1</v>
      </c>
      <c r="C7" t="s">
        <v>98</v>
      </c>
    </row>
    <row r="8" ht="12.75">
      <c r="B8" s="6"/>
    </row>
    <row r="9" spans="2:14" ht="12.75">
      <c r="B9" t="s">
        <v>69</v>
      </c>
      <c r="C9" t="s">
        <v>70</v>
      </c>
      <c r="D9" t="s">
        <v>72</v>
      </c>
      <c r="G9" s="9" t="s">
        <v>23</v>
      </c>
      <c r="H9" s="10"/>
      <c r="L9" s="9" t="s">
        <v>66</v>
      </c>
      <c r="M9" s="2">
        <f>'fan base case calcs'!D3</f>
        <v>509832</v>
      </c>
      <c r="N9" t="s">
        <v>67</v>
      </c>
    </row>
    <row r="10" spans="1:14" ht="12.75">
      <c r="A10" t="s">
        <v>68</v>
      </c>
      <c r="B10" s="7">
        <v>65</v>
      </c>
      <c r="C10" s="72">
        <v>32</v>
      </c>
      <c r="D10" s="38">
        <f>B10*C10</f>
        <v>2080</v>
      </c>
      <c r="G10" s="9" t="s">
        <v>24</v>
      </c>
      <c r="H10" s="35">
        <f>D52+H52+L52+L58+P52</f>
        <v>114.5</v>
      </c>
      <c r="L10" s="9" t="s">
        <v>8</v>
      </c>
      <c r="M10" s="2">
        <f>'fan base case calcs'!D28</f>
        <v>343465.25</v>
      </c>
      <c r="N10" t="s">
        <v>67</v>
      </c>
    </row>
    <row r="11" spans="1:14" ht="12.75">
      <c r="A11" t="s">
        <v>71</v>
      </c>
      <c r="B11" s="7">
        <v>80</v>
      </c>
      <c r="C11" s="72">
        <v>24</v>
      </c>
      <c r="D11" s="38">
        <f>B11*C11</f>
        <v>1920</v>
      </c>
      <c r="G11" s="9" t="s">
        <v>25</v>
      </c>
      <c r="H11" s="7">
        <f>0.25*50</f>
        <v>12.5</v>
      </c>
      <c r="I11" t="s">
        <v>28</v>
      </c>
      <c r="L11" s="9" t="s">
        <v>31</v>
      </c>
      <c r="M11" s="36">
        <f>'fan base case calcs'!B34</f>
        <v>166366.75</v>
      </c>
      <c r="N11" t="s">
        <v>67</v>
      </c>
    </row>
    <row r="12" spans="4:13" ht="12.75">
      <c r="D12" s="39">
        <f>SUM(D10:D11)</f>
        <v>4000</v>
      </c>
      <c r="G12" s="9" t="s">
        <v>26</v>
      </c>
      <c r="H12" s="7">
        <v>100</v>
      </c>
      <c r="I12" t="s">
        <v>29</v>
      </c>
      <c r="L12" s="9" t="s">
        <v>81</v>
      </c>
      <c r="M12" s="41">
        <f>M11/M9</f>
        <v>0.3263168063205134</v>
      </c>
    </row>
    <row r="13" spans="7:13" ht="12.75">
      <c r="G13" s="9" t="s">
        <v>27</v>
      </c>
      <c r="H13" s="7">
        <v>0</v>
      </c>
      <c r="L13" s="9" t="s">
        <v>74</v>
      </c>
      <c r="M13" s="49">
        <f>B7*M11</f>
        <v>16636.675</v>
      </c>
    </row>
    <row r="14" spans="8:13" ht="12.75">
      <c r="H14" s="40">
        <f>SUM(H10:H13)</f>
        <v>227</v>
      </c>
      <c r="L14" s="9" t="s">
        <v>90</v>
      </c>
      <c r="M14" s="52">
        <f>'fan base case calcs'!D37</f>
        <v>0.3588382965941411</v>
      </c>
    </row>
    <row r="15" spans="1:13" ht="12.75">
      <c r="A15" s="4" t="s">
        <v>16</v>
      </c>
      <c r="L15" s="9" t="s">
        <v>91</v>
      </c>
      <c r="M15" s="71">
        <f>M14*M13</f>
        <v>5969.876117990332</v>
      </c>
    </row>
    <row r="16" spans="1:13" ht="19.5">
      <c r="A16" t="s">
        <v>34</v>
      </c>
      <c r="C16" s="12" t="s">
        <v>33</v>
      </c>
      <c r="L16" s="9" t="s">
        <v>97</v>
      </c>
      <c r="M16" s="49">
        <f>D12+H14</f>
        <v>4227</v>
      </c>
    </row>
    <row r="17" spans="12:13" ht="12.75">
      <c r="L17" s="9" t="s">
        <v>73</v>
      </c>
      <c r="M17" s="37">
        <f>M16/M13</f>
        <v>0.25407721194289123</v>
      </c>
    </row>
    <row r="18" spans="1:3" ht="12.75">
      <c r="A18" t="s">
        <v>35</v>
      </c>
      <c r="C18" s="8">
        <v>10</v>
      </c>
    </row>
    <row r="20" ht="12.75">
      <c r="N20" s="3"/>
    </row>
    <row r="21" ht="12.75">
      <c r="A21" s="4" t="s">
        <v>17</v>
      </c>
    </row>
    <row r="22" spans="1:16" ht="15.75">
      <c r="A22" s="13" t="s">
        <v>80</v>
      </c>
      <c r="B22" s="14"/>
      <c r="C22" s="14"/>
      <c r="D22" s="15"/>
      <c r="E22" s="13" t="s">
        <v>36</v>
      </c>
      <c r="F22" s="14"/>
      <c r="G22" s="14"/>
      <c r="H22" s="14"/>
      <c r="I22" s="13" t="s">
        <v>37</v>
      </c>
      <c r="J22" s="14"/>
      <c r="K22" s="14"/>
      <c r="L22" s="15"/>
      <c r="M22" s="13" t="s">
        <v>38</v>
      </c>
      <c r="N22" s="14"/>
      <c r="O22" s="14"/>
      <c r="P22" s="15"/>
    </row>
    <row r="23" spans="1:16" ht="12.75">
      <c r="A23" s="16" t="s">
        <v>39</v>
      </c>
      <c r="B23" s="17">
        <v>58.2</v>
      </c>
      <c r="C23" s="18"/>
      <c r="D23" s="19"/>
      <c r="E23" s="16" t="s">
        <v>39</v>
      </c>
      <c r="F23" s="17">
        <v>8760</v>
      </c>
      <c r="G23" s="18"/>
      <c r="H23" s="18"/>
      <c r="I23" s="16" t="s">
        <v>53</v>
      </c>
      <c r="J23" s="17">
        <v>18.65</v>
      </c>
      <c r="K23" s="18">
        <v>18.65</v>
      </c>
      <c r="L23" s="19">
        <v>1.865</v>
      </c>
      <c r="M23" s="16" t="s">
        <v>53</v>
      </c>
      <c r="N23" s="43">
        <v>100</v>
      </c>
      <c r="O23" s="18"/>
      <c r="P23" s="42"/>
    </row>
    <row r="24" spans="1:16" ht="12.75">
      <c r="A24" s="20" t="s">
        <v>40</v>
      </c>
      <c r="B24" s="18"/>
      <c r="D24" s="19"/>
      <c r="E24" s="16" t="s">
        <v>50</v>
      </c>
      <c r="F24" s="18"/>
      <c r="G24" s="18"/>
      <c r="H24" s="18"/>
      <c r="I24" s="16"/>
      <c r="J24" s="17">
        <v>19.92</v>
      </c>
      <c r="K24" s="18">
        <v>19.92</v>
      </c>
      <c r="L24" s="19">
        <v>1.992</v>
      </c>
      <c r="M24" s="16"/>
      <c r="N24" s="43">
        <v>50</v>
      </c>
      <c r="O24" s="18"/>
      <c r="P24" s="42"/>
    </row>
    <row r="25" spans="1:16" ht="12.75">
      <c r="A25" s="16"/>
      <c r="B25" s="18"/>
      <c r="C25" s="18"/>
      <c r="D25" s="19"/>
      <c r="E25" s="16"/>
      <c r="F25" s="18"/>
      <c r="G25" s="18"/>
      <c r="H25" s="18"/>
      <c r="I25" s="16"/>
      <c r="J25" s="17">
        <v>21.98</v>
      </c>
      <c r="K25" s="18">
        <v>21.98</v>
      </c>
      <c r="L25" s="19">
        <v>2.198</v>
      </c>
      <c r="M25" s="16"/>
      <c r="N25" s="43">
        <v>150</v>
      </c>
      <c r="O25" s="18"/>
      <c r="P25" s="42"/>
    </row>
    <row r="26" spans="1:16" ht="12.75">
      <c r="A26" s="21" t="s">
        <v>41</v>
      </c>
      <c r="B26" s="22"/>
      <c r="C26" s="22"/>
      <c r="D26" s="25">
        <f>D48</f>
        <v>0.05510204081632653</v>
      </c>
      <c r="E26" s="21" t="s">
        <v>41</v>
      </c>
      <c r="F26" s="22"/>
      <c r="G26" s="22"/>
      <c r="H26" s="32">
        <f>H48</f>
        <v>0.1</v>
      </c>
      <c r="I26" s="16"/>
      <c r="J26" s="17">
        <v>24.81</v>
      </c>
      <c r="K26" s="18">
        <v>24.81</v>
      </c>
      <c r="L26" s="19">
        <v>2.481</v>
      </c>
      <c r="M26" s="16"/>
      <c r="N26" s="43">
        <v>425</v>
      </c>
      <c r="O26" s="18"/>
      <c r="P26" s="42"/>
    </row>
    <row r="27" spans="1:16" ht="12.75">
      <c r="A27" s="18"/>
      <c r="B27" s="18"/>
      <c r="C27" s="18"/>
      <c r="D27" s="30"/>
      <c r="E27" s="20"/>
      <c r="F27" s="20"/>
      <c r="G27" s="20"/>
      <c r="H27" s="31"/>
      <c r="I27" s="16"/>
      <c r="J27" s="17">
        <v>28.43</v>
      </c>
      <c r="K27" s="18">
        <v>28.43</v>
      </c>
      <c r="L27" s="19">
        <v>2.843</v>
      </c>
      <c r="M27" s="16"/>
      <c r="N27" s="43">
        <v>785</v>
      </c>
      <c r="O27" s="18"/>
      <c r="P27" s="42"/>
    </row>
    <row r="28" spans="1:16" ht="12.75">
      <c r="A28" s="18"/>
      <c r="B28" s="18"/>
      <c r="C28" s="18"/>
      <c r="D28" s="30"/>
      <c r="E28" s="20"/>
      <c r="F28" s="20"/>
      <c r="G28" s="20"/>
      <c r="H28" s="31"/>
      <c r="I28" s="16"/>
      <c r="J28" s="17">
        <v>32.82</v>
      </c>
      <c r="K28" s="18">
        <v>32.82</v>
      </c>
      <c r="L28" s="19">
        <v>3.282</v>
      </c>
      <c r="M28" s="16"/>
      <c r="N28" s="43">
        <v>1565</v>
      </c>
      <c r="O28" s="18"/>
      <c r="P28" s="42"/>
    </row>
    <row r="29" spans="1:16" ht="12.75">
      <c r="A29" s="18"/>
      <c r="B29" s="18"/>
      <c r="C29" s="18"/>
      <c r="D29" s="30"/>
      <c r="E29" s="20"/>
      <c r="F29" s="20"/>
      <c r="G29" s="20"/>
      <c r="H29" s="31"/>
      <c r="I29" s="16"/>
      <c r="J29" s="17">
        <v>38</v>
      </c>
      <c r="K29" s="18">
        <v>38</v>
      </c>
      <c r="L29" s="19">
        <v>3.8</v>
      </c>
      <c r="M29" s="16"/>
      <c r="N29" s="43">
        <v>2250</v>
      </c>
      <c r="O29" s="18"/>
      <c r="P29" s="42"/>
    </row>
    <row r="30" spans="1:16" ht="12.75">
      <c r="A30" s="18"/>
      <c r="B30" s="18"/>
      <c r="C30" s="18"/>
      <c r="D30" s="30"/>
      <c r="E30" s="20"/>
      <c r="F30" s="20"/>
      <c r="G30" s="20"/>
      <c r="H30" s="31"/>
      <c r="I30" s="16"/>
      <c r="J30" s="17">
        <v>43.95</v>
      </c>
      <c r="K30" s="18">
        <v>43.95</v>
      </c>
      <c r="L30" s="19">
        <v>4.395</v>
      </c>
      <c r="M30" s="16"/>
      <c r="N30" s="43">
        <v>1750</v>
      </c>
      <c r="O30" s="18"/>
      <c r="P30" s="42"/>
    </row>
    <row r="31" spans="1:16" ht="12.75">
      <c r="A31" s="18"/>
      <c r="B31" s="18"/>
      <c r="C31" s="18"/>
      <c r="D31" s="30"/>
      <c r="E31" s="20"/>
      <c r="F31" s="20"/>
      <c r="G31" s="20"/>
      <c r="H31" s="31"/>
      <c r="I31" s="16"/>
      <c r="J31" s="17">
        <v>50.69</v>
      </c>
      <c r="K31" s="18">
        <v>50.69</v>
      </c>
      <c r="L31" s="19">
        <v>5.069</v>
      </c>
      <c r="M31" s="16"/>
      <c r="N31" s="43">
        <v>985</v>
      </c>
      <c r="O31" s="18"/>
      <c r="P31" s="42"/>
    </row>
    <row r="32" spans="1:18" ht="12.75">
      <c r="A32" s="18"/>
      <c r="B32" s="18"/>
      <c r="C32" s="18"/>
      <c r="D32" s="30"/>
      <c r="E32" s="20"/>
      <c r="F32" s="20"/>
      <c r="G32" s="20"/>
      <c r="H32" s="31"/>
      <c r="I32" s="16"/>
      <c r="J32" s="17">
        <v>58.2</v>
      </c>
      <c r="K32" s="18">
        <v>58.2</v>
      </c>
      <c r="L32" s="19">
        <v>5.82</v>
      </c>
      <c r="M32" s="16"/>
      <c r="N32" s="43">
        <v>700</v>
      </c>
      <c r="O32" s="18"/>
      <c r="P32" s="42"/>
      <c r="R32" s="18"/>
    </row>
    <row r="33" spans="1:16" ht="12.75">
      <c r="A33" s="18"/>
      <c r="B33" s="18"/>
      <c r="C33" s="18"/>
      <c r="D33" s="30"/>
      <c r="E33" s="20"/>
      <c r="F33" s="20"/>
      <c r="G33" s="20"/>
      <c r="H33" s="31"/>
      <c r="I33" s="16" t="s">
        <v>55</v>
      </c>
      <c r="J33" s="20" t="s">
        <v>56</v>
      </c>
      <c r="K33" s="18"/>
      <c r="L33" s="19"/>
      <c r="M33" s="16" t="s">
        <v>63</v>
      </c>
      <c r="N33" s="18" t="s">
        <v>56</v>
      </c>
      <c r="O33" s="18"/>
      <c r="P33" s="19"/>
    </row>
    <row r="34" spans="1:16" ht="12.75">
      <c r="A34" s="18"/>
      <c r="B34" s="18"/>
      <c r="C34" s="18"/>
      <c r="D34" s="30"/>
      <c r="E34" s="20"/>
      <c r="F34" s="20"/>
      <c r="G34" s="20"/>
      <c r="H34" s="31"/>
      <c r="I34" s="16" t="s">
        <v>54</v>
      </c>
      <c r="J34" s="20"/>
      <c r="K34" s="18"/>
      <c r="L34" s="19"/>
      <c r="M34" s="16" t="s">
        <v>64</v>
      </c>
      <c r="N34" s="18"/>
      <c r="O34" s="18"/>
      <c r="P34" s="19"/>
    </row>
    <row r="35" spans="1:16" ht="12.75">
      <c r="A35" s="18"/>
      <c r="B35" s="18"/>
      <c r="C35" s="18"/>
      <c r="D35" s="30"/>
      <c r="E35" s="20"/>
      <c r="F35" s="20"/>
      <c r="G35" s="20"/>
      <c r="H35" s="31"/>
      <c r="I35" s="21" t="s">
        <v>41</v>
      </c>
      <c r="J35" s="33"/>
      <c r="K35" s="22"/>
      <c r="L35" s="29">
        <f>L49</f>
        <v>0.09</v>
      </c>
      <c r="M35" s="21" t="s">
        <v>41</v>
      </c>
      <c r="N35" s="22"/>
      <c r="O35" s="22"/>
      <c r="P35" s="25">
        <f>P49</f>
        <v>0.02</v>
      </c>
    </row>
    <row r="36" spans="1:9" ht="12.75">
      <c r="A36" s="18"/>
      <c r="B36" s="18"/>
      <c r="C36" s="18"/>
      <c r="D36" s="30"/>
      <c r="E36" s="20"/>
      <c r="F36" s="20"/>
      <c r="G36" s="20"/>
      <c r="H36" s="31"/>
      <c r="I36" s="18"/>
    </row>
    <row r="37" spans="1:9" ht="12.75">
      <c r="A37" s="18"/>
      <c r="B37" s="18"/>
      <c r="C37" s="18"/>
      <c r="D37" s="30"/>
      <c r="E37" s="20"/>
      <c r="F37" s="20"/>
      <c r="G37" s="20"/>
      <c r="H37" s="31"/>
      <c r="I37" s="18"/>
    </row>
    <row r="38" spans="1:8" ht="12.75">
      <c r="A38" s="18"/>
      <c r="B38" s="18"/>
      <c r="C38" s="18"/>
      <c r="D38" s="30"/>
      <c r="E38" s="20"/>
      <c r="F38" s="20"/>
      <c r="G38" s="20"/>
      <c r="H38" s="31"/>
    </row>
    <row r="39" spans="4:8" ht="12.75">
      <c r="D39" s="10"/>
      <c r="E39" s="10"/>
      <c r="F39" s="10"/>
      <c r="G39" s="10"/>
      <c r="H39" s="10"/>
    </row>
    <row r="40" ht="12.75">
      <c r="A40" s="4" t="s">
        <v>42</v>
      </c>
    </row>
    <row r="41" spans="1:16" ht="15.75">
      <c r="A41" s="13" t="s">
        <v>80</v>
      </c>
      <c r="B41" s="14"/>
      <c r="C41" s="14"/>
      <c r="D41" s="14"/>
      <c r="E41" s="13" t="s">
        <v>36</v>
      </c>
      <c r="F41" s="14"/>
      <c r="G41" s="14"/>
      <c r="H41" s="14"/>
      <c r="I41" s="13" t="s">
        <v>37</v>
      </c>
      <c r="J41" s="14"/>
      <c r="K41" s="14"/>
      <c r="L41" s="14"/>
      <c r="M41" s="13" t="s">
        <v>38</v>
      </c>
      <c r="N41" s="14"/>
      <c r="O41" s="14"/>
      <c r="P41" s="15"/>
    </row>
    <row r="42" spans="1:16" ht="12.75">
      <c r="A42" s="16" t="s">
        <v>44</v>
      </c>
      <c r="B42" s="18"/>
      <c r="C42" s="18"/>
      <c r="D42" s="18"/>
      <c r="E42" s="16" t="s">
        <v>44</v>
      </c>
      <c r="F42" s="18"/>
      <c r="G42" s="18"/>
      <c r="H42" s="18"/>
      <c r="I42" s="16" t="s">
        <v>44</v>
      </c>
      <c r="J42" s="18"/>
      <c r="K42" s="18"/>
      <c r="L42" s="18"/>
      <c r="M42" s="16" t="s">
        <v>44</v>
      </c>
      <c r="N42" s="18"/>
      <c r="O42" s="18"/>
      <c r="P42" s="19"/>
    </row>
    <row r="43" spans="1:16" ht="12.75">
      <c r="A43" s="26" t="s">
        <v>93</v>
      </c>
      <c r="B43" s="18"/>
      <c r="C43" s="18"/>
      <c r="D43" s="18"/>
      <c r="E43" s="16" t="s">
        <v>51</v>
      </c>
      <c r="F43" s="18"/>
      <c r="G43" s="18"/>
      <c r="H43" s="18"/>
      <c r="I43" s="26" t="s">
        <v>96</v>
      </c>
      <c r="J43" s="18"/>
      <c r="K43" s="18"/>
      <c r="L43" s="18"/>
      <c r="M43" s="26" t="s">
        <v>146</v>
      </c>
      <c r="N43" s="18" t="s">
        <v>147</v>
      </c>
      <c r="O43" s="18"/>
      <c r="P43" s="19"/>
    </row>
    <row r="44" spans="1:16" ht="12.75">
      <c r="A44" s="16" t="s">
        <v>43</v>
      </c>
      <c r="B44" s="18"/>
      <c r="C44" s="55"/>
      <c r="D44" s="55"/>
      <c r="E44" s="16" t="s">
        <v>43</v>
      </c>
      <c r="F44" s="18"/>
      <c r="G44" s="18"/>
      <c r="H44" s="18"/>
      <c r="I44" s="16" t="s">
        <v>43</v>
      </c>
      <c r="J44" s="18"/>
      <c r="K44" s="18"/>
      <c r="L44" s="18"/>
      <c r="M44" s="16" t="s">
        <v>43</v>
      </c>
      <c r="N44" s="18"/>
      <c r="O44" s="18"/>
      <c r="P44" s="19"/>
    </row>
    <row r="45" spans="1:16" ht="15.75">
      <c r="A45" s="16" t="s">
        <v>45</v>
      </c>
      <c r="B45" s="18"/>
      <c r="C45" s="27">
        <v>0.01</v>
      </c>
      <c r="D45" s="56">
        <f>C45/1.96</f>
        <v>0.005102040816326531</v>
      </c>
      <c r="E45" s="16" t="s">
        <v>52</v>
      </c>
      <c r="F45" s="18"/>
      <c r="G45" s="109">
        <v>0.1</v>
      </c>
      <c r="H45" s="56"/>
      <c r="I45" s="16" t="s">
        <v>57</v>
      </c>
      <c r="J45" s="18"/>
      <c r="K45" s="28">
        <v>0.03</v>
      </c>
      <c r="L45" s="56"/>
      <c r="M45" s="16" t="s">
        <v>45</v>
      </c>
      <c r="N45" s="18"/>
      <c r="O45" s="27">
        <v>0</v>
      </c>
      <c r="P45" s="47">
        <f>O45/1.96</f>
        <v>0</v>
      </c>
    </row>
    <row r="46" spans="1:16" ht="15.75">
      <c r="A46" s="16" t="s">
        <v>46</v>
      </c>
      <c r="B46" s="18"/>
      <c r="C46" s="28">
        <v>0</v>
      </c>
      <c r="D46" s="56">
        <f>C46/1.96</f>
        <v>0</v>
      </c>
      <c r="E46" s="16"/>
      <c r="F46" s="18"/>
      <c r="G46" s="18"/>
      <c r="H46" s="18"/>
      <c r="I46" s="34" t="s">
        <v>58</v>
      </c>
      <c r="J46" s="18"/>
      <c r="K46" s="28">
        <v>0.03</v>
      </c>
      <c r="L46" s="56"/>
      <c r="M46" s="16" t="s">
        <v>46</v>
      </c>
      <c r="N46" s="18"/>
      <c r="O46" s="28">
        <v>0</v>
      </c>
      <c r="P46" s="47">
        <f>O46/1.96</f>
        <v>0</v>
      </c>
    </row>
    <row r="47" spans="1:16" ht="15.75">
      <c r="A47" s="16" t="s">
        <v>47</v>
      </c>
      <c r="B47" s="18"/>
      <c r="C47" s="28">
        <v>0.05</v>
      </c>
      <c r="D47" s="56">
        <v>0.05</v>
      </c>
      <c r="E47" s="16"/>
      <c r="F47" s="18"/>
      <c r="G47" s="18"/>
      <c r="H47" s="18"/>
      <c r="I47" s="34" t="s">
        <v>59</v>
      </c>
      <c r="J47" s="18"/>
      <c r="K47" s="28">
        <v>0.03</v>
      </c>
      <c r="L47" s="56"/>
      <c r="M47" s="16" t="s">
        <v>65</v>
      </c>
      <c r="N47" s="18"/>
      <c r="O47" s="28">
        <v>0.02</v>
      </c>
      <c r="P47" s="47">
        <f>O47</f>
        <v>0.02</v>
      </c>
    </row>
    <row r="48" spans="1:16" ht="15.75">
      <c r="A48" s="16" t="s">
        <v>49</v>
      </c>
      <c r="B48" s="18"/>
      <c r="C48" s="30"/>
      <c r="D48" s="57">
        <f>(D45^2+D46^2)^0.5+D47</f>
        <v>0.05510204081632653</v>
      </c>
      <c r="E48" s="16" t="s">
        <v>49</v>
      </c>
      <c r="F48" s="18"/>
      <c r="G48" s="18"/>
      <c r="H48" s="57">
        <f>SUM(G45)</f>
        <v>0.1</v>
      </c>
      <c r="I48" s="16" t="s">
        <v>60</v>
      </c>
      <c r="J48" s="18"/>
      <c r="K48" s="28">
        <v>0</v>
      </c>
      <c r="L48" s="56"/>
      <c r="M48" s="16"/>
      <c r="N48" s="18"/>
      <c r="O48" s="18"/>
      <c r="P48" s="19"/>
    </row>
    <row r="49" spans="1:16" ht="12.75">
      <c r="A49" s="16"/>
      <c r="B49" s="18"/>
      <c r="C49" s="30"/>
      <c r="D49" s="58"/>
      <c r="E49" s="16"/>
      <c r="F49" s="18"/>
      <c r="G49" s="18"/>
      <c r="H49" s="58"/>
      <c r="I49" s="16" t="s">
        <v>49</v>
      </c>
      <c r="J49" s="18"/>
      <c r="K49" s="31"/>
      <c r="L49" s="57">
        <f>SUM(K45:K48)</f>
        <v>0.09</v>
      </c>
      <c r="M49" s="16" t="s">
        <v>49</v>
      </c>
      <c r="N49" s="18"/>
      <c r="O49" s="30"/>
      <c r="P49" s="64">
        <f>(P45^2+P46^2)^0.5+P47</f>
        <v>0.02</v>
      </c>
    </row>
    <row r="50" spans="1:16" ht="12.75">
      <c r="A50" s="16" t="s">
        <v>95</v>
      </c>
      <c r="B50" s="18"/>
      <c r="C50" s="18"/>
      <c r="D50" s="48">
        <f>590</f>
        <v>590</v>
      </c>
      <c r="E50" s="16" t="s">
        <v>95</v>
      </c>
      <c r="F50" s="18"/>
      <c r="G50" s="18"/>
      <c r="H50" s="48">
        <v>0</v>
      </c>
      <c r="I50" s="16" t="s">
        <v>95</v>
      </c>
      <c r="J50" s="18"/>
      <c r="K50" s="18"/>
      <c r="L50" s="48">
        <v>306</v>
      </c>
      <c r="M50" s="16" t="s">
        <v>48</v>
      </c>
      <c r="N50" s="18"/>
      <c r="O50" s="18"/>
      <c r="P50" s="59">
        <v>0</v>
      </c>
    </row>
    <row r="51" spans="1:16" ht="12.75">
      <c r="A51" s="16" t="s">
        <v>94</v>
      </c>
      <c r="B51" s="18"/>
      <c r="C51" s="18"/>
      <c r="D51" s="17">
        <v>0.1</v>
      </c>
      <c r="E51" s="16" t="s">
        <v>94</v>
      </c>
      <c r="F51" s="18"/>
      <c r="G51" s="18"/>
      <c r="H51" s="17">
        <v>0.1</v>
      </c>
      <c r="I51" s="16" t="s">
        <v>94</v>
      </c>
      <c r="L51" s="60">
        <v>0.1</v>
      </c>
      <c r="M51" t="s">
        <v>94</v>
      </c>
      <c r="P51" s="60">
        <v>0.1</v>
      </c>
    </row>
    <row r="52" spans="1:16" ht="12.75">
      <c r="A52" s="21" t="s">
        <v>48</v>
      </c>
      <c r="B52" s="22"/>
      <c r="C52" s="22"/>
      <c r="D52" s="61">
        <f>D50*D51</f>
        <v>59</v>
      </c>
      <c r="E52" s="21" t="s">
        <v>48</v>
      </c>
      <c r="F52" s="22"/>
      <c r="G52" s="22"/>
      <c r="H52" s="61">
        <f>H50*H51</f>
        <v>0</v>
      </c>
      <c r="I52" s="16" t="s">
        <v>48</v>
      </c>
      <c r="L52" s="65">
        <f>L50*L51</f>
        <v>30.6</v>
      </c>
      <c r="M52" t="s">
        <v>48</v>
      </c>
      <c r="P52" s="65">
        <f>P50*P51</f>
        <v>0</v>
      </c>
    </row>
    <row r="53" spans="9:16" ht="12.75">
      <c r="I53" s="16"/>
      <c r="J53" s="18"/>
      <c r="K53" s="18"/>
      <c r="L53" s="19"/>
      <c r="M53" s="18"/>
      <c r="P53" s="19"/>
    </row>
    <row r="54" spans="9:16" ht="12.75">
      <c r="I54" s="16" t="s">
        <v>61</v>
      </c>
      <c r="J54" s="18"/>
      <c r="K54" s="18"/>
      <c r="L54" s="18"/>
      <c r="M54" s="16" t="s">
        <v>61</v>
      </c>
      <c r="N54" s="18"/>
      <c r="O54" s="18"/>
      <c r="P54" s="19"/>
    </row>
    <row r="55" spans="9:16" ht="12.75">
      <c r="I55" s="26" t="s">
        <v>62</v>
      </c>
      <c r="J55" s="18"/>
      <c r="K55" s="18"/>
      <c r="L55" s="18"/>
      <c r="M55" s="26" t="s">
        <v>62</v>
      </c>
      <c r="N55" s="18"/>
      <c r="O55" s="18"/>
      <c r="P55" s="19"/>
    </row>
    <row r="56" spans="9:16" ht="12.75">
      <c r="I56" s="63" t="s">
        <v>95</v>
      </c>
      <c r="J56" s="18"/>
      <c r="K56" s="18"/>
      <c r="L56" s="48">
        <f>249</f>
        <v>249</v>
      </c>
      <c r="M56" s="63" t="s">
        <v>48</v>
      </c>
      <c r="N56" s="18"/>
      <c r="O56" s="18"/>
      <c r="P56" s="59">
        <f>249</f>
        <v>249</v>
      </c>
    </row>
    <row r="57" spans="9:16" ht="12.75">
      <c r="I57" s="16" t="s">
        <v>94</v>
      </c>
      <c r="J57" s="18"/>
      <c r="K57" s="18"/>
      <c r="L57" s="17">
        <v>0.1</v>
      </c>
      <c r="M57" s="16" t="s">
        <v>94</v>
      </c>
      <c r="N57" s="18"/>
      <c r="O57" s="18"/>
      <c r="P57" s="60">
        <v>0.1</v>
      </c>
    </row>
    <row r="58" spans="9:16" ht="12.75">
      <c r="I58" s="21" t="s">
        <v>48</v>
      </c>
      <c r="J58" s="22"/>
      <c r="K58" s="22"/>
      <c r="L58" s="61">
        <f>L56*L57</f>
        <v>24.900000000000002</v>
      </c>
      <c r="M58" s="21" t="s">
        <v>48</v>
      </c>
      <c r="N58" s="22"/>
      <c r="O58" s="22"/>
      <c r="P58" s="62">
        <f>P56*P57</f>
        <v>24.900000000000002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4" max="4" width="12.57421875" style="0" customWidth="1"/>
    <col min="5" max="5" width="15.00390625" style="0" customWidth="1"/>
    <col min="7" max="7" width="15.00390625" style="0" customWidth="1"/>
    <col min="8" max="8" width="9.7109375" style="0" customWidth="1"/>
    <col min="14" max="14" width="10.8515625" style="0" customWidth="1"/>
  </cols>
  <sheetData>
    <row r="1" spans="2:7" ht="12.75">
      <c r="B1" t="s">
        <v>66</v>
      </c>
      <c r="G1" t="s">
        <v>2</v>
      </c>
    </row>
    <row r="2" spans="2:8" ht="12.75">
      <c r="B2" t="s">
        <v>3</v>
      </c>
      <c r="C2" t="s">
        <v>4</v>
      </c>
      <c r="D2" t="s">
        <v>67</v>
      </c>
      <c r="G2" t="s">
        <v>3</v>
      </c>
      <c r="H2" t="s">
        <v>4</v>
      </c>
    </row>
    <row r="3" spans="2:8" ht="12.75">
      <c r="B3">
        <f>'Inputs - base case'!B23</f>
        <v>58.2</v>
      </c>
      <c r="C3">
        <f>'Inputs - base case'!F23</f>
        <v>8760</v>
      </c>
      <c r="D3" s="2">
        <f>B3*C3</f>
        <v>509832</v>
      </c>
      <c r="G3" s="24">
        <f>'Inputs - base case'!D26</f>
        <v>0.05510204081632653</v>
      </c>
      <c r="H3" s="23">
        <f>'Inputs - base case'!H26</f>
        <v>0.1</v>
      </c>
    </row>
    <row r="4" ht="12.75">
      <c r="G4" t="s">
        <v>6</v>
      </c>
    </row>
    <row r="5" spans="7:8" ht="12.75">
      <c r="G5">
        <f>G3^2</f>
        <v>0.003036234902124115</v>
      </c>
      <c r="H5">
        <f>H3^2</f>
        <v>0.010000000000000002</v>
      </c>
    </row>
    <row r="6" ht="12.75">
      <c r="G6" t="s">
        <v>9</v>
      </c>
    </row>
    <row r="7" ht="12.75">
      <c r="G7">
        <f>G5+H5</f>
        <v>0.013036234902124117</v>
      </c>
    </row>
    <row r="8" ht="12.75">
      <c r="G8" t="s">
        <v>10</v>
      </c>
    </row>
    <row r="9" ht="12.75">
      <c r="G9">
        <f>SQRT(G7)</f>
        <v>0.11417633249550503</v>
      </c>
    </row>
    <row r="11" spans="7:8" ht="12.75">
      <c r="G11" t="s">
        <v>11</v>
      </c>
      <c r="H11" t="s">
        <v>79</v>
      </c>
    </row>
    <row r="12" spans="7:8" ht="12.75">
      <c r="G12" s="2">
        <f>D3*G9</f>
        <v>58210.74794884832</v>
      </c>
      <c r="H12" s="41">
        <f>G12/D3</f>
        <v>0.11417633249550503</v>
      </c>
    </row>
    <row r="16" spans="2:7" ht="12.75">
      <c r="B16" t="s">
        <v>8</v>
      </c>
      <c r="G16" t="s">
        <v>2</v>
      </c>
    </row>
    <row r="17" spans="2:8" ht="12.75">
      <c r="B17" t="s">
        <v>0</v>
      </c>
      <c r="C17" t="s">
        <v>1</v>
      </c>
      <c r="D17" t="s">
        <v>75</v>
      </c>
      <c r="E17" t="s">
        <v>6</v>
      </c>
      <c r="G17" t="s">
        <v>3</v>
      </c>
      <c r="H17" t="s">
        <v>4</v>
      </c>
    </row>
    <row r="18" spans="2:14" ht="12.75">
      <c r="B18">
        <f>'Inputs - base case'!J23</f>
        <v>18.65</v>
      </c>
      <c r="C18">
        <f>'Inputs - base case'!N23</f>
        <v>100</v>
      </c>
      <c r="D18" s="3">
        <f>B18*C18</f>
        <v>1864.9999999999998</v>
      </c>
      <c r="E18" s="2">
        <f>D18^2</f>
        <v>3478224.999999999</v>
      </c>
      <c r="G18" s="23">
        <f>'Inputs - base case'!L35</f>
        <v>0.09</v>
      </c>
      <c r="H18" s="24">
        <f>'Inputs - base case'!P35</f>
        <v>0.02</v>
      </c>
      <c r="J18" s="44"/>
      <c r="K18" s="45"/>
      <c r="M18" s="45"/>
      <c r="N18" s="45"/>
    </row>
    <row r="19" spans="2:14" ht="12.75">
      <c r="B19">
        <f>'Inputs - base case'!J24</f>
        <v>19.92</v>
      </c>
      <c r="C19">
        <f>'Inputs - base case'!N24</f>
        <v>50</v>
      </c>
      <c r="D19" s="3">
        <f aca="true" t="shared" si="0" ref="D19:D27">B19*C19</f>
        <v>996.0000000000001</v>
      </c>
      <c r="E19" s="2">
        <f aca="true" t="shared" si="1" ref="E19:E27">D19^2</f>
        <v>992016.0000000002</v>
      </c>
      <c r="G19" t="s">
        <v>6</v>
      </c>
      <c r="J19" s="44"/>
      <c r="K19" s="45"/>
      <c r="M19" s="45"/>
      <c r="N19" s="45"/>
    </row>
    <row r="20" spans="2:14" ht="12.75">
      <c r="B20">
        <f>'Inputs - base case'!J25</f>
        <v>21.98</v>
      </c>
      <c r="C20">
        <f>'Inputs - base case'!N25</f>
        <v>150</v>
      </c>
      <c r="D20" s="3">
        <f t="shared" si="0"/>
        <v>3297</v>
      </c>
      <c r="E20" s="2">
        <f t="shared" si="1"/>
        <v>10870209</v>
      </c>
      <c r="G20">
        <f>G18^2</f>
        <v>0.0081</v>
      </c>
      <c r="H20">
        <f>H18^2</f>
        <v>0.0004</v>
      </c>
      <c r="J20" s="44"/>
      <c r="K20" s="45"/>
      <c r="M20" s="45"/>
      <c r="N20" s="45"/>
    </row>
    <row r="21" spans="2:14" ht="12.75">
      <c r="B21">
        <f>'Inputs - base case'!J26</f>
        <v>24.81</v>
      </c>
      <c r="C21">
        <f>'Inputs - base case'!N26</f>
        <v>425</v>
      </c>
      <c r="D21" s="3">
        <f t="shared" si="0"/>
        <v>10544.25</v>
      </c>
      <c r="E21" s="2">
        <f t="shared" si="1"/>
        <v>111181208.0625</v>
      </c>
      <c r="G21" t="s">
        <v>7</v>
      </c>
      <c r="J21" s="44"/>
      <c r="K21" s="45"/>
      <c r="M21" s="45"/>
      <c r="N21" s="45"/>
    </row>
    <row r="22" spans="2:14" ht="12.75">
      <c r="B22">
        <f>'Inputs - base case'!J27</f>
        <v>28.43</v>
      </c>
      <c r="C22">
        <f>'Inputs - base case'!N27</f>
        <v>785</v>
      </c>
      <c r="D22" s="3">
        <f t="shared" si="0"/>
        <v>22317.55</v>
      </c>
      <c r="E22" s="2">
        <f t="shared" si="1"/>
        <v>498073038.00249994</v>
      </c>
      <c r="G22">
        <f>G20+H20</f>
        <v>0.008499999999999999</v>
      </c>
      <c r="J22" s="44"/>
      <c r="K22" s="45"/>
      <c r="M22" s="45"/>
      <c r="N22" s="45"/>
    </row>
    <row r="23" spans="2:14" ht="12.75">
      <c r="B23">
        <f>'Inputs - base case'!J28</f>
        <v>32.82</v>
      </c>
      <c r="C23">
        <f>'Inputs - base case'!N28</f>
        <v>1565</v>
      </c>
      <c r="D23" s="3">
        <f t="shared" si="0"/>
        <v>51363.3</v>
      </c>
      <c r="E23" s="2">
        <f t="shared" si="1"/>
        <v>2638188586.8900003</v>
      </c>
      <c r="G23" t="s">
        <v>76</v>
      </c>
      <c r="J23" s="44"/>
      <c r="K23" s="45"/>
      <c r="M23" s="45"/>
      <c r="N23" s="45"/>
    </row>
    <row r="24" spans="2:14" ht="12.75">
      <c r="B24">
        <f>'Inputs - base case'!J29</f>
        <v>38</v>
      </c>
      <c r="C24">
        <f>'Inputs - base case'!N29</f>
        <v>2250</v>
      </c>
      <c r="D24" s="3">
        <f t="shared" si="0"/>
        <v>85500</v>
      </c>
      <c r="E24" s="2">
        <f t="shared" si="1"/>
        <v>7310250000</v>
      </c>
      <c r="G24">
        <f>SQRT(G22)</f>
        <v>0.09219544457292887</v>
      </c>
      <c r="J24" s="44"/>
      <c r="K24" s="45"/>
      <c r="M24" s="45"/>
      <c r="N24" s="45"/>
    </row>
    <row r="25" spans="2:14" ht="12.75">
      <c r="B25">
        <f>'Inputs - base case'!J30</f>
        <v>43.95</v>
      </c>
      <c r="C25">
        <f>'Inputs - base case'!N30</f>
        <v>1750</v>
      </c>
      <c r="D25" s="3">
        <f t="shared" si="0"/>
        <v>76912.5</v>
      </c>
      <c r="E25" s="2">
        <f t="shared" si="1"/>
        <v>5915532656.25</v>
      </c>
      <c r="J25" s="44"/>
      <c r="K25" s="45"/>
      <c r="M25" s="45"/>
      <c r="N25" s="45"/>
    </row>
    <row r="26" spans="2:14" ht="12.75">
      <c r="B26">
        <f>'Inputs - base case'!J31</f>
        <v>50.69</v>
      </c>
      <c r="C26">
        <f>'Inputs - base case'!N31</f>
        <v>985</v>
      </c>
      <c r="D26" s="3">
        <f t="shared" si="0"/>
        <v>49929.649999999994</v>
      </c>
      <c r="E26" s="2">
        <f t="shared" si="1"/>
        <v>2492969949.1224995</v>
      </c>
      <c r="J26" s="44"/>
      <c r="K26" s="45"/>
      <c r="M26" s="45"/>
      <c r="N26" s="45"/>
    </row>
    <row r="27" spans="2:14" ht="12.75">
      <c r="B27">
        <f>'Inputs - base case'!J32</f>
        <v>58.2</v>
      </c>
      <c r="C27">
        <f>'Inputs - base case'!N32</f>
        <v>700</v>
      </c>
      <c r="D27" s="3">
        <f t="shared" si="0"/>
        <v>40740</v>
      </c>
      <c r="E27" s="2">
        <f t="shared" si="1"/>
        <v>1659747600</v>
      </c>
      <c r="H27" t="s">
        <v>11</v>
      </c>
      <c r="J27" s="44"/>
      <c r="K27" s="45"/>
      <c r="M27" s="45"/>
      <c r="N27" s="45"/>
    </row>
    <row r="28" spans="1:14" ht="12.75">
      <c r="A28" t="s">
        <v>5</v>
      </c>
      <c r="C28">
        <f>SUM(C18:C27)</f>
        <v>8760</v>
      </c>
      <c r="D28" s="2">
        <f>SUM(D18:D27)</f>
        <v>343465.25</v>
      </c>
      <c r="E28" s="2">
        <f>SUM(E18:E27)</f>
        <v>20641283488.3275</v>
      </c>
      <c r="G28" s="1">
        <f>E28*G22</f>
        <v>175450909.65078372</v>
      </c>
      <c r="H28" s="2">
        <f>SQRT(G28)</f>
        <v>13245.788374075124</v>
      </c>
      <c r="K28" s="45"/>
      <c r="M28" s="45"/>
      <c r="N28" s="45"/>
    </row>
    <row r="29" ht="12.75">
      <c r="H29" t="s">
        <v>79</v>
      </c>
    </row>
    <row r="30" spans="8:14" ht="12.75">
      <c r="H30" s="41">
        <f>H28/D28</f>
        <v>0.038565148509420166</v>
      </c>
      <c r="K30" s="45"/>
      <c r="N30" s="45"/>
    </row>
    <row r="32" ht="12.75">
      <c r="B32" t="s">
        <v>12</v>
      </c>
    </row>
    <row r="33" spans="2:4" ht="12.75">
      <c r="B33" t="s">
        <v>13</v>
      </c>
      <c r="D33" t="s">
        <v>77</v>
      </c>
    </row>
    <row r="34" spans="2:4" ht="12.75">
      <c r="B34" s="2">
        <f>D3-D28</f>
        <v>166366.75</v>
      </c>
      <c r="D34" s="2">
        <f>SQRT(G12^2+H28^2)</f>
        <v>59698.761179903326</v>
      </c>
    </row>
    <row r="36" ht="12.75">
      <c r="D36" t="s">
        <v>78</v>
      </c>
    </row>
    <row r="37" ht="12.75">
      <c r="D37" s="41">
        <f>D34/B34</f>
        <v>0.3588382965941411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2.140625" style="0" customWidth="1"/>
    <col min="4" max="4" width="10.28125" style="0" bestFit="1" customWidth="1"/>
    <col min="8" max="8" width="9.8515625" style="0" customWidth="1"/>
    <col min="11" max="11" width="10.28125" style="0" bestFit="1" customWidth="1"/>
    <col min="13" max="13" width="11.7109375" style="0" customWidth="1"/>
  </cols>
  <sheetData>
    <row r="1" spans="1:8" ht="12.75">
      <c r="A1" s="4" t="s">
        <v>15</v>
      </c>
      <c r="C1" t="s">
        <v>83</v>
      </c>
      <c r="H1" s="8" t="s">
        <v>22</v>
      </c>
    </row>
    <row r="2" spans="1:8" ht="12.75">
      <c r="A2" s="5" t="s">
        <v>18</v>
      </c>
      <c r="H2" s="11" t="s">
        <v>32</v>
      </c>
    </row>
    <row r="4" ht="12.75">
      <c r="A4" s="4" t="s">
        <v>14</v>
      </c>
    </row>
    <row r="5" ht="12.75">
      <c r="A5" t="s">
        <v>82</v>
      </c>
    </row>
    <row r="6" ht="12.75">
      <c r="A6" t="s">
        <v>21</v>
      </c>
    </row>
    <row r="7" spans="1:3" ht="12.75">
      <c r="A7" t="s">
        <v>20</v>
      </c>
      <c r="B7" s="7">
        <v>0.1</v>
      </c>
      <c r="C7" t="s">
        <v>98</v>
      </c>
    </row>
    <row r="8" ht="12.75">
      <c r="B8" s="6"/>
    </row>
    <row r="9" spans="2:14" ht="12.75">
      <c r="B9" t="s">
        <v>69</v>
      </c>
      <c r="C9" t="s">
        <v>70</v>
      </c>
      <c r="D9" t="s">
        <v>72</v>
      </c>
      <c r="G9" s="9" t="s">
        <v>23</v>
      </c>
      <c r="H9" s="10"/>
      <c r="L9" s="9" t="s">
        <v>66</v>
      </c>
      <c r="M9" s="2">
        <f>'fan base case calcs'!D3</f>
        <v>509832</v>
      </c>
      <c r="N9" t="s">
        <v>67</v>
      </c>
    </row>
    <row r="10" spans="1:14" ht="12.75">
      <c r="A10" t="s">
        <v>68</v>
      </c>
      <c r="B10" s="7">
        <v>65</v>
      </c>
      <c r="C10" s="72">
        <v>40</v>
      </c>
      <c r="D10" s="38">
        <f>B10*C10</f>
        <v>2600</v>
      </c>
      <c r="G10" s="9" t="s">
        <v>24</v>
      </c>
      <c r="H10" s="35">
        <f>H43</f>
        <v>247.5</v>
      </c>
      <c r="L10" s="9" t="s">
        <v>8</v>
      </c>
      <c r="M10" s="2">
        <f>'fan base case calcs'!D28</f>
        <v>343465.25</v>
      </c>
      <c r="N10" t="s">
        <v>67</v>
      </c>
    </row>
    <row r="11" spans="1:14" ht="12.75">
      <c r="A11" t="s">
        <v>71</v>
      </c>
      <c r="B11" s="7">
        <v>80</v>
      </c>
      <c r="C11" s="72">
        <v>24</v>
      </c>
      <c r="D11" s="38">
        <f>B11*C11</f>
        <v>1920</v>
      </c>
      <c r="G11" s="9" t="s">
        <v>25</v>
      </c>
      <c r="H11" s="7">
        <f>0.25*50</f>
        <v>12.5</v>
      </c>
      <c r="I11" t="s">
        <v>28</v>
      </c>
      <c r="L11" s="9" t="s">
        <v>31</v>
      </c>
      <c r="M11" s="36">
        <f>'fan base case calcs'!B34</f>
        <v>166366.75</v>
      </c>
      <c r="N11" t="s">
        <v>67</v>
      </c>
    </row>
    <row r="12" spans="4:13" ht="12.75">
      <c r="D12" s="39">
        <f>SUM(D10:D11)</f>
        <v>4520</v>
      </c>
      <c r="G12" s="9" t="s">
        <v>26</v>
      </c>
      <c r="H12" s="7">
        <v>50</v>
      </c>
      <c r="I12" t="s">
        <v>29</v>
      </c>
      <c r="L12" s="9" t="s">
        <v>81</v>
      </c>
      <c r="M12" s="41">
        <f>M11/M9</f>
        <v>0.3263168063205134</v>
      </c>
    </row>
    <row r="13" spans="7:13" ht="12.75">
      <c r="G13" s="9" t="s">
        <v>27</v>
      </c>
      <c r="H13" s="7">
        <v>0</v>
      </c>
      <c r="L13" s="9" t="s">
        <v>74</v>
      </c>
      <c r="M13" s="49">
        <f>B7*M11</f>
        <v>16636.675</v>
      </c>
    </row>
    <row r="14" spans="8:13" ht="12.75">
      <c r="H14" s="40">
        <f>SUM(H10:H13)</f>
        <v>310</v>
      </c>
      <c r="L14" s="9" t="s">
        <v>90</v>
      </c>
      <c r="M14" s="53">
        <f>SQRT((D26*B23)^2+(H26*F23)^2)/M11</f>
        <v>0.30649590989442815</v>
      </c>
    </row>
    <row r="15" spans="1:13" ht="12.75">
      <c r="A15" s="4" t="s">
        <v>16</v>
      </c>
      <c r="L15" s="9" t="s">
        <v>91</v>
      </c>
      <c r="M15" s="49">
        <f>M14*M13</f>
        <v>5099.072841742885</v>
      </c>
    </row>
    <row r="16" spans="1:13" ht="15.75">
      <c r="A16" t="s">
        <v>34</v>
      </c>
      <c r="C16" s="12" t="s">
        <v>84</v>
      </c>
      <c r="L16" s="9" t="s">
        <v>30</v>
      </c>
      <c r="M16" s="49">
        <f>D12+H14</f>
        <v>4830</v>
      </c>
    </row>
    <row r="17" spans="12:13" ht="12.75">
      <c r="L17" s="9" t="s">
        <v>73</v>
      </c>
      <c r="M17" s="37">
        <f>M16/M13</f>
        <v>0.2903224352221823</v>
      </c>
    </row>
    <row r="18" spans="1:3" ht="12.75">
      <c r="A18" t="s">
        <v>35</v>
      </c>
      <c r="C18" s="8">
        <v>1</v>
      </c>
    </row>
    <row r="19" spans="12:13" ht="12.75">
      <c r="L19" s="9" t="s">
        <v>89</v>
      </c>
      <c r="M19" s="46">
        <f>('Inputs - base case'!M15-'Inputs - plan #1'!M15)/('Inputs - plan #1'!M16-'Inputs - base case'!M16)</f>
        <v>1.4441182027320842</v>
      </c>
    </row>
    <row r="20" ht="12.75">
      <c r="N20" s="3"/>
    </row>
    <row r="21" ht="12.75">
      <c r="A21" s="4" t="s">
        <v>17</v>
      </c>
    </row>
    <row r="22" spans="1:8" ht="15.75">
      <c r="A22" s="13" t="s">
        <v>85</v>
      </c>
      <c r="B22" s="14"/>
      <c r="C22" s="14"/>
      <c r="D22" s="15"/>
      <c r="E22" s="13" t="s">
        <v>86</v>
      </c>
      <c r="F22" s="14"/>
      <c r="G22" s="14"/>
      <c r="H22" s="15"/>
    </row>
    <row r="23" spans="1:8" ht="12.75">
      <c r="A23" s="16" t="s">
        <v>39</v>
      </c>
      <c r="B23" s="50">
        <v>509832</v>
      </c>
      <c r="C23" s="18"/>
      <c r="D23" s="19"/>
      <c r="E23" s="16" t="s">
        <v>39</v>
      </c>
      <c r="F23" s="51">
        <v>343465</v>
      </c>
      <c r="G23" s="18"/>
      <c r="H23" s="19"/>
    </row>
    <row r="24" spans="1:8" ht="12.75">
      <c r="A24" s="20" t="s">
        <v>50</v>
      </c>
      <c r="B24" s="18"/>
      <c r="D24" s="19"/>
      <c r="E24" s="16" t="s">
        <v>87</v>
      </c>
      <c r="F24" s="20"/>
      <c r="G24" s="18"/>
      <c r="H24" s="19"/>
    </row>
    <row r="25" spans="1:8" ht="12.75">
      <c r="A25" s="16"/>
      <c r="B25" s="18"/>
      <c r="C25" s="18"/>
      <c r="D25" s="19"/>
      <c r="E25" s="16"/>
      <c r="F25" s="20"/>
      <c r="G25" s="18"/>
      <c r="H25" s="19"/>
    </row>
    <row r="26" spans="1:8" ht="12.75">
      <c r="A26" s="21" t="s">
        <v>41</v>
      </c>
      <c r="B26" s="22"/>
      <c r="C26" s="22"/>
      <c r="D26" s="29">
        <f>C40</f>
        <v>0.1</v>
      </c>
      <c r="E26" s="21" t="s">
        <v>41</v>
      </c>
      <c r="F26" s="33"/>
      <c r="G26" s="22"/>
      <c r="H26" s="25">
        <f>H40</f>
        <v>0.0025510204081632655</v>
      </c>
    </row>
    <row r="27" spans="1:4" ht="12.75">
      <c r="A27" s="18"/>
      <c r="B27" s="18"/>
      <c r="C27" s="18"/>
      <c r="D27" s="30"/>
    </row>
    <row r="28" spans="1:9" ht="12.75">
      <c r="A28" s="18"/>
      <c r="B28" s="18"/>
      <c r="C28" s="18"/>
      <c r="D28" s="30"/>
      <c r="E28" s="20"/>
      <c r="F28" s="20"/>
      <c r="G28" s="20"/>
      <c r="H28" s="31"/>
      <c r="I28" s="18"/>
    </row>
    <row r="29" spans="1:9" ht="12.75">
      <c r="A29" s="18"/>
      <c r="B29" s="18"/>
      <c r="C29" s="18"/>
      <c r="D29" s="30"/>
      <c r="E29" s="20"/>
      <c r="F29" s="20"/>
      <c r="G29" s="20"/>
      <c r="H29" s="31"/>
      <c r="I29" s="18"/>
    </row>
    <row r="30" spans="1:8" ht="12.75">
      <c r="A30" s="18"/>
      <c r="B30" s="18"/>
      <c r="C30" s="18"/>
      <c r="D30" s="30"/>
      <c r="E30" s="20"/>
      <c r="F30" s="20"/>
      <c r="G30" s="20"/>
      <c r="H30" s="31"/>
    </row>
    <row r="31" spans="4:8" ht="12.75">
      <c r="D31" s="10"/>
      <c r="E31" s="10"/>
      <c r="F31" s="10"/>
      <c r="G31" s="10"/>
      <c r="H31" s="10"/>
    </row>
    <row r="32" ht="12.75">
      <c r="A32" s="4" t="s">
        <v>42</v>
      </c>
    </row>
    <row r="33" spans="1:8" ht="15.75">
      <c r="A33" s="13" t="s">
        <v>85</v>
      </c>
      <c r="B33" s="14"/>
      <c r="C33" s="14"/>
      <c r="D33" s="14"/>
      <c r="E33" s="13" t="s">
        <v>86</v>
      </c>
      <c r="F33" s="14"/>
      <c r="G33" s="14"/>
      <c r="H33" s="15"/>
    </row>
    <row r="34" spans="1:8" ht="12.75">
      <c r="A34" s="16" t="s">
        <v>44</v>
      </c>
      <c r="B34" s="18"/>
      <c r="C34" s="18"/>
      <c r="D34" s="18"/>
      <c r="E34" s="16" t="s">
        <v>44</v>
      </c>
      <c r="F34" s="18"/>
      <c r="G34" s="18"/>
      <c r="H34" s="19"/>
    </row>
    <row r="35" spans="1:8" ht="12.75">
      <c r="A35" s="26"/>
      <c r="B35" s="18"/>
      <c r="C35" s="18"/>
      <c r="D35" s="18"/>
      <c r="E35" s="26" t="s">
        <v>88</v>
      </c>
      <c r="F35" s="18"/>
      <c r="G35" s="18"/>
      <c r="H35" s="19"/>
    </row>
    <row r="36" spans="1:8" ht="12.75">
      <c r="A36" s="16" t="s">
        <v>43</v>
      </c>
      <c r="B36" s="18"/>
      <c r="C36" s="18"/>
      <c r="D36" s="18"/>
      <c r="E36" s="16" t="s">
        <v>43</v>
      </c>
      <c r="F36" s="18"/>
      <c r="G36" s="18"/>
      <c r="H36" s="19"/>
    </row>
    <row r="37" spans="1:8" ht="15.75">
      <c r="A37" s="16" t="s">
        <v>52</v>
      </c>
      <c r="B37" s="18"/>
      <c r="C37" s="27">
        <v>0.1</v>
      </c>
      <c r="D37" s="18"/>
      <c r="E37" s="16" t="s">
        <v>45</v>
      </c>
      <c r="F37" s="18"/>
      <c r="G37" s="27">
        <v>0.005</v>
      </c>
      <c r="H37" s="54">
        <f>G37/1.96</f>
        <v>0.0025510204081632655</v>
      </c>
    </row>
    <row r="38" spans="1:8" ht="15.75">
      <c r="A38" s="16"/>
      <c r="B38" s="18"/>
      <c r="C38" s="28"/>
      <c r="D38" s="18"/>
      <c r="E38" s="34" t="s">
        <v>46</v>
      </c>
      <c r="F38" s="18"/>
      <c r="G38" s="28">
        <v>0</v>
      </c>
      <c r="H38" s="54">
        <f>G38/1.96</f>
        <v>0</v>
      </c>
    </row>
    <row r="39" spans="1:8" ht="12.75">
      <c r="A39" s="16"/>
      <c r="B39" s="18"/>
      <c r="C39" s="31"/>
      <c r="D39" s="18"/>
      <c r="E39" s="34"/>
      <c r="F39" s="18"/>
      <c r="G39" s="31"/>
      <c r="H39" s="19"/>
    </row>
    <row r="40" spans="1:8" ht="12.75">
      <c r="A40" s="16" t="s">
        <v>49</v>
      </c>
      <c r="B40" s="18"/>
      <c r="C40" s="27">
        <f>(C37^2+C38^2)^0.5+C39</f>
        <v>0.1</v>
      </c>
      <c r="D40" s="18"/>
      <c r="E40" s="16" t="s">
        <v>49</v>
      </c>
      <c r="F40" s="18"/>
      <c r="G40" s="18"/>
      <c r="H40" s="64">
        <f>SUM(H37:H39)</f>
        <v>0.0025510204081632655</v>
      </c>
    </row>
    <row r="41" spans="1:8" ht="12.75">
      <c r="A41" s="16" t="s">
        <v>95</v>
      </c>
      <c r="B41" s="18"/>
      <c r="C41" s="48">
        <v>0</v>
      </c>
      <c r="D41" s="18"/>
      <c r="E41" s="63" t="s">
        <v>48</v>
      </c>
      <c r="F41" s="18"/>
      <c r="G41" s="18"/>
      <c r="H41" s="59">
        <f>495</f>
        <v>495</v>
      </c>
    </row>
    <row r="42" spans="1:8" ht="12.75">
      <c r="A42" s="16" t="s">
        <v>94</v>
      </c>
      <c r="B42" s="18"/>
      <c r="C42" s="67"/>
      <c r="D42" s="18"/>
      <c r="E42" s="16" t="s">
        <v>94</v>
      </c>
      <c r="F42" s="18"/>
      <c r="G42" s="18"/>
      <c r="H42" s="69">
        <v>0.5</v>
      </c>
    </row>
    <row r="43" spans="1:8" ht="12.75">
      <c r="A43" s="21" t="s">
        <v>48</v>
      </c>
      <c r="B43" s="22"/>
      <c r="C43" s="68">
        <f>C41*C42</f>
        <v>0</v>
      </c>
      <c r="D43" s="22"/>
      <c r="E43" s="21" t="s">
        <v>48</v>
      </c>
      <c r="F43" s="22"/>
      <c r="G43" s="22"/>
      <c r="H43" s="70">
        <f>H41*H42</f>
        <v>247.5</v>
      </c>
    </row>
    <row r="44" spans="1:8" ht="12.75">
      <c r="A44" s="18"/>
      <c r="B44" s="18"/>
      <c r="C44" s="66"/>
      <c r="D44" s="18"/>
      <c r="E44" s="20"/>
      <c r="F44" s="18"/>
      <c r="G44" s="66"/>
      <c r="H44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2.7109375" style="0" customWidth="1"/>
    <col min="3" max="3" width="12.140625" style="0" customWidth="1"/>
    <col min="4" max="4" width="10.28125" style="0" customWidth="1"/>
    <col min="5" max="5" width="14.57421875" style="0" customWidth="1"/>
    <col min="8" max="8" width="11.421875" style="0" customWidth="1"/>
    <col min="9" max="9" width="14.28125" style="0" customWidth="1"/>
    <col min="10" max="10" width="13.140625" style="0" customWidth="1"/>
    <col min="11" max="11" width="10.28125" style="0" customWidth="1"/>
    <col min="13" max="13" width="13.8515625" style="0" customWidth="1"/>
    <col min="15" max="15" width="10.421875" style="0" customWidth="1"/>
  </cols>
  <sheetData>
    <row r="1" spans="1:8" ht="12.75">
      <c r="A1" s="4" t="s">
        <v>92</v>
      </c>
      <c r="C1" t="s">
        <v>19</v>
      </c>
      <c r="H1" s="8" t="s">
        <v>22</v>
      </c>
    </row>
    <row r="2" spans="1:8" ht="12.75">
      <c r="A2" s="5" t="s">
        <v>18</v>
      </c>
      <c r="H2" s="11" t="s">
        <v>32</v>
      </c>
    </row>
    <row r="4" ht="12.75">
      <c r="A4" s="4" t="s">
        <v>14</v>
      </c>
    </row>
    <row r="5" ht="12.75">
      <c r="A5" t="s">
        <v>122</v>
      </c>
    </row>
    <row r="6" ht="12.75">
      <c r="A6" t="s">
        <v>123</v>
      </c>
    </row>
    <row r="7" spans="1:3" ht="12.75">
      <c r="A7" t="s">
        <v>20</v>
      </c>
      <c r="B7" s="7">
        <v>0.1</v>
      </c>
      <c r="C7" t="s">
        <v>98</v>
      </c>
    </row>
    <row r="8" spans="1:3" ht="12.75">
      <c r="A8" t="s">
        <v>100</v>
      </c>
      <c r="B8" s="73"/>
      <c r="C8" s="8">
        <v>3</v>
      </c>
    </row>
    <row r="9" spans="1:3" ht="12.75">
      <c r="A9" t="s">
        <v>101</v>
      </c>
      <c r="B9" s="73"/>
      <c r="C9" t="s">
        <v>105</v>
      </c>
    </row>
    <row r="10" spans="2:3" ht="12.75">
      <c r="B10" s="74" t="s">
        <v>102</v>
      </c>
      <c r="C10" s="8">
        <v>1200</v>
      </c>
    </row>
    <row r="11" spans="2:3" ht="12.75">
      <c r="B11" s="74" t="s">
        <v>103</v>
      </c>
      <c r="C11" s="8">
        <v>26</v>
      </c>
    </row>
    <row r="12" spans="2:3" ht="12.75">
      <c r="B12" s="74" t="s">
        <v>104</v>
      </c>
      <c r="C12" s="8">
        <v>258</v>
      </c>
    </row>
    <row r="13" ht="12.75">
      <c r="B13" s="6"/>
    </row>
    <row r="14" spans="2:14" ht="12.75">
      <c r="B14" t="s">
        <v>69</v>
      </c>
      <c r="C14" t="s">
        <v>70</v>
      </c>
      <c r="D14" t="s">
        <v>72</v>
      </c>
      <c r="G14" s="9" t="s">
        <v>23</v>
      </c>
      <c r="H14" s="10"/>
      <c r="L14" s="9" t="s">
        <v>66</v>
      </c>
      <c r="M14" s="2">
        <f>'lighting calcs'!G16</f>
        <v>714937.5</v>
      </c>
      <c r="N14" t="s">
        <v>67</v>
      </c>
    </row>
    <row r="15" spans="1:14" ht="12.75">
      <c r="A15" t="s">
        <v>68</v>
      </c>
      <c r="B15" s="7">
        <v>65</v>
      </c>
      <c r="C15" s="72">
        <v>80</v>
      </c>
      <c r="D15" s="38">
        <f>B15*C15</f>
        <v>5200</v>
      </c>
      <c r="G15" s="9" t="s">
        <v>24</v>
      </c>
      <c r="H15" s="35">
        <f>G58+O57</f>
        <v>2680.29342512537</v>
      </c>
      <c r="L15" s="9" t="s">
        <v>8</v>
      </c>
      <c r="M15" s="2">
        <f>'lighting calcs'!G23</f>
        <v>480511</v>
      </c>
      <c r="N15" t="s">
        <v>67</v>
      </c>
    </row>
    <row r="16" spans="1:14" ht="12.75">
      <c r="A16" t="s">
        <v>71</v>
      </c>
      <c r="B16" s="7">
        <v>80</v>
      </c>
      <c r="C16" s="72">
        <v>40</v>
      </c>
      <c r="D16" s="38">
        <f>B16*C16</f>
        <v>3200</v>
      </c>
      <c r="G16" s="9" t="s">
        <v>25</v>
      </c>
      <c r="H16" s="7">
        <f>0.1*50</f>
        <v>5</v>
      </c>
      <c r="I16" t="s">
        <v>28</v>
      </c>
      <c r="L16" s="9" t="s">
        <v>31</v>
      </c>
      <c r="M16" s="36">
        <f>M14-M15</f>
        <v>234426.5</v>
      </c>
      <c r="N16" t="s">
        <v>67</v>
      </c>
    </row>
    <row r="17" spans="4:13" ht="12.75">
      <c r="D17" s="39">
        <f>SUM(D15:D16)</f>
        <v>8400</v>
      </c>
      <c r="G17" s="9" t="s">
        <v>26</v>
      </c>
      <c r="H17" s="7">
        <v>200</v>
      </c>
      <c r="I17" t="s">
        <v>29</v>
      </c>
      <c r="L17" s="9" t="s">
        <v>81</v>
      </c>
      <c r="M17" s="41">
        <f>M16/M14</f>
        <v>0.32789789317248014</v>
      </c>
    </row>
    <row r="18" spans="7:13" ht="12.75">
      <c r="G18" s="9" t="s">
        <v>27</v>
      </c>
      <c r="H18" s="7">
        <v>175</v>
      </c>
      <c r="L18" s="9" t="s">
        <v>74</v>
      </c>
      <c r="M18" s="49">
        <f>B7*M16</f>
        <v>23442.65</v>
      </c>
    </row>
    <row r="19" spans="8:13" ht="12.75">
      <c r="H19" s="40">
        <f>SUM(H15:H18)</f>
        <v>3060.29342512537</v>
      </c>
      <c r="L19" s="9" t="s">
        <v>90</v>
      </c>
      <c r="M19" s="53">
        <f>SQRT('lighting calcs'!I16^2+'lighting calcs'!I23^2)/M16</f>
        <v>0.19024974069091907</v>
      </c>
    </row>
    <row r="20" spans="1:13" ht="12.75">
      <c r="A20" s="4" t="s">
        <v>16</v>
      </c>
      <c r="L20" s="9" t="s">
        <v>91</v>
      </c>
      <c r="M20" s="49">
        <f>M19*M18</f>
        <v>4459.958083607974</v>
      </c>
    </row>
    <row r="21" spans="1:13" ht="15.75">
      <c r="A21" t="s">
        <v>34</v>
      </c>
      <c r="C21" s="12" t="s">
        <v>106</v>
      </c>
      <c r="L21" s="9" t="s">
        <v>30</v>
      </c>
      <c r="M21" s="49">
        <f>D17+H19</f>
        <v>11460.29342512537</v>
      </c>
    </row>
    <row r="22" spans="12:13" ht="12.75">
      <c r="L22" s="9" t="s">
        <v>73</v>
      </c>
      <c r="M22" s="37">
        <f>M21/M18</f>
        <v>0.4888650995141492</v>
      </c>
    </row>
    <row r="23" spans="1:3" ht="12.75">
      <c r="A23" t="s">
        <v>35</v>
      </c>
      <c r="C23" s="8">
        <v>1</v>
      </c>
    </row>
    <row r="24" spans="11:13" ht="12.75">
      <c r="K24" s="10"/>
      <c r="L24" s="96"/>
      <c r="M24" s="97"/>
    </row>
    <row r="25" ht="12.75">
      <c r="N25" s="3"/>
    </row>
    <row r="26" ht="12.75">
      <c r="A26" s="4" t="s">
        <v>17</v>
      </c>
    </row>
    <row r="27" spans="1:16" ht="15.75">
      <c r="A27" s="13" t="s">
        <v>80</v>
      </c>
      <c r="B27" s="14"/>
      <c r="C27" s="14"/>
      <c r="D27" s="14"/>
      <c r="E27" s="13" t="s">
        <v>36</v>
      </c>
      <c r="F27" s="14"/>
      <c r="G27" s="14"/>
      <c r="H27" s="14"/>
      <c r="I27" s="13" t="s">
        <v>127</v>
      </c>
      <c r="J27" s="14"/>
      <c r="K27" s="14"/>
      <c r="L27" s="14"/>
      <c r="M27" s="13" t="s">
        <v>128</v>
      </c>
      <c r="N27" s="14"/>
      <c r="O27" s="14"/>
      <c r="P27" s="15"/>
    </row>
    <row r="28" spans="1:16" ht="12.75">
      <c r="A28" s="75" t="s">
        <v>102</v>
      </c>
      <c r="B28" s="17">
        <v>0.123</v>
      </c>
      <c r="C28" s="18" t="s">
        <v>107</v>
      </c>
      <c r="D28" s="18"/>
      <c r="E28" s="75" t="s">
        <v>102</v>
      </c>
      <c r="F28" s="17">
        <v>3840</v>
      </c>
      <c r="G28" s="18" t="s">
        <v>110</v>
      </c>
      <c r="H28" s="18"/>
      <c r="I28" s="75" t="s">
        <v>102</v>
      </c>
      <c r="J28" s="17">
        <v>0.089</v>
      </c>
      <c r="K28" s="18" t="s">
        <v>107</v>
      </c>
      <c r="L28" s="18"/>
      <c r="M28" s="75" t="s">
        <v>102</v>
      </c>
      <c r="N28" s="17">
        <v>3600</v>
      </c>
      <c r="O28" s="18" t="s">
        <v>110</v>
      </c>
      <c r="P28" s="19"/>
    </row>
    <row r="29" spans="1:16" ht="12.75">
      <c r="A29" s="75" t="s">
        <v>103</v>
      </c>
      <c r="B29" s="17">
        <v>0.123</v>
      </c>
      <c r="C29" s="18" t="s">
        <v>107</v>
      </c>
      <c r="D29" s="18"/>
      <c r="E29" s="75" t="s">
        <v>103</v>
      </c>
      <c r="F29" s="17">
        <v>4650</v>
      </c>
      <c r="G29" s="18" t="s">
        <v>110</v>
      </c>
      <c r="H29" s="18"/>
      <c r="I29" s="75" t="s">
        <v>103</v>
      </c>
      <c r="J29" s="17">
        <v>0.089</v>
      </c>
      <c r="K29" s="18" t="s">
        <v>107</v>
      </c>
      <c r="L29" s="18"/>
      <c r="M29" s="75" t="s">
        <v>103</v>
      </c>
      <c r="N29" s="17">
        <v>2800</v>
      </c>
      <c r="O29" s="18" t="s">
        <v>110</v>
      </c>
      <c r="P29" s="19"/>
    </row>
    <row r="30" spans="1:16" ht="12.75">
      <c r="A30" s="75" t="s">
        <v>104</v>
      </c>
      <c r="B30" s="17">
        <v>0.123</v>
      </c>
      <c r="C30" s="18" t="s">
        <v>107</v>
      </c>
      <c r="D30" s="18"/>
      <c r="E30" s="75" t="s">
        <v>104</v>
      </c>
      <c r="F30" s="17">
        <v>4200</v>
      </c>
      <c r="G30" s="18" t="s">
        <v>110</v>
      </c>
      <c r="H30" s="18"/>
      <c r="I30" s="75" t="s">
        <v>104</v>
      </c>
      <c r="J30" s="17">
        <v>0.089</v>
      </c>
      <c r="K30" s="18" t="s">
        <v>107</v>
      </c>
      <c r="L30" s="18"/>
      <c r="M30" s="75" t="s">
        <v>104</v>
      </c>
      <c r="N30" s="17">
        <v>3900</v>
      </c>
      <c r="O30" s="18" t="s">
        <v>110</v>
      </c>
      <c r="P30" s="19"/>
    </row>
    <row r="31" spans="1:16" ht="12.75">
      <c r="A31" s="16" t="s">
        <v>108</v>
      </c>
      <c r="B31" s="76"/>
      <c r="C31" s="17" t="s">
        <v>109</v>
      </c>
      <c r="D31" s="18"/>
      <c r="E31" s="78" t="s">
        <v>111</v>
      </c>
      <c r="F31" s="18"/>
      <c r="G31" s="17" t="s">
        <v>64</v>
      </c>
      <c r="H31" s="17"/>
      <c r="I31" s="63" t="s">
        <v>111</v>
      </c>
      <c r="J31" s="90"/>
      <c r="K31" s="17" t="s">
        <v>109</v>
      </c>
      <c r="L31" s="18"/>
      <c r="M31" s="78" t="s">
        <v>111</v>
      </c>
      <c r="N31" s="18"/>
      <c r="O31" s="17" t="s">
        <v>130</v>
      </c>
      <c r="P31" s="60"/>
    </row>
    <row r="32" spans="1:16" ht="12.75">
      <c r="A32" s="16" t="s">
        <v>41</v>
      </c>
      <c r="B32" s="18"/>
      <c r="C32" s="18"/>
      <c r="D32" s="57">
        <f>C52</f>
        <v>0.030612244897959183</v>
      </c>
      <c r="E32" s="78" t="s">
        <v>112</v>
      </c>
      <c r="F32" s="18"/>
      <c r="G32" s="18"/>
      <c r="H32" s="18"/>
      <c r="I32" s="16" t="s">
        <v>41</v>
      </c>
      <c r="J32" s="20"/>
      <c r="K32" s="18"/>
      <c r="L32" s="57">
        <f>K52</f>
        <v>0.030612244897959183</v>
      </c>
      <c r="M32" s="78" t="s">
        <v>112</v>
      </c>
      <c r="N32" s="18"/>
      <c r="O32" s="18"/>
      <c r="P32" s="19"/>
    </row>
    <row r="33" spans="1:16" ht="12.75">
      <c r="A33" s="79"/>
      <c r="B33" s="22"/>
      <c r="C33" s="92"/>
      <c r="D33" s="22"/>
      <c r="E33" s="75" t="s">
        <v>113</v>
      </c>
      <c r="F33" s="17">
        <v>0.5</v>
      </c>
      <c r="G33" s="18"/>
      <c r="H33" s="18"/>
      <c r="I33" s="79"/>
      <c r="J33" s="33"/>
      <c r="K33" s="92"/>
      <c r="L33" s="33"/>
      <c r="M33" s="75" t="s">
        <v>113</v>
      </c>
      <c r="N33" s="17">
        <v>0.5</v>
      </c>
      <c r="O33" s="18"/>
      <c r="P33" s="19"/>
    </row>
    <row r="34" spans="5:16" ht="12.75">
      <c r="E34" s="75" t="s">
        <v>114</v>
      </c>
      <c r="F34" s="81">
        <v>0.1</v>
      </c>
      <c r="G34" s="18"/>
      <c r="H34" s="19"/>
      <c r="M34" s="75" t="s">
        <v>114</v>
      </c>
      <c r="N34" s="81">
        <v>0.1</v>
      </c>
      <c r="O34" s="18"/>
      <c r="P34" s="19"/>
    </row>
    <row r="35" spans="1:16" ht="12.75">
      <c r="A35" s="18"/>
      <c r="B35" s="18"/>
      <c r="C35" s="18"/>
      <c r="D35" s="30"/>
      <c r="E35" s="75" t="s">
        <v>115</v>
      </c>
      <c r="F35" s="81">
        <v>0.9</v>
      </c>
      <c r="G35" s="18"/>
      <c r="H35" s="19"/>
      <c r="M35" s="75" t="s">
        <v>115</v>
      </c>
      <c r="N35" s="81">
        <v>0.9</v>
      </c>
      <c r="O35" s="18"/>
      <c r="P35" s="19"/>
    </row>
    <row r="36" spans="1:16" ht="12.75">
      <c r="A36" s="18"/>
      <c r="B36" s="18"/>
      <c r="C36" s="18"/>
      <c r="D36" s="30"/>
      <c r="E36" s="75" t="s">
        <v>120</v>
      </c>
      <c r="F36" s="55" t="s">
        <v>116</v>
      </c>
      <c r="G36" s="55" t="s">
        <v>119</v>
      </c>
      <c r="H36" s="19"/>
      <c r="M36" s="75" t="s">
        <v>120</v>
      </c>
      <c r="N36" s="55" t="s">
        <v>116</v>
      </c>
      <c r="O36" s="55" t="s">
        <v>119</v>
      </c>
      <c r="P36" s="19"/>
    </row>
    <row r="37" spans="1:16" ht="12.75">
      <c r="A37" s="18"/>
      <c r="B37" s="18"/>
      <c r="C37" s="18"/>
      <c r="D37" s="30"/>
      <c r="E37" s="77" t="s">
        <v>102</v>
      </c>
      <c r="F37" s="82">
        <f>VLOOKUP($F$35,conf_lim_Z,2)^2*$F$33^2/$F$34^2</f>
        <v>67.64240025</v>
      </c>
      <c r="G37" s="84">
        <f>F37/(1+F37/$C10)</f>
        <v>64.03294831727919</v>
      </c>
      <c r="H37" s="19"/>
      <c r="M37" s="77" t="s">
        <v>102</v>
      </c>
      <c r="N37" s="82">
        <f>VLOOKUP($N$35,conf_lim_Z,2)^2*$N$33^2/$N$34^2</f>
        <v>67.64240025</v>
      </c>
      <c r="O37" s="84">
        <f>N37/(1+N37/$C10)</f>
        <v>64.03294831727919</v>
      </c>
      <c r="P37" s="19"/>
    </row>
    <row r="38" spans="1:16" ht="12.75">
      <c r="A38" s="18"/>
      <c r="B38" s="18"/>
      <c r="C38" s="18"/>
      <c r="D38" s="30"/>
      <c r="E38" s="77" t="s">
        <v>103</v>
      </c>
      <c r="F38" s="82">
        <f>VLOOKUP($F$35,conf_lim_Z,2)^2*$F$33^2/$F$34^2</f>
        <v>67.64240025</v>
      </c>
      <c r="G38" s="84">
        <f>F38/(1+F38/$C11)</f>
        <v>18.781047920650668</v>
      </c>
      <c r="H38" s="19"/>
      <c r="M38" s="77" t="s">
        <v>103</v>
      </c>
      <c r="N38" s="82">
        <f>VLOOKUP($N$35,conf_lim_Z,2)^2*$N$33^2/$N$34^2</f>
        <v>67.64240025</v>
      </c>
      <c r="O38" s="84">
        <f>N38/(1+N38/$C11)</f>
        <v>18.781047920650668</v>
      </c>
      <c r="P38" s="19"/>
    </row>
    <row r="39" spans="1:16" ht="12.75">
      <c r="A39" s="18"/>
      <c r="B39" s="18"/>
      <c r="C39" s="18"/>
      <c r="D39" s="30"/>
      <c r="E39" s="75" t="s">
        <v>104</v>
      </c>
      <c r="F39" s="82">
        <f>VLOOKUP($F$35,conf_lim_Z,2)^2*$F$33^2/$F$34^2</f>
        <v>67.64240025</v>
      </c>
      <c r="G39" s="84">
        <f>F39/(1+F39/$C12)</f>
        <v>53.59172899813436</v>
      </c>
      <c r="H39" s="19"/>
      <c r="M39" s="75" t="s">
        <v>104</v>
      </c>
      <c r="N39" s="82">
        <f>VLOOKUP($N$35,conf_lim_Z,2)^2*$N$33^2/$N$34^2</f>
        <v>67.64240025</v>
      </c>
      <c r="O39" s="84">
        <f>N39/(1+N39/$C12)</f>
        <v>53.59172899813436</v>
      </c>
      <c r="P39" s="19"/>
    </row>
    <row r="40" spans="1:16" ht="12.75">
      <c r="A40" s="18"/>
      <c r="B40" s="18"/>
      <c r="C40" s="18"/>
      <c r="D40" s="30"/>
      <c r="E40" s="93" t="s">
        <v>132</v>
      </c>
      <c r="F40" s="82"/>
      <c r="G40" s="99" t="s">
        <v>136</v>
      </c>
      <c r="H40" s="94" t="s">
        <v>137</v>
      </c>
      <c r="M40" s="93" t="s">
        <v>132</v>
      </c>
      <c r="N40" s="82"/>
      <c r="O40" s="99" t="s">
        <v>136</v>
      </c>
      <c r="P40" s="94" t="s">
        <v>137</v>
      </c>
    </row>
    <row r="41" spans="1:16" ht="12.75">
      <c r="A41" s="18"/>
      <c r="B41" s="18"/>
      <c r="C41" s="18"/>
      <c r="D41" s="30"/>
      <c r="E41" s="75" t="s">
        <v>102</v>
      </c>
      <c r="F41" s="83">
        <f>(($F$33^2/G37)*(1-G37/$C$10))^0.5</f>
        <v>0.06079396923825157</v>
      </c>
      <c r="G41" s="107">
        <f>F41*VLOOKUP($F$35,conf_lim_Z,2)/1.96</f>
        <v>0.05102040816326531</v>
      </c>
      <c r="H41" s="105">
        <f>(G41^2+$G$53^2)^0.5</f>
        <v>0.05704255044642321</v>
      </c>
      <c r="M41" s="75" t="s">
        <v>102</v>
      </c>
      <c r="N41" s="83">
        <f>(($N$33^2/O37)*(1-O37/$C$10))^0.5</f>
        <v>0.06079396923825157</v>
      </c>
      <c r="O41" s="85">
        <f>N41*VLOOKUP($N$35,conf_lim_Z,2)/1.96</f>
        <v>0.05102040816326531</v>
      </c>
      <c r="P41" s="105">
        <f>(O41^2+$O$52^2)^0.5</f>
        <v>0.05102040816326531</v>
      </c>
    </row>
    <row r="42" spans="1:16" ht="12.75">
      <c r="A42" s="18"/>
      <c r="B42" s="18"/>
      <c r="C42" s="18"/>
      <c r="D42" s="30"/>
      <c r="E42" s="75" t="s">
        <v>103</v>
      </c>
      <c r="F42" s="83">
        <f>(($F$33^2/G38)*(1-G38/$C$10))^0.5</f>
        <v>0.11446815267921798</v>
      </c>
      <c r="G42" s="107">
        <f>F42*VLOOKUP($F$35,conf_lim_Z,2)/1.96</f>
        <v>0.09606564507247228</v>
      </c>
      <c r="H42" s="105">
        <f>(G42^2+$G$53^2)^0.5</f>
        <v>0.09939506363736966</v>
      </c>
      <c r="M42" s="75" t="s">
        <v>103</v>
      </c>
      <c r="N42" s="83">
        <f>(($N$33^2/O38)*(1-O38/$C$10))^0.5</f>
        <v>0.11446815267921798</v>
      </c>
      <c r="O42" s="85">
        <f>N42*VLOOKUP($N$35,conf_lim_Z,2)/1.96</f>
        <v>0.09606564507247228</v>
      </c>
      <c r="P42" s="105">
        <f>(O42^2+$O$52^2)^0.5</f>
        <v>0.09606564507247228</v>
      </c>
    </row>
    <row r="43" spans="1:16" ht="12.75">
      <c r="A43" s="18"/>
      <c r="B43" s="18"/>
      <c r="C43" s="18"/>
      <c r="D43" s="30"/>
      <c r="E43" s="89" t="s">
        <v>104</v>
      </c>
      <c r="F43" s="100">
        <f>(($F$33^2/G39)*(1-G39/$C$10))^0.5</f>
        <v>0.06675751351323804</v>
      </c>
      <c r="G43" s="108">
        <f>F43*VLOOKUP($F$35,conf_lim_Z,2)/1.96</f>
        <v>0.056025221417308806</v>
      </c>
      <c r="H43" s="106">
        <f>(G43^2+$G$53^2)^0.5</f>
        <v>0.06155969417683152</v>
      </c>
      <c r="M43" s="89" t="s">
        <v>104</v>
      </c>
      <c r="N43" s="100">
        <f>(($N$33^2/O39)*(1-O39/$C$10))^0.5</f>
        <v>0.06675751351323804</v>
      </c>
      <c r="O43" s="95">
        <f>N43*VLOOKUP($N$35,conf_lim_Z,2)/1.96</f>
        <v>0.056025221417308806</v>
      </c>
      <c r="P43" s="106">
        <f>(O43^2+$O$52^2)^0.5</f>
        <v>0.056025221417308806</v>
      </c>
    </row>
    <row r="44" spans="4:8" ht="12.75">
      <c r="D44" s="10"/>
      <c r="E44" s="55"/>
      <c r="F44" s="20"/>
      <c r="H44" s="10"/>
    </row>
    <row r="45" spans="1:7" ht="12.75">
      <c r="A45" s="4" t="s">
        <v>42</v>
      </c>
      <c r="E45" s="10"/>
      <c r="F45" s="10"/>
      <c r="G45" s="10"/>
    </row>
    <row r="46" spans="1:16" ht="15.75">
      <c r="A46" s="13" t="s">
        <v>80</v>
      </c>
      <c r="B46" s="14"/>
      <c r="C46" s="14"/>
      <c r="D46" s="14"/>
      <c r="E46" s="13" t="s">
        <v>36</v>
      </c>
      <c r="F46" s="14"/>
      <c r="G46" s="14"/>
      <c r="H46" s="14"/>
      <c r="I46" s="13" t="s">
        <v>127</v>
      </c>
      <c r="J46" s="14"/>
      <c r="K46" s="14"/>
      <c r="L46" s="14"/>
      <c r="M46" s="13" t="s">
        <v>128</v>
      </c>
      <c r="N46" s="14"/>
      <c r="O46" s="14"/>
      <c r="P46" s="15"/>
    </row>
    <row r="47" spans="1:16" ht="12.75">
      <c r="A47" s="16" t="s">
        <v>44</v>
      </c>
      <c r="B47" s="18"/>
      <c r="C47" s="18"/>
      <c r="D47" s="18"/>
      <c r="E47" s="16" t="s">
        <v>44</v>
      </c>
      <c r="F47" s="18"/>
      <c r="G47" s="18"/>
      <c r="H47" s="18"/>
      <c r="I47" s="16" t="s">
        <v>44</v>
      </c>
      <c r="J47" s="18"/>
      <c r="K47" s="18"/>
      <c r="L47" s="18"/>
      <c r="M47" s="16" t="s">
        <v>44</v>
      </c>
      <c r="N47" s="18"/>
      <c r="O47" s="18"/>
      <c r="P47" s="19"/>
    </row>
    <row r="48" spans="1:16" ht="12.75">
      <c r="A48" s="16" t="s">
        <v>51</v>
      </c>
      <c r="B48" s="18"/>
      <c r="C48" s="18"/>
      <c r="D48" s="18"/>
      <c r="E48" s="26" t="s">
        <v>121</v>
      </c>
      <c r="F48" s="18"/>
      <c r="G48" s="18"/>
      <c r="H48" s="18"/>
      <c r="I48" s="16" t="s">
        <v>51</v>
      </c>
      <c r="J48" s="18"/>
      <c r="K48" s="18"/>
      <c r="L48" s="18"/>
      <c r="M48" s="26" t="s">
        <v>131</v>
      </c>
      <c r="N48" s="18"/>
      <c r="O48" s="18"/>
      <c r="P48" s="19"/>
    </row>
    <row r="49" spans="1:16" ht="12.75">
      <c r="A49" s="16" t="s">
        <v>43</v>
      </c>
      <c r="B49" s="18"/>
      <c r="C49" s="18"/>
      <c r="D49" s="18"/>
      <c r="E49" s="16" t="s">
        <v>43</v>
      </c>
      <c r="F49" s="18"/>
      <c r="G49" s="18"/>
      <c r="H49" s="18"/>
      <c r="I49" s="16" t="s">
        <v>43</v>
      </c>
      <c r="J49" s="18"/>
      <c r="K49" s="18"/>
      <c r="L49" s="18"/>
      <c r="M49" s="16" t="s">
        <v>43</v>
      </c>
      <c r="N49" s="18"/>
      <c r="O49" s="18"/>
      <c r="P49" s="19"/>
    </row>
    <row r="50" spans="1:16" ht="15.75">
      <c r="A50" s="16" t="s">
        <v>52</v>
      </c>
      <c r="B50" s="18" t="s">
        <v>129</v>
      </c>
      <c r="C50" s="27">
        <v>0.06</v>
      </c>
      <c r="D50" s="18"/>
      <c r="E50" s="63" t="s">
        <v>45</v>
      </c>
      <c r="F50" s="18"/>
      <c r="G50" s="85">
        <v>0</v>
      </c>
      <c r="H50" s="18"/>
      <c r="I50" s="16" t="s">
        <v>52</v>
      </c>
      <c r="J50" s="18" t="s">
        <v>129</v>
      </c>
      <c r="K50" s="27">
        <v>0.06</v>
      </c>
      <c r="L50" s="56"/>
      <c r="M50" s="63" t="s">
        <v>45</v>
      </c>
      <c r="N50" s="18"/>
      <c r="O50" s="85">
        <v>0</v>
      </c>
      <c r="P50" s="19"/>
    </row>
    <row r="51" spans="1:16" ht="15.75">
      <c r="A51" s="16"/>
      <c r="B51" s="18"/>
      <c r="C51" s="31"/>
      <c r="D51" s="18"/>
      <c r="E51" s="63" t="s">
        <v>46</v>
      </c>
      <c r="F51" s="18"/>
      <c r="G51" s="85">
        <v>0</v>
      </c>
      <c r="H51" s="18"/>
      <c r="I51" s="34"/>
      <c r="J51" s="18"/>
      <c r="K51" s="18"/>
      <c r="L51" s="56"/>
      <c r="M51" s="63" t="s">
        <v>46</v>
      </c>
      <c r="N51" s="18"/>
      <c r="O51" s="85">
        <v>0</v>
      </c>
      <c r="P51" s="19"/>
    </row>
    <row r="52" spans="1:16" ht="15.75">
      <c r="A52" s="16" t="s">
        <v>135</v>
      </c>
      <c r="B52" s="18"/>
      <c r="C52" s="27">
        <f>C50/1.96</f>
        <v>0.030612244897959183</v>
      </c>
      <c r="D52" s="18"/>
      <c r="E52" s="63" t="s">
        <v>124</v>
      </c>
      <c r="F52" s="18"/>
      <c r="G52" s="85">
        <v>0.05</v>
      </c>
      <c r="H52" s="18"/>
      <c r="I52" s="16" t="s">
        <v>135</v>
      </c>
      <c r="J52" s="18"/>
      <c r="K52" s="28">
        <f>K50/1.96</f>
        <v>0.030612244897959183</v>
      </c>
      <c r="L52" s="18"/>
      <c r="M52" s="16" t="s">
        <v>135</v>
      </c>
      <c r="N52" s="18"/>
      <c r="O52" s="28">
        <f>((O50^2+O51^2)^0.5)/1.96</f>
        <v>0</v>
      </c>
      <c r="P52" s="19"/>
    </row>
    <row r="53" spans="1:16" ht="12.75">
      <c r="A53" s="16" t="s">
        <v>95</v>
      </c>
      <c r="B53" s="18"/>
      <c r="C53" s="48">
        <v>0</v>
      </c>
      <c r="D53" s="18"/>
      <c r="E53" s="16" t="s">
        <v>135</v>
      </c>
      <c r="F53" s="18"/>
      <c r="G53" s="57">
        <f>((G50^2+G51^2)^0.5+G52)/1.96</f>
        <v>0.025510204081632654</v>
      </c>
      <c r="H53" s="18"/>
      <c r="I53" s="16"/>
      <c r="J53" s="18"/>
      <c r="K53" s="18"/>
      <c r="L53" s="30"/>
      <c r="M53" s="16"/>
      <c r="N53" s="18"/>
      <c r="O53" s="18"/>
      <c r="P53" s="19"/>
    </row>
    <row r="54" spans="1:16" ht="12.75">
      <c r="A54" s="16" t="s">
        <v>94</v>
      </c>
      <c r="B54" s="18"/>
      <c r="C54" s="91">
        <v>0</v>
      </c>
      <c r="D54" s="18"/>
      <c r="E54" s="16"/>
      <c r="F54" s="18"/>
      <c r="G54" s="18"/>
      <c r="H54" s="18"/>
      <c r="I54" s="63" t="s">
        <v>95</v>
      </c>
      <c r="J54" s="18"/>
      <c r="K54" s="48">
        <v>0</v>
      </c>
      <c r="L54" s="18"/>
      <c r="M54" s="63" t="s">
        <v>95</v>
      </c>
      <c r="N54" s="18"/>
      <c r="O54" s="86">
        <v>210</v>
      </c>
      <c r="P54" s="19"/>
    </row>
    <row r="55" spans="1:16" ht="12.75">
      <c r="A55" s="21" t="s">
        <v>48</v>
      </c>
      <c r="B55" s="22"/>
      <c r="C55" s="68">
        <f>C53*C54</f>
        <v>0</v>
      </c>
      <c r="D55" s="22"/>
      <c r="E55" s="63" t="s">
        <v>95</v>
      </c>
      <c r="F55" s="18"/>
      <c r="G55" s="86">
        <v>69</v>
      </c>
      <c r="H55" s="18"/>
      <c r="I55" s="16" t="s">
        <v>94</v>
      </c>
      <c r="J55" s="18"/>
      <c r="K55" s="91">
        <v>0</v>
      </c>
      <c r="L55" s="18"/>
      <c r="M55" s="63" t="s">
        <v>94</v>
      </c>
      <c r="N55" s="18"/>
      <c r="O55" s="28">
        <v>0.1</v>
      </c>
      <c r="P55" s="19"/>
    </row>
    <row r="56" spans="5:16" ht="12.75">
      <c r="E56" s="63" t="s">
        <v>94</v>
      </c>
      <c r="F56" s="18"/>
      <c r="G56" s="28">
        <v>0.1</v>
      </c>
      <c r="H56" s="18"/>
      <c r="I56" s="21" t="s">
        <v>48</v>
      </c>
      <c r="J56" s="22"/>
      <c r="K56" s="68">
        <f>K54*K55</f>
        <v>0</v>
      </c>
      <c r="L56" s="22"/>
      <c r="M56" s="63" t="s">
        <v>125</v>
      </c>
      <c r="N56" s="18"/>
      <c r="O56" s="48">
        <f>O54*O55</f>
        <v>21</v>
      </c>
      <c r="P56" s="19"/>
    </row>
    <row r="57" spans="5:16" ht="12.75">
      <c r="E57" s="63" t="s">
        <v>125</v>
      </c>
      <c r="F57" s="18"/>
      <c r="G57" s="48">
        <f>G55*G56</f>
        <v>6.9</v>
      </c>
      <c r="H57" s="19"/>
      <c r="M57" s="87" t="s">
        <v>126</v>
      </c>
      <c r="N57" s="22"/>
      <c r="O57" s="88">
        <f>SUM(O36:O38)*O56</f>
        <v>1739.093920996527</v>
      </c>
      <c r="P57" s="80"/>
    </row>
    <row r="58" spans="5:8" ht="12.75">
      <c r="E58" s="87" t="s">
        <v>126</v>
      </c>
      <c r="F58" s="22"/>
      <c r="G58" s="88">
        <f>SUM(G37:G39)*G57</f>
        <v>941.199504128843</v>
      </c>
      <c r="H58" s="80"/>
    </row>
  </sheetData>
  <printOptions/>
  <pageMargins left="0.75" right="0.75" top="1" bottom="1" header="0.5" footer="0.5"/>
  <pageSetup fitToHeight="1" fitToWidth="1" horizontalDpi="300" verticalDpi="3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5" max="5" width="11.28125" style="0" bestFit="1" customWidth="1"/>
    <col min="7" max="7" width="11.28125" style="0" bestFit="1" customWidth="1"/>
    <col min="9" max="9" width="10.28125" style="0" bestFit="1" customWidth="1"/>
  </cols>
  <sheetData>
    <row r="1" spans="1:2" ht="12.75">
      <c r="A1" s="13" t="s">
        <v>117</v>
      </c>
      <c r="B1" s="15"/>
    </row>
    <row r="2" spans="1:2" ht="12.75">
      <c r="A2" s="16" t="s">
        <v>115</v>
      </c>
      <c r="B2" s="19" t="s">
        <v>118</v>
      </c>
    </row>
    <row r="3" spans="1:2" ht="12.75">
      <c r="A3" s="16">
        <v>0.5</v>
      </c>
      <c r="B3" s="19">
        <v>0.6745</v>
      </c>
    </row>
    <row r="4" spans="1:2" ht="12.75">
      <c r="A4" s="16">
        <v>0.68</v>
      </c>
      <c r="B4" s="19">
        <v>1</v>
      </c>
    </row>
    <row r="5" spans="1:2" ht="12.75">
      <c r="A5" s="16">
        <v>0.8</v>
      </c>
      <c r="B5" s="19">
        <v>1.2816</v>
      </c>
    </row>
    <row r="6" spans="1:2" ht="12.75">
      <c r="A6" s="16">
        <v>0.9</v>
      </c>
      <c r="B6" s="19">
        <v>1.6449</v>
      </c>
    </row>
    <row r="7" spans="1:2" ht="12.75">
      <c r="A7" s="16">
        <v>0.95</v>
      </c>
      <c r="B7" s="19">
        <v>1.96</v>
      </c>
    </row>
    <row r="8" spans="1:2" ht="12.75">
      <c r="A8" s="21">
        <v>0.98</v>
      </c>
      <c r="B8" s="80">
        <v>2.5758</v>
      </c>
    </row>
    <row r="10" ht="12.75">
      <c r="A10" t="s">
        <v>144</v>
      </c>
    </row>
    <row r="11" ht="12.75">
      <c r="A11" t="s">
        <v>66</v>
      </c>
    </row>
    <row r="12" spans="1:9" ht="12.75">
      <c r="A12" t="s">
        <v>133</v>
      </c>
      <c r="B12" t="s">
        <v>134</v>
      </c>
      <c r="C12" t="s">
        <v>3</v>
      </c>
      <c r="D12" s="103" t="s">
        <v>138</v>
      </c>
      <c r="E12" t="s">
        <v>4</v>
      </c>
      <c r="F12" s="103" t="s">
        <v>139</v>
      </c>
      <c r="G12" t="s">
        <v>67</v>
      </c>
      <c r="H12" s="103" t="s">
        <v>141</v>
      </c>
      <c r="I12" s="103" t="s">
        <v>140</v>
      </c>
    </row>
    <row r="13" spans="1:9" ht="12.75">
      <c r="A13" s="9" t="s">
        <v>102</v>
      </c>
      <c r="B13">
        <f>'lighting - base case'!C10</f>
        <v>1200</v>
      </c>
      <c r="C13">
        <f>'lighting - base case'!B28</f>
        <v>0.123</v>
      </c>
      <c r="D13" s="104">
        <f>C13*'lighting - base case'!$D$32</f>
        <v>0.0037653061224489793</v>
      </c>
      <c r="E13">
        <f>'lighting - base case'!F28</f>
        <v>3840</v>
      </c>
      <c r="F13" s="3">
        <f>E13*'lighting - base case'!$H41</f>
        <v>219.0433937142651</v>
      </c>
      <c r="G13" s="2">
        <f>B13*C13*E13</f>
        <v>566784</v>
      </c>
      <c r="H13" s="41">
        <f>('lighting - base case'!$D$32^2+'lighting - base case'!$H41^2)^0.5</f>
        <v>0.06473764051249756</v>
      </c>
      <c r="I13" s="98">
        <f>G13*H13</f>
        <v>36692.258840235416</v>
      </c>
    </row>
    <row r="14" spans="1:9" ht="12.75">
      <c r="A14" s="9" t="s">
        <v>103</v>
      </c>
      <c r="B14">
        <f>'lighting - base case'!C11</f>
        <v>26</v>
      </c>
      <c r="C14">
        <f>'lighting - base case'!B29</f>
        <v>0.123</v>
      </c>
      <c r="D14" s="104">
        <f>C14*'lighting - base case'!$D$32</f>
        <v>0.0037653061224489793</v>
      </c>
      <c r="E14">
        <f>'lighting - base case'!F29</f>
        <v>4650</v>
      </c>
      <c r="F14" s="3">
        <f>E14*'lighting - base case'!$H42</f>
        <v>462.18704591376894</v>
      </c>
      <c r="G14" s="2">
        <f>B14*C14*E14</f>
        <v>14870.699999999999</v>
      </c>
      <c r="H14" s="41">
        <f>('lighting - base case'!$D$32^2+'lighting - base case'!$H42^2)^0.5</f>
        <v>0.10400234715221283</v>
      </c>
      <c r="I14" s="98">
        <f>G14*H14</f>
        <v>1546.5877037964112</v>
      </c>
    </row>
    <row r="15" spans="1:9" ht="12.75">
      <c r="A15" s="9" t="s">
        <v>104</v>
      </c>
      <c r="B15">
        <f>'lighting - base case'!C12</f>
        <v>258</v>
      </c>
      <c r="C15">
        <f>'lighting - base case'!B30</f>
        <v>0.123</v>
      </c>
      <c r="D15" s="104">
        <f>C15*'lighting - base case'!$D$32</f>
        <v>0.0037653061224489793</v>
      </c>
      <c r="E15">
        <f>'lighting - base case'!F30</f>
        <v>4200</v>
      </c>
      <c r="F15" s="3">
        <f>E15*'lighting - base case'!$H43</f>
        <v>258.5507155426924</v>
      </c>
      <c r="G15" s="2">
        <f>B15*C15*E15</f>
        <v>133282.8</v>
      </c>
      <c r="H15" s="41">
        <f>('lighting - base case'!$D$32^2+'lighting - base case'!$H43^2)^0.5</f>
        <v>0.06875103988186398</v>
      </c>
      <c r="I15" s="98">
        <f>G15*H15</f>
        <v>9163.3310983665</v>
      </c>
    </row>
    <row r="16" spans="7:9" ht="12.75">
      <c r="G16" s="98">
        <f>SUM(G13:G15)</f>
        <v>714937.5</v>
      </c>
      <c r="H16" s="9" t="s">
        <v>5</v>
      </c>
      <c r="I16" s="2">
        <f>(I13^2+I14^2+I15^2)^0.5</f>
        <v>37850.765238534594</v>
      </c>
    </row>
    <row r="17" spans="8:9" ht="12.75">
      <c r="H17" s="9" t="s">
        <v>142</v>
      </c>
      <c r="I17" s="41">
        <f>I16/G16</f>
        <v>0.052942761064477095</v>
      </c>
    </row>
    <row r="18" ht="12.75">
      <c r="A18" s="9" t="s">
        <v>8</v>
      </c>
    </row>
    <row r="19" spans="1:9" ht="12.75">
      <c r="A19" t="s">
        <v>133</v>
      </c>
      <c r="B19" t="s">
        <v>134</v>
      </c>
      <c r="C19" t="s">
        <v>3</v>
      </c>
      <c r="D19" s="103" t="s">
        <v>138</v>
      </c>
      <c r="E19" t="s">
        <v>4</v>
      </c>
      <c r="F19" s="103" t="s">
        <v>139</v>
      </c>
      <c r="G19" t="s">
        <v>67</v>
      </c>
      <c r="H19" s="103" t="s">
        <v>141</v>
      </c>
      <c r="I19" s="103" t="s">
        <v>140</v>
      </c>
    </row>
    <row r="20" spans="1:9" ht="12.75">
      <c r="A20" s="9" t="s">
        <v>102</v>
      </c>
      <c r="B20">
        <f>'lighting - base case'!C10</f>
        <v>1200</v>
      </c>
      <c r="C20">
        <f>'lighting - base case'!J28</f>
        <v>0.089</v>
      </c>
      <c r="D20" s="104">
        <f>C20*'lighting - base case'!$L$32</f>
        <v>0.0027244897959183673</v>
      </c>
      <c r="E20">
        <f>'lighting - base case'!N28</f>
        <v>3600</v>
      </c>
      <c r="F20" s="3">
        <f>E20*'lighting - base case'!P41</f>
        <v>183.67346938775512</v>
      </c>
      <c r="G20" s="2">
        <f>B20*C20*E20</f>
        <v>384480</v>
      </c>
      <c r="H20" s="41">
        <f>('lighting - base case'!$L$32^2+'lighting - base case'!P41^2)^0.5</f>
        <v>0.0594995091310745</v>
      </c>
      <c r="I20" s="98">
        <f>G20*H20</f>
        <v>22876.371270715525</v>
      </c>
    </row>
    <row r="21" spans="1:9" ht="12.75">
      <c r="A21" s="9" t="s">
        <v>103</v>
      </c>
      <c r="B21">
        <f>'lighting - base case'!C11</f>
        <v>26</v>
      </c>
      <c r="C21">
        <f>'lighting - base case'!J29</f>
        <v>0.089</v>
      </c>
      <c r="D21" s="104">
        <f>C21*'lighting - base case'!$L$32</f>
        <v>0.0027244897959183673</v>
      </c>
      <c r="E21">
        <f>'lighting - base case'!N29</f>
        <v>2800</v>
      </c>
      <c r="F21" s="3">
        <f>E21*'lighting - base case'!P42</f>
        <v>268.9838062029224</v>
      </c>
      <c r="G21" s="2">
        <f>B21*C21*E21</f>
        <v>6479.2</v>
      </c>
      <c r="H21" s="41">
        <f>('lighting - base case'!$L$32^2+'lighting - base case'!P42^2)^0.5</f>
        <v>0.10082518386238057</v>
      </c>
      <c r="I21" s="98">
        <f>G21*H21</f>
        <v>653.2665312811362</v>
      </c>
    </row>
    <row r="22" spans="1:9" ht="12.75">
      <c r="A22" s="9" t="s">
        <v>104</v>
      </c>
      <c r="B22">
        <f>'lighting - base case'!C12</f>
        <v>258</v>
      </c>
      <c r="C22">
        <f>'lighting - base case'!J30</f>
        <v>0.089</v>
      </c>
      <c r="D22" s="104">
        <f>C22*'lighting - base case'!$L$32</f>
        <v>0.0027244897959183673</v>
      </c>
      <c r="E22">
        <f>'lighting - base case'!N30</f>
        <v>3900</v>
      </c>
      <c r="F22" s="3">
        <f>E22*'lighting - base case'!P43</f>
        <v>218.49836352750435</v>
      </c>
      <c r="G22" s="2">
        <f>B22*C22*E22</f>
        <v>89551.8</v>
      </c>
      <c r="H22" s="41">
        <f>('lighting - base case'!$L$32^2+'lighting - base case'!P43^2)^0.5</f>
        <v>0.06384304952421294</v>
      </c>
      <c r="I22" s="98">
        <f>G22*H22</f>
        <v>5717.2600023824125</v>
      </c>
    </row>
    <row r="23" spans="7:9" ht="12.75">
      <c r="G23" s="98">
        <f>SUM(G20:G22)</f>
        <v>480511</v>
      </c>
      <c r="H23" s="9" t="s">
        <v>5</v>
      </c>
      <c r="I23" s="2">
        <f>(I20^2+I21^2+I22^2)^0.5</f>
        <v>23589.02672030689</v>
      </c>
    </row>
    <row r="24" spans="8:9" ht="12.75">
      <c r="H24" s="9" t="s">
        <v>142</v>
      </c>
      <c r="I24" s="41">
        <f>I23/G23</f>
        <v>0.049091543628151886</v>
      </c>
    </row>
    <row r="26" ht="12.75">
      <c r="A26" t="s">
        <v>145</v>
      </c>
    </row>
    <row r="27" ht="12.75">
      <c r="A27" t="s">
        <v>66</v>
      </c>
    </row>
    <row r="28" spans="1:9" ht="12.75">
      <c r="A28" t="s">
        <v>133</v>
      </c>
      <c r="B28" t="s">
        <v>134</v>
      </c>
      <c r="C28" t="s">
        <v>3</v>
      </c>
      <c r="D28" s="103" t="s">
        <v>138</v>
      </c>
      <c r="E28" t="s">
        <v>4</v>
      </c>
      <c r="F28" s="103" t="s">
        <v>139</v>
      </c>
      <c r="G28" t="s">
        <v>67</v>
      </c>
      <c r="H28" s="103" t="s">
        <v>141</v>
      </c>
      <c r="I28" s="103" t="s">
        <v>140</v>
      </c>
    </row>
    <row r="29" spans="1:9" ht="12.75">
      <c r="A29" s="9" t="s">
        <v>102</v>
      </c>
      <c r="B29">
        <f>'lighting - plan #1'!C10</f>
        <v>1200</v>
      </c>
      <c r="C29">
        <f>'lighting - plan #1'!B28</f>
        <v>0.123</v>
      </c>
      <c r="D29" s="104">
        <f>C29*'lighting - plan #1'!$D$32</f>
        <v>0.0037653061224489793</v>
      </c>
      <c r="E29">
        <f>'lighting - plan #1'!F28</f>
        <v>3840</v>
      </c>
      <c r="F29" s="3">
        <f>E29*'lighting - plan #1'!H41</f>
        <v>403.8960612849953</v>
      </c>
      <c r="G29" s="2">
        <f>B29*C29*E29</f>
        <v>566784</v>
      </c>
      <c r="H29" s="41">
        <f>('lighting - plan #1'!$D$32^2+'lighting - plan #1'!H41^2)^0.5</f>
        <v>0.10954546200808107</v>
      </c>
      <c r="I29" s="98">
        <f>G29*H29</f>
        <v>62088.61513878822</v>
      </c>
    </row>
    <row r="30" spans="1:9" ht="12.75">
      <c r="A30" s="9" t="s">
        <v>103</v>
      </c>
      <c r="B30">
        <f>'lighting - plan #1'!C11</f>
        <v>26</v>
      </c>
      <c r="C30">
        <f>'lighting - plan #1'!B29</f>
        <v>0.123</v>
      </c>
      <c r="D30" s="104">
        <f>C30*'lighting - plan #1'!$D$32</f>
        <v>0.0037653061224489793</v>
      </c>
      <c r="E30">
        <f>'lighting - plan #1'!F29</f>
        <v>4650</v>
      </c>
      <c r="F30" s="3">
        <f>E30*'lighting - plan #1'!H42</f>
        <v>571.1203094871026</v>
      </c>
      <c r="G30" s="2">
        <f>B30*C30*E30</f>
        <v>14870.699999999999</v>
      </c>
      <c r="H30" s="41">
        <f>('lighting - plan #1'!$D$32^2+'lighting - plan #1'!H42^2)^0.5</f>
        <v>0.12657901907391503</v>
      </c>
      <c r="I30" s="98">
        <f>G30*H30</f>
        <v>1882.318618942468</v>
      </c>
    </row>
    <row r="31" spans="1:9" ht="12.75">
      <c r="A31" s="9" t="s">
        <v>104</v>
      </c>
      <c r="B31">
        <f>'lighting - plan #1'!C12</f>
        <v>258</v>
      </c>
      <c r="C31">
        <f>'lighting - plan #1'!B30</f>
        <v>0.123</v>
      </c>
      <c r="D31" s="104">
        <f>C31*'lighting - plan #1'!$D$32</f>
        <v>0.0037653061224489793</v>
      </c>
      <c r="E31">
        <f>'lighting - plan #1'!F30</f>
        <v>4200</v>
      </c>
      <c r="F31" s="3">
        <f>E31*'lighting - plan #1'!H43</f>
        <v>448.20755859996547</v>
      </c>
      <c r="G31" s="2">
        <f>B31*C31*E31</f>
        <v>133282.8</v>
      </c>
      <c r="H31" s="41">
        <f>('lighting - plan #1'!$D$32^2+'lighting - plan #1'!H43^2)^0.5</f>
        <v>0.11101996404577688</v>
      </c>
      <c r="I31" s="98">
        <f>G31*H31</f>
        <v>14797.051663920469</v>
      </c>
    </row>
    <row r="32" spans="7:9" ht="12.75">
      <c r="G32" s="98">
        <f>SUM(G29:G31)</f>
        <v>714937.5</v>
      </c>
      <c r="H32" s="9" t="s">
        <v>5</v>
      </c>
      <c r="I32" s="98">
        <f>SUM(I29:I31)</f>
        <v>78767.98542165116</v>
      </c>
    </row>
    <row r="33" spans="8:9" ht="12.75">
      <c r="H33" s="9" t="s">
        <v>142</v>
      </c>
      <c r="I33" s="41">
        <f>I32/G32</f>
        <v>0.1101746452265424</v>
      </c>
    </row>
    <row r="34" ht="12.75">
      <c r="A34" s="9" t="s">
        <v>8</v>
      </c>
    </row>
    <row r="35" spans="1:9" ht="12.75">
      <c r="A35" t="s">
        <v>133</v>
      </c>
      <c r="B35" t="s">
        <v>134</v>
      </c>
      <c r="C35" t="s">
        <v>3</v>
      </c>
      <c r="D35" s="103" t="s">
        <v>138</v>
      </c>
      <c r="E35" t="s">
        <v>4</v>
      </c>
      <c r="F35" s="103" t="s">
        <v>139</v>
      </c>
      <c r="G35" t="s">
        <v>67</v>
      </c>
      <c r="H35" s="103" t="s">
        <v>141</v>
      </c>
      <c r="I35" s="103" t="s">
        <v>140</v>
      </c>
    </row>
    <row r="36" spans="1:9" ht="12.75">
      <c r="A36" s="9" t="s">
        <v>102</v>
      </c>
      <c r="B36">
        <f>'lighting - plan #1'!C10</f>
        <v>1200</v>
      </c>
      <c r="C36">
        <f>'lighting - plan #1'!J28</f>
        <v>0.089</v>
      </c>
      <c r="D36" s="104">
        <f>C36*'lighting - plan #1'!$L$32</f>
        <v>0.0027244897959183673</v>
      </c>
      <c r="E36">
        <f>'lighting - plan #1'!N28</f>
        <v>3600</v>
      </c>
      <c r="F36" s="3">
        <f>E36*'lighting - plan #1'!P41</f>
        <v>367.34693877551024</v>
      </c>
      <c r="G36" s="2">
        <f>B36*C36*E36</f>
        <v>384480</v>
      </c>
      <c r="H36" s="41">
        <f>('lighting - plan #1'!L32^2+'lighting - plan #1'!P41^2)^0.5</f>
        <v>0.10653373988684235</v>
      </c>
      <c r="I36" s="98">
        <f>G36*H36</f>
        <v>40960.092311693144</v>
      </c>
    </row>
    <row r="37" spans="1:9" ht="12.75">
      <c r="A37" s="9" t="s">
        <v>103</v>
      </c>
      <c r="B37">
        <f>'lighting - plan #1'!C11</f>
        <v>26</v>
      </c>
      <c r="C37">
        <f>'lighting - plan #1'!J29</f>
        <v>0.089</v>
      </c>
      <c r="D37" s="104">
        <f>C37*'lighting - plan #1'!$L$32</f>
        <v>0.0027244897959183673</v>
      </c>
      <c r="E37">
        <f>'lighting - plan #1'!N29</f>
        <v>2800</v>
      </c>
      <c r="F37" s="3">
        <f>E37*'lighting - plan #1'!P42</f>
        <v>336.4007212755723</v>
      </c>
      <c r="G37" s="2">
        <f>B37*C37*E37</f>
        <v>6479.2</v>
      </c>
      <c r="H37" s="41">
        <f>('lighting - plan #1'!L33^2+'lighting - plan #1'!P42^2)^0.5</f>
        <v>0.12014311474127583</v>
      </c>
      <c r="I37" s="98">
        <f>G37*H37</f>
        <v>778.4312690316743</v>
      </c>
    </row>
    <row r="38" spans="1:9" ht="12.75">
      <c r="A38" s="9" t="s">
        <v>104</v>
      </c>
      <c r="B38">
        <f>'lighting - plan #1'!C12</f>
        <v>258</v>
      </c>
      <c r="C38">
        <f>'lighting - plan #1'!J30</f>
        <v>0.089</v>
      </c>
      <c r="D38" s="104">
        <f>C38*'lighting - plan #1'!$L$32</f>
        <v>0.0027244897959183673</v>
      </c>
      <c r="E38">
        <f>'lighting - plan #1'!N30</f>
        <v>3900</v>
      </c>
      <c r="F38" s="3">
        <f>E38*'lighting - plan #1'!P43</f>
        <v>404.12643009114487</v>
      </c>
      <c r="G38" s="2">
        <f>B38*C38*E38</f>
        <v>89551.8</v>
      </c>
      <c r="H38" s="41">
        <f>('lighting - plan #1'!L34^2+'lighting - plan #1'!P43^2)^0.5</f>
        <v>0.10362216156183202</v>
      </c>
      <c r="I38" s="98">
        <f>G38*H38</f>
        <v>9279.551087752869</v>
      </c>
    </row>
    <row r="39" spans="7:9" ht="12.75">
      <c r="G39" s="98">
        <f>SUM(G36:G38)</f>
        <v>480511</v>
      </c>
      <c r="H39" s="9" t="s">
        <v>5</v>
      </c>
      <c r="I39" s="98">
        <f>SUM(I36:I38)</f>
        <v>51018.07466847768</v>
      </c>
    </row>
    <row r="40" spans="8:9" ht="12.75">
      <c r="H40" s="9" t="s">
        <v>142</v>
      </c>
      <c r="I40" s="41">
        <f>I39/G39</f>
        <v>0.10617462382438213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2.7109375" style="0" customWidth="1"/>
    <col min="3" max="3" width="12.140625" style="0" customWidth="1"/>
    <col min="4" max="4" width="10.28125" style="0" customWidth="1"/>
    <col min="5" max="5" width="14.57421875" style="0" customWidth="1"/>
    <col min="8" max="8" width="11.421875" style="0" customWidth="1"/>
    <col min="9" max="9" width="14.28125" style="0" customWidth="1"/>
    <col min="10" max="10" width="13.140625" style="0" customWidth="1"/>
    <col min="11" max="11" width="10.28125" style="0" customWidth="1"/>
    <col min="13" max="13" width="13.8515625" style="0" customWidth="1"/>
    <col min="15" max="15" width="10.421875" style="0" customWidth="1"/>
  </cols>
  <sheetData>
    <row r="1" spans="1:8" ht="12.75">
      <c r="A1" s="4" t="s">
        <v>92</v>
      </c>
      <c r="C1" t="s">
        <v>83</v>
      </c>
      <c r="H1" s="8" t="s">
        <v>22</v>
      </c>
    </row>
    <row r="2" spans="1:8" ht="12.75">
      <c r="A2" s="5" t="s">
        <v>18</v>
      </c>
      <c r="H2" s="11" t="s">
        <v>32</v>
      </c>
    </row>
    <row r="4" ht="12.75">
      <c r="A4" s="4" t="s">
        <v>14</v>
      </c>
    </row>
    <row r="5" ht="12.75">
      <c r="A5" t="s">
        <v>122</v>
      </c>
    </row>
    <row r="6" ht="12.75">
      <c r="A6" t="s">
        <v>123</v>
      </c>
    </row>
    <row r="7" spans="1:3" ht="12.75">
      <c r="A7" t="s">
        <v>20</v>
      </c>
      <c r="B7" s="7">
        <v>0.1</v>
      </c>
      <c r="C7" t="s">
        <v>98</v>
      </c>
    </row>
    <row r="8" spans="1:3" ht="12.75">
      <c r="A8" t="s">
        <v>100</v>
      </c>
      <c r="B8" s="73"/>
      <c r="C8" s="8">
        <v>3</v>
      </c>
    </row>
    <row r="9" spans="1:3" ht="12.75">
      <c r="A9" t="s">
        <v>101</v>
      </c>
      <c r="B9" s="73"/>
      <c r="C9" t="s">
        <v>105</v>
      </c>
    </row>
    <row r="10" spans="2:3" ht="12.75">
      <c r="B10" s="74" t="s">
        <v>102</v>
      </c>
      <c r="C10" s="8">
        <v>1200</v>
      </c>
    </row>
    <row r="11" spans="2:3" ht="12.75">
      <c r="B11" s="74" t="s">
        <v>103</v>
      </c>
      <c r="C11" s="8">
        <v>26</v>
      </c>
    </row>
    <row r="12" spans="2:3" ht="12.75">
      <c r="B12" s="74" t="s">
        <v>104</v>
      </c>
      <c r="C12" s="8">
        <v>258</v>
      </c>
    </row>
    <row r="13" ht="12.75">
      <c r="B13" s="6"/>
    </row>
    <row r="14" spans="2:14" ht="12.75">
      <c r="B14" t="s">
        <v>69</v>
      </c>
      <c r="C14" t="s">
        <v>70</v>
      </c>
      <c r="D14" t="s">
        <v>72</v>
      </c>
      <c r="G14" s="9" t="s">
        <v>23</v>
      </c>
      <c r="H14" s="10"/>
      <c r="L14" s="9" t="s">
        <v>66</v>
      </c>
      <c r="M14" s="2">
        <f>'lighting calcs'!G32</f>
        <v>714937.5</v>
      </c>
      <c r="N14" t="s">
        <v>67</v>
      </c>
    </row>
    <row r="15" spans="1:14" ht="12.75">
      <c r="A15" t="s">
        <v>68</v>
      </c>
      <c r="B15" s="7">
        <v>65</v>
      </c>
      <c r="C15" s="72">
        <v>40</v>
      </c>
      <c r="D15" s="38">
        <f>B15*C15</f>
        <v>2600</v>
      </c>
      <c r="G15" s="9" t="s">
        <v>24</v>
      </c>
      <c r="H15" s="35">
        <f>G58+O57</f>
        <v>557.4406775485678</v>
      </c>
      <c r="L15" s="9" t="s">
        <v>8</v>
      </c>
      <c r="M15" s="2">
        <f>'lighting calcs'!G39</f>
        <v>480511</v>
      </c>
      <c r="N15" t="s">
        <v>67</v>
      </c>
    </row>
    <row r="16" spans="1:14" ht="12.75">
      <c r="A16" t="s">
        <v>71</v>
      </c>
      <c r="B16" s="7">
        <v>80</v>
      </c>
      <c r="C16" s="72">
        <v>40</v>
      </c>
      <c r="D16" s="38">
        <f>B16*C16</f>
        <v>3200</v>
      </c>
      <c r="G16" s="9" t="s">
        <v>25</v>
      </c>
      <c r="H16" s="7">
        <f>0.1*50</f>
        <v>5</v>
      </c>
      <c r="I16" t="s">
        <v>28</v>
      </c>
      <c r="L16" s="9" t="s">
        <v>31</v>
      </c>
      <c r="M16" s="36">
        <f>M14-M15</f>
        <v>234426.5</v>
      </c>
      <c r="N16" t="s">
        <v>67</v>
      </c>
    </row>
    <row r="17" spans="4:13" ht="12.75">
      <c r="D17" s="39">
        <f>SUM(D15:D16)</f>
        <v>5800</v>
      </c>
      <c r="G17" s="9" t="s">
        <v>26</v>
      </c>
      <c r="H17" s="7">
        <v>100</v>
      </c>
      <c r="I17" t="s">
        <v>29</v>
      </c>
      <c r="L17" s="9" t="s">
        <v>81</v>
      </c>
      <c r="M17" s="41">
        <f>M16/M14</f>
        <v>0.32789789317248014</v>
      </c>
    </row>
    <row r="18" spans="7:13" ht="12.75">
      <c r="G18" s="9" t="s">
        <v>27</v>
      </c>
      <c r="H18" s="7">
        <v>175</v>
      </c>
      <c r="L18" s="9" t="s">
        <v>74</v>
      </c>
      <c r="M18" s="49">
        <f>B7*M16</f>
        <v>23442.65</v>
      </c>
    </row>
    <row r="19" spans="8:13" ht="12.75">
      <c r="H19" s="40">
        <f>SUM(H15:H18)</f>
        <v>837.4406775485678</v>
      </c>
      <c r="L19" s="9" t="s">
        <v>90</v>
      </c>
      <c r="M19" s="53">
        <f>SQRT('lighting calcs'!I32^2+'lighting calcs'!I39^2)/M16</f>
        <v>0.40032544857311864</v>
      </c>
    </row>
    <row r="20" spans="1:13" ht="12.75">
      <c r="A20" s="4" t="s">
        <v>16</v>
      </c>
      <c r="L20" s="9" t="s">
        <v>91</v>
      </c>
      <c r="M20" s="49">
        <f>M19*M18</f>
        <v>9384.689376992621</v>
      </c>
    </row>
    <row r="21" spans="1:13" ht="15.75">
      <c r="A21" t="s">
        <v>34</v>
      </c>
      <c r="C21" s="12" t="s">
        <v>106</v>
      </c>
      <c r="L21" s="9" t="s">
        <v>30</v>
      </c>
      <c r="M21" s="49">
        <f>D17+H19</f>
        <v>6637.440677548568</v>
      </c>
    </row>
    <row r="22" spans="12:13" ht="12.75">
      <c r="L22" s="9" t="s">
        <v>73</v>
      </c>
      <c r="M22" s="37">
        <f>M21/M18</f>
        <v>0.28313525465544925</v>
      </c>
    </row>
    <row r="23" spans="1:3" ht="12.75">
      <c r="A23" t="s">
        <v>35</v>
      </c>
      <c r="C23" s="8">
        <v>1</v>
      </c>
    </row>
    <row r="24" spans="11:13" ht="12.75">
      <c r="K24" s="10" t="s">
        <v>143</v>
      </c>
      <c r="L24" s="96"/>
      <c r="M24" s="46">
        <f>(M20-'lighting - base case'!M20)/('lighting - plan #1'!M21-'lighting - base case'!M21)</f>
        <v>-1.021124125313391</v>
      </c>
    </row>
    <row r="25" ht="12.75">
      <c r="N25" s="3"/>
    </row>
    <row r="26" ht="12.75">
      <c r="A26" s="4" t="s">
        <v>17</v>
      </c>
    </row>
    <row r="27" spans="1:16" ht="15.75">
      <c r="A27" s="13" t="s">
        <v>80</v>
      </c>
      <c r="B27" s="14"/>
      <c r="C27" s="14"/>
      <c r="D27" s="14"/>
      <c r="E27" s="13" t="s">
        <v>36</v>
      </c>
      <c r="F27" s="14"/>
      <c r="G27" s="14"/>
      <c r="H27" s="14"/>
      <c r="I27" s="13" t="s">
        <v>127</v>
      </c>
      <c r="J27" s="14"/>
      <c r="K27" s="14"/>
      <c r="L27" s="14"/>
      <c r="M27" s="13" t="s">
        <v>128</v>
      </c>
      <c r="N27" s="14"/>
      <c r="O27" s="14"/>
      <c r="P27" s="15"/>
    </row>
    <row r="28" spans="1:16" ht="12.75">
      <c r="A28" s="75" t="s">
        <v>102</v>
      </c>
      <c r="B28" s="17">
        <v>0.123</v>
      </c>
      <c r="C28" s="18" t="s">
        <v>107</v>
      </c>
      <c r="D28" s="18"/>
      <c r="E28" s="75" t="s">
        <v>102</v>
      </c>
      <c r="F28" s="17">
        <v>3840</v>
      </c>
      <c r="G28" s="18" t="s">
        <v>110</v>
      </c>
      <c r="H28" s="18"/>
      <c r="I28" s="75" t="s">
        <v>102</v>
      </c>
      <c r="J28" s="17">
        <v>0.089</v>
      </c>
      <c r="K28" s="18" t="s">
        <v>107</v>
      </c>
      <c r="L28" s="18"/>
      <c r="M28" s="75" t="s">
        <v>102</v>
      </c>
      <c r="N28" s="17">
        <v>3600</v>
      </c>
      <c r="O28" s="18" t="s">
        <v>110</v>
      </c>
      <c r="P28" s="19"/>
    </row>
    <row r="29" spans="1:16" ht="12.75">
      <c r="A29" s="75" t="s">
        <v>103</v>
      </c>
      <c r="B29" s="17">
        <v>0.123</v>
      </c>
      <c r="C29" s="18" t="s">
        <v>107</v>
      </c>
      <c r="D29" s="18"/>
      <c r="E29" s="75" t="s">
        <v>103</v>
      </c>
      <c r="F29" s="17">
        <v>4650</v>
      </c>
      <c r="G29" s="18" t="s">
        <v>110</v>
      </c>
      <c r="H29" s="18"/>
      <c r="I29" s="75" t="s">
        <v>103</v>
      </c>
      <c r="J29" s="17">
        <v>0.089</v>
      </c>
      <c r="K29" s="18" t="s">
        <v>107</v>
      </c>
      <c r="L29" s="18"/>
      <c r="M29" s="75" t="s">
        <v>103</v>
      </c>
      <c r="N29" s="17">
        <v>2800</v>
      </c>
      <c r="O29" s="18" t="s">
        <v>110</v>
      </c>
      <c r="P29" s="19"/>
    </row>
    <row r="30" spans="1:16" ht="12.75">
      <c r="A30" s="75" t="s">
        <v>104</v>
      </c>
      <c r="B30" s="17">
        <v>0.123</v>
      </c>
      <c r="C30" s="18" t="s">
        <v>107</v>
      </c>
      <c r="D30" s="18"/>
      <c r="E30" s="75" t="s">
        <v>104</v>
      </c>
      <c r="F30" s="17">
        <v>4200</v>
      </c>
      <c r="G30" s="18" t="s">
        <v>110</v>
      </c>
      <c r="H30" s="18"/>
      <c r="I30" s="75" t="s">
        <v>104</v>
      </c>
      <c r="J30" s="17">
        <v>0.089</v>
      </c>
      <c r="K30" s="18" t="s">
        <v>107</v>
      </c>
      <c r="L30" s="18"/>
      <c r="M30" s="75" t="s">
        <v>104</v>
      </c>
      <c r="N30" s="17">
        <v>3900</v>
      </c>
      <c r="O30" s="18" t="s">
        <v>110</v>
      </c>
      <c r="P30" s="19"/>
    </row>
    <row r="31" spans="1:16" ht="12.75">
      <c r="A31" s="16" t="s">
        <v>108</v>
      </c>
      <c r="B31" s="76"/>
      <c r="C31" s="17" t="s">
        <v>109</v>
      </c>
      <c r="D31" s="18"/>
      <c r="E31" s="78" t="s">
        <v>111</v>
      </c>
      <c r="F31" s="18"/>
      <c r="G31" s="17" t="s">
        <v>64</v>
      </c>
      <c r="H31" s="17"/>
      <c r="I31" s="63" t="s">
        <v>111</v>
      </c>
      <c r="J31" s="90"/>
      <c r="K31" s="17" t="s">
        <v>109</v>
      </c>
      <c r="L31" s="18"/>
      <c r="M31" s="78" t="s">
        <v>111</v>
      </c>
      <c r="N31" s="18"/>
      <c r="O31" s="17" t="s">
        <v>130</v>
      </c>
      <c r="P31" s="60"/>
    </row>
    <row r="32" spans="1:16" ht="12.75">
      <c r="A32" s="16" t="s">
        <v>41</v>
      </c>
      <c r="B32" s="18"/>
      <c r="C32" s="18"/>
      <c r="D32" s="28">
        <f>C52</f>
        <v>0.030612244897959183</v>
      </c>
      <c r="E32" s="78" t="s">
        <v>112</v>
      </c>
      <c r="F32" s="18"/>
      <c r="G32" s="18"/>
      <c r="H32" s="18"/>
      <c r="I32" s="16" t="s">
        <v>41</v>
      </c>
      <c r="J32" s="20"/>
      <c r="K32" s="18"/>
      <c r="L32" s="57">
        <f>K52</f>
        <v>0.030612244897959183</v>
      </c>
      <c r="M32" s="78" t="s">
        <v>112</v>
      </c>
      <c r="N32" s="18"/>
      <c r="O32" s="18"/>
      <c r="P32" s="19"/>
    </row>
    <row r="33" spans="1:16" ht="12.75">
      <c r="A33" s="79"/>
      <c r="B33" s="22"/>
      <c r="C33" s="92"/>
      <c r="D33" s="22"/>
      <c r="E33" s="75" t="s">
        <v>113</v>
      </c>
      <c r="F33" s="17">
        <v>0.5</v>
      </c>
      <c r="G33" s="18"/>
      <c r="H33" s="18"/>
      <c r="I33" s="79"/>
      <c r="J33" s="33"/>
      <c r="K33" s="92"/>
      <c r="L33" s="33"/>
      <c r="M33" s="75" t="s">
        <v>113</v>
      </c>
      <c r="N33" s="17">
        <v>0.5</v>
      </c>
      <c r="O33" s="18"/>
      <c r="P33" s="19"/>
    </row>
    <row r="34" spans="5:16" ht="12.75">
      <c r="E34" s="75" t="s">
        <v>114</v>
      </c>
      <c r="F34" s="81">
        <v>0.2</v>
      </c>
      <c r="G34" s="18"/>
      <c r="H34" s="19"/>
      <c r="M34" s="75" t="s">
        <v>114</v>
      </c>
      <c r="N34" s="81">
        <v>0.2</v>
      </c>
      <c r="O34" s="18"/>
      <c r="P34" s="19"/>
    </row>
    <row r="35" spans="1:16" ht="12.75">
      <c r="A35" s="18"/>
      <c r="B35" s="18"/>
      <c r="C35" s="18"/>
      <c r="D35" s="30"/>
      <c r="E35" s="75" t="s">
        <v>115</v>
      </c>
      <c r="F35" s="81">
        <v>0.8</v>
      </c>
      <c r="G35" s="18"/>
      <c r="H35" s="19"/>
      <c r="M35" s="75" t="s">
        <v>115</v>
      </c>
      <c r="N35" s="81">
        <v>0.8</v>
      </c>
      <c r="O35" s="18"/>
      <c r="P35" s="19"/>
    </row>
    <row r="36" spans="1:16" ht="12.75">
      <c r="A36" s="18"/>
      <c r="B36" s="18"/>
      <c r="C36" s="18"/>
      <c r="D36" s="30"/>
      <c r="E36" s="75" t="s">
        <v>120</v>
      </c>
      <c r="F36" s="55" t="s">
        <v>116</v>
      </c>
      <c r="G36" s="55" t="s">
        <v>119</v>
      </c>
      <c r="H36" s="19"/>
      <c r="M36" s="75" t="s">
        <v>120</v>
      </c>
      <c r="N36" s="55" t="s">
        <v>116</v>
      </c>
      <c r="O36" s="55" t="s">
        <v>119</v>
      </c>
      <c r="P36" s="19"/>
    </row>
    <row r="37" spans="1:16" ht="12.75">
      <c r="A37" s="18"/>
      <c r="B37" s="18"/>
      <c r="C37" s="18"/>
      <c r="D37" s="30"/>
      <c r="E37" s="77" t="s">
        <v>102</v>
      </c>
      <c r="F37" s="82">
        <f>VLOOKUP($F$35,conf_lim_Z,2)^2*$F$33^2/$F$34^2</f>
        <v>10.265616</v>
      </c>
      <c r="G37" s="84">
        <f>F37/(1+F37/$C10)</f>
        <v>10.178541831762656</v>
      </c>
      <c r="H37" s="19"/>
      <c r="M37" s="77" t="s">
        <v>102</v>
      </c>
      <c r="N37" s="82">
        <f>VLOOKUP($N$35,conf_lim_Z,2)^2*$N$33^2/$N$34^2</f>
        <v>10.265616</v>
      </c>
      <c r="O37" s="84">
        <f>N37/(1+N37/$C10)</f>
        <v>10.178541831762656</v>
      </c>
      <c r="P37" s="19"/>
    </row>
    <row r="38" spans="1:16" ht="12.75">
      <c r="A38" s="18"/>
      <c r="B38" s="18"/>
      <c r="C38" s="18"/>
      <c r="D38" s="30"/>
      <c r="E38" s="77" t="s">
        <v>103</v>
      </c>
      <c r="F38" s="82">
        <f>VLOOKUP($F$35,conf_lim_Z,2)^2*$F$33^2/$F$34^2</f>
        <v>10.265616</v>
      </c>
      <c r="G38" s="84">
        <f>F38/(1+F38/$C11)</f>
        <v>7.359754098758449</v>
      </c>
      <c r="H38" s="19"/>
      <c r="M38" s="77" t="s">
        <v>103</v>
      </c>
      <c r="N38" s="82">
        <f>VLOOKUP($N$35,conf_lim_Z,2)^2*$N$33^2/$N$34^2</f>
        <v>10.265616</v>
      </c>
      <c r="O38" s="84">
        <f>N38/(1+N38/$C11)</f>
        <v>7.359754098758449</v>
      </c>
      <c r="P38" s="19"/>
    </row>
    <row r="39" spans="1:16" ht="12.75">
      <c r="A39" s="18"/>
      <c r="B39" s="18"/>
      <c r="C39" s="18"/>
      <c r="D39" s="30"/>
      <c r="E39" s="75" t="s">
        <v>104</v>
      </c>
      <c r="F39" s="82">
        <f>VLOOKUP($F$35,conf_lim_Z,2)^2*$F$33^2/$F$34^2</f>
        <v>10.265616</v>
      </c>
      <c r="G39" s="84">
        <f>F39/(1+F39/$C12)</f>
        <v>9.872785664786798</v>
      </c>
      <c r="H39" s="19"/>
      <c r="M39" s="75" t="s">
        <v>104</v>
      </c>
      <c r="N39" s="82">
        <f>VLOOKUP($N$35,conf_lim_Z,2)^2*$N$33^2/$N$34^2</f>
        <v>10.265616</v>
      </c>
      <c r="O39" s="84">
        <f>N39/(1+N39/$C12)</f>
        <v>9.872785664786798</v>
      </c>
      <c r="P39" s="19"/>
    </row>
    <row r="40" spans="1:16" ht="12.75">
      <c r="A40" s="18"/>
      <c r="B40" s="18"/>
      <c r="C40" s="18"/>
      <c r="D40" s="30"/>
      <c r="E40" s="93" t="s">
        <v>132</v>
      </c>
      <c r="F40" s="82"/>
      <c r="G40" s="99" t="s">
        <v>136</v>
      </c>
      <c r="H40" s="94" t="s">
        <v>137</v>
      </c>
      <c r="M40" s="93" t="s">
        <v>132</v>
      </c>
      <c r="N40" s="82"/>
      <c r="O40" s="99" t="s">
        <v>136</v>
      </c>
      <c r="P40" s="94" t="s">
        <v>137</v>
      </c>
    </row>
    <row r="41" spans="1:16" ht="12.75">
      <c r="A41" s="18"/>
      <c r="B41" s="18"/>
      <c r="C41" s="18"/>
      <c r="D41" s="30"/>
      <c r="E41" s="75" t="s">
        <v>102</v>
      </c>
      <c r="F41" s="83">
        <f>(($F$33^2/G37)*(1-G37/$C$10))^0.5</f>
        <v>0.1560549313358302</v>
      </c>
      <c r="G41" s="85">
        <f>F41*VLOOKUP($F$35,conf_lim_Z,2)/1.96</f>
        <v>0.10204081632653061</v>
      </c>
      <c r="H41" s="101">
        <f>(G41^2+$G$53^2)^0.5</f>
        <v>0.1051812659596342</v>
      </c>
      <c r="M41" s="75" t="s">
        <v>102</v>
      </c>
      <c r="N41" s="83">
        <f>(($N$33^2/O37)*(1-O37/$C$10))^0.5</f>
        <v>0.1560549313358302</v>
      </c>
      <c r="O41" s="85">
        <f>N41*VLOOKUP($N$35,conf_lim_Z,2)/1.96</f>
        <v>0.10204081632653061</v>
      </c>
      <c r="P41" s="101">
        <f>(O41^2+$O$52^2)^0.5</f>
        <v>0.10204081632653061</v>
      </c>
    </row>
    <row r="42" spans="1:16" ht="12.75">
      <c r="A42" s="18"/>
      <c r="B42" s="18"/>
      <c r="C42" s="18"/>
      <c r="D42" s="30"/>
      <c r="E42" s="75" t="s">
        <v>103</v>
      </c>
      <c r="F42" s="83">
        <f>(($F$33^2/G38)*(1-G38/$C$10))^0.5</f>
        <v>0.18373947010994118</v>
      </c>
      <c r="G42" s="85">
        <f>F42*VLOOKUP($F$35,conf_lim_Z,2)/1.96</f>
        <v>0.12014311474127583</v>
      </c>
      <c r="H42" s="101">
        <f>(G42^2+$G$53^2)^0.5</f>
        <v>0.12282157193271025</v>
      </c>
      <c r="M42" s="75" t="s">
        <v>103</v>
      </c>
      <c r="N42" s="83">
        <f>(($N$33^2/O38)*(1-O38/$C$10))^0.5</f>
        <v>0.18373947010994118</v>
      </c>
      <c r="O42" s="85">
        <f>N42*VLOOKUP($N$35,conf_lim_Z,2)/1.96</f>
        <v>0.12014311474127583</v>
      </c>
      <c r="P42" s="101">
        <f>(O42^2+$O$52^2)^0.5</f>
        <v>0.12014311474127583</v>
      </c>
    </row>
    <row r="43" spans="1:16" ht="12.75">
      <c r="A43" s="18"/>
      <c r="B43" s="18"/>
      <c r="C43" s="18"/>
      <c r="D43" s="30"/>
      <c r="E43" s="89" t="s">
        <v>104</v>
      </c>
      <c r="F43" s="100">
        <f>(($F$33^2/G39)*(1-G39/$C$10))^0.5</f>
        <v>0.15847334321253959</v>
      </c>
      <c r="G43" s="95">
        <f>F43*VLOOKUP($F$35,conf_lim_Z,2)/1.96</f>
        <v>0.10362216156183202</v>
      </c>
      <c r="H43" s="102">
        <f>(G43^2+$G$53^2)^0.5</f>
        <v>0.10671608538094415</v>
      </c>
      <c r="M43" s="89" t="s">
        <v>104</v>
      </c>
      <c r="N43" s="100">
        <f>(($N$33^2/O39)*(1-O39/$C$10))^0.5</f>
        <v>0.15847334321253959</v>
      </c>
      <c r="O43" s="95">
        <f>N43*VLOOKUP($N$35,conf_lim_Z,2)/1.96</f>
        <v>0.10362216156183202</v>
      </c>
      <c r="P43" s="102">
        <f>(O43^2+$O$52^2)^0.5</f>
        <v>0.10362216156183202</v>
      </c>
    </row>
    <row r="44" spans="4:8" ht="12.75">
      <c r="D44" s="10"/>
      <c r="E44" s="55"/>
      <c r="F44" s="20"/>
      <c r="H44" s="10"/>
    </row>
    <row r="45" spans="1:7" ht="12.75">
      <c r="A45" s="4" t="s">
        <v>42</v>
      </c>
      <c r="E45" s="10"/>
      <c r="F45" s="10"/>
      <c r="G45" s="10"/>
    </row>
    <row r="46" spans="1:16" ht="15.75">
      <c r="A46" s="13" t="s">
        <v>80</v>
      </c>
      <c r="B46" s="14"/>
      <c r="C46" s="14"/>
      <c r="D46" s="14"/>
      <c r="E46" s="13" t="s">
        <v>36</v>
      </c>
      <c r="F46" s="14"/>
      <c r="G46" s="14"/>
      <c r="H46" s="14"/>
      <c r="I46" s="13" t="s">
        <v>127</v>
      </c>
      <c r="J46" s="14"/>
      <c r="K46" s="14"/>
      <c r="L46" s="14"/>
      <c r="M46" s="13" t="s">
        <v>128</v>
      </c>
      <c r="N46" s="14"/>
      <c r="O46" s="14"/>
      <c r="P46" s="15"/>
    </row>
    <row r="47" spans="1:16" ht="12.75">
      <c r="A47" s="16" t="s">
        <v>44</v>
      </c>
      <c r="B47" s="18"/>
      <c r="C47" s="18"/>
      <c r="D47" s="18"/>
      <c r="E47" s="16" t="s">
        <v>44</v>
      </c>
      <c r="F47" s="18"/>
      <c r="G47" s="18"/>
      <c r="H47" s="18"/>
      <c r="I47" s="16" t="s">
        <v>44</v>
      </c>
      <c r="J47" s="18"/>
      <c r="K47" s="18"/>
      <c r="L47" s="18"/>
      <c r="M47" s="16" t="s">
        <v>44</v>
      </c>
      <c r="N47" s="18"/>
      <c r="O47" s="18"/>
      <c r="P47" s="19"/>
    </row>
    <row r="48" spans="1:16" ht="12.75">
      <c r="A48" s="16" t="s">
        <v>51</v>
      </c>
      <c r="B48" s="18"/>
      <c r="C48" s="18"/>
      <c r="D48" s="18"/>
      <c r="E48" s="26" t="s">
        <v>121</v>
      </c>
      <c r="F48" s="18"/>
      <c r="G48" s="18"/>
      <c r="H48" s="18"/>
      <c r="I48" s="16" t="s">
        <v>51</v>
      </c>
      <c r="J48" s="18"/>
      <c r="K48" s="18"/>
      <c r="L48" s="18"/>
      <c r="M48" s="16" t="s">
        <v>131</v>
      </c>
      <c r="N48" s="18"/>
      <c r="O48" s="18"/>
      <c r="P48" s="19"/>
    </row>
    <row r="49" spans="1:16" ht="12.75">
      <c r="A49" s="16" t="s">
        <v>43</v>
      </c>
      <c r="B49" s="18"/>
      <c r="C49" s="18"/>
      <c r="D49" s="18"/>
      <c r="E49" s="16" t="s">
        <v>43</v>
      </c>
      <c r="F49" s="18"/>
      <c r="G49" s="18"/>
      <c r="H49" s="18"/>
      <c r="I49" s="16" t="s">
        <v>43</v>
      </c>
      <c r="J49" s="18"/>
      <c r="K49" s="18"/>
      <c r="L49" s="18"/>
      <c r="M49" s="16" t="s">
        <v>43</v>
      </c>
      <c r="N49" s="18"/>
      <c r="O49" s="18"/>
      <c r="P49" s="19"/>
    </row>
    <row r="50" spans="1:16" ht="15.75">
      <c r="A50" s="16" t="s">
        <v>52</v>
      </c>
      <c r="B50" s="18" t="s">
        <v>129</v>
      </c>
      <c r="C50" s="27">
        <v>0.06</v>
      </c>
      <c r="D50" s="18"/>
      <c r="E50" s="63" t="s">
        <v>45</v>
      </c>
      <c r="F50" s="18"/>
      <c r="G50" s="85">
        <v>0</v>
      </c>
      <c r="H50" s="18"/>
      <c r="I50" s="16" t="s">
        <v>52</v>
      </c>
      <c r="J50" s="18" t="s">
        <v>129</v>
      </c>
      <c r="K50" s="27">
        <v>0.06</v>
      </c>
      <c r="L50" s="56"/>
      <c r="M50" s="63" t="s">
        <v>45</v>
      </c>
      <c r="N50" s="18"/>
      <c r="O50" s="85">
        <v>0</v>
      </c>
      <c r="P50" s="19"/>
    </row>
    <row r="51" spans="1:16" ht="15.75">
      <c r="A51" s="16"/>
      <c r="B51" s="18"/>
      <c r="C51" s="31"/>
      <c r="D51" s="18"/>
      <c r="E51" s="63" t="s">
        <v>46</v>
      </c>
      <c r="F51" s="18"/>
      <c r="G51" s="85">
        <v>0</v>
      </c>
      <c r="H51" s="18"/>
      <c r="I51" s="34"/>
      <c r="J51" s="18"/>
      <c r="K51" s="18"/>
      <c r="L51" s="56"/>
      <c r="M51" s="63" t="s">
        <v>46</v>
      </c>
      <c r="N51" s="18"/>
      <c r="O51" s="85">
        <v>0</v>
      </c>
      <c r="P51" s="19"/>
    </row>
    <row r="52" spans="1:16" ht="15.75">
      <c r="A52" s="16" t="s">
        <v>135</v>
      </c>
      <c r="B52" s="18"/>
      <c r="C52" s="27">
        <f>C50/1.96</f>
        <v>0.030612244897959183</v>
      </c>
      <c r="D52" s="18"/>
      <c r="E52" s="63" t="s">
        <v>124</v>
      </c>
      <c r="F52" s="18"/>
      <c r="G52" s="85">
        <v>0.05</v>
      </c>
      <c r="H52" s="18"/>
      <c r="I52" s="16" t="s">
        <v>135</v>
      </c>
      <c r="J52" s="18"/>
      <c r="K52" s="28">
        <f>K50/1.96</f>
        <v>0.030612244897959183</v>
      </c>
      <c r="L52" s="18"/>
      <c r="M52" s="16" t="s">
        <v>135</v>
      </c>
      <c r="N52" s="18"/>
      <c r="O52" s="28">
        <f>((O50^2+O51^2)^0.5)/1.96</f>
        <v>0</v>
      </c>
      <c r="P52" s="19"/>
    </row>
    <row r="53" spans="1:16" ht="12.75">
      <c r="A53" s="16" t="s">
        <v>95</v>
      </c>
      <c r="B53" s="18"/>
      <c r="C53" s="48">
        <v>0</v>
      </c>
      <c r="D53" s="18"/>
      <c r="E53" s="16" t="s">
        <v>135</v>
      </c>
      <c r="F53" s="18"/>
      <c r="G53" s="28">
        <f>((G50^2+G51^2)^0.5+G52)/1.96</f>
        <v>0.025510204081632654</v>
      </c>
      <c r="H53" s="18"/>
      <c r="I53" s="16"/>
      <c r="J53" s="18"/>
      <c r="K53" s="18"/>
      <c r="L53" s="30"/>
      <c r="M53" s="16"/>
      <c r="N53" s="18"/>
      <c r="O53" s="18"/>
      <c r="P53" s="19"/>
    </row>
    <row r="54" spans="1:16" ht="12.75">
      <c r="A54" s="16" t="s">
        <v>94</v>
      </c>
      <c r="B54" s="18"/>
      <c r="C54" s="91">
        <v>0</v>
      </c>
      <c r="D54" s="18"/>
      <c r="E54" s="16"/>
      <c r="F54" s="18"/>
      <c r="G54" s="18"/>
      <c r="H54" s="18"/>
      <c r="I54" s="63" t="s">
        <v>95</v>
      </c>
      <c r="J54" s="18"/>
      <c r="K54" s="48">
        <v>0</v>
      </c>
      <c r="L54" s="18"/>
      <c r="M54" s="63" t="s">
        <v>95</v>
      </c>
      <c r="N54" s="18"/>
      <c r="O54" s="86">
        <v>210</v>
      </c>
      <c r="P54" s="19"/>
    </row>
    <row r="55" spans="1:16" ht="12.75">
      <c r="A55" s="21" t="s">
        <v>48</v>
      </c>
      <c r="B55" s="22"/>
      <c r="C55" s="68">
        <f>C53*C54</f>
        <v>0</v>
      </c>
      <c r="D55" s="22"/>
      <c r="E55" s="63" t="s">
        <v>95</v>
      </c>
      <c r="F55" s="18"/>
      <c r="G55" s="86">
        <v>69</v>
      </c>
      <c r="H55" s="18"/>
      <c r="I55" s="16" t="s">
        <v>94</v>
      </c>
      <c r="J55" s="18"/>
      <c r="K55" s="91">
        <v>0</v>
      </c>
      <c r="L55" s="18"/>
      <c r="M55" s="63" t="s">
        <v>94</v>
      </c>
      <c r="N55" s="18"/>
      <c r="O55" s="28">
        <v>0.1</v>
      </c>
      <c r="P55" s="19"/>
    </row>
    <row r="56" spans="5:16" ht="12.75">
      <c r="E56" s="63" t="s">
        <v>94</v>
      </c>
      <c r="F56" s="18"/>
      <c r="G56" s="28">
        <v>0.1</v>
      </c>
      <c r="H56" s="18"/>
      <c r="I56" s="21" t="s">
        <v>48</v>
      </c>
      <c r="J56" s="22"/>
      <c r="K56" s="68">
        <f>K54*K55</f>
        <v>0</v>
      </c>
      <c r="L56" s="22"/>
      <c r="M56" s="63" t="s">
        <v>125</v>
      </c>
      <c r="N56" s="18"/>
      <c r="O56" s="48">
        <f>O54*O55</f>
        <v>21</v>
      </c>
      <c r="P56" s="19"/>
    </row>
    <row r="57" spans="5:16" ht="12.75">
      <c r="E57" s="63" t="s">
        <v>125</v>
      </c>
      <c r="F57" s="18"/>
      <c r="G57" s="48">
        <f>G55*G56</f>
        <v>6.9</v>
      </c>
      <c r="H57" s="19"/>
      <c r="M57" s="87" t="s">
        <v>126</v>
      </c>
      <c r="N57" s="22"/>
      <c r="O57" s="88">
        <f>SUM(O36:O38)*O56</f>
        <v>368.30421454094324</v>
      </c>
      <c r="P57" s="80"/>
    </row>
    <row r="58" spans="5:8" ht="12.75">
      <c r="E58" s="87" t="s">
        <v>126</v>
      </c>
      <c r="F58" s="22"/>
      <c r="G58" s="88">
        <f>SUM(G37:G39)*G57</f>
        <v>189.13646300762457</v>
      </c>
      <c r="H58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Jump</dc:creator>
  <cp:keywords/>
  <dc:description/>
  <cp:lastModifiedBy>David Jump</cp:lastModifiedBy>
  <cp:lastPrinted>2001-04-30T00:28:26Z</cp:lastPrinted>
  <dcterms:created xsi:type="dcterms:W3CDTF">2001-04-19T01:15:01Z</dcterms:created>
  <dcterms:modified xsi:type="dcterms:W3CDTF">2001-05-14T02:29:34Z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