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5_0.bin" ContentType="application/vnd.openxmlformats-officedocument.oleObject"/>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15" windowHeight="6915" tabRatio="834" activeTab="2"/>
  </bookViews>
  <sheets>
    <sheet name="Documentation" sheetId="1" r:id="rId1"/>
    <sheet name="Report" sheetId="2" r:id="rId2"/>
    <sheet name="Prover Data Entry" sheetId="3" r:id="rId3"/>
    <sheet name="NSCV Data Entry" sheetId="4" r:id="rId4"/>
    <sheet name="Calculations" sheetId="5" r:id="rId5"/>
    <sheet name="Uncertainty Analysis" sheetId="6" r:id="rId6"/>
    <sheet name="Standards" sheetId="7" r:id="rId7"/>
    <sheet name="Tables &amp; Lists" sheetId="8" r:id="rId8"/>
  </sheets>
  <externalReferences>
    <externalReference r:id="rId11"/>
    <externalReference r:id="rId12"/>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Table1_In1" hidden="1">#REF!</definedName>
    <definedName name="_Table1_Out" hidden="1">#REF!</definedName>
    <definedName name="_Table2_In1" hidden="1">'[2]2 Liter'!$B$33</definedName>
    <definedName name="_Table2_Out" hidden="1">'[2]2 Liter'!$B$33</definedName>
    <definedName name="a_1">'Prover Data Entry'!$G$25</definedName>
    <definedName name="a_2">'Prover Data Entry'!$G$26</definedName>
    <definedName name="a_3">'Prover Data Entry'!$G$27</definedName>
    <definedName name="a_4">'Prover Data Entry'!$G$28</definedName>
    <definedName name="AirTemp">'Prover Data Entry'!$C$42</definedName>
    <definedName name="Answer.List">'Tables &amp; Lists'!$J$14:$J$15</definedName>
    <definedName name="AsFound">'Calculations'!$E$52</definedName>
    <definedName name="AsLeft">'Calculations'!$E$53</definedName>
    <definedName name="B">'Prover Data Entry'!$I$13</definedName>
    <definedName name="Bus.Name">'Prover Data Entry'!$C$4</definedName>
    <definedName name="Cal_Date">'Prover Data Entry'!$D$20</definedName>
    <definedName name="CCE.Table">'Tables &amp; Lists'!$G$5:$H$9</definedName>
    <definedName name="Condition">'Prover Data Entry'!$C$14</definedName>
    <definedName name="CustomaryVol.Stds">'Standards'!$A$7:$M$7</definedName>
    <definedName name="Description">'Prover Data Entry'!$C$10</definedName>
    <definedName name="Description.list">'Tables &amp; Lists'!$J$23:$J$24</definedName>
    <definedName name="drops1">'Prover Data Entry'!$F$25</definedName>
    <definedName name="drops2">'Prover Data Entry'!$F$26</definedName>
    <definedName name="drops3">'Prover Data Entry'!$F$27</definedName>
    <definedName name="drops4">'Prover Data Entry'!$F$28</definedName>
    <definedName name="dup_sets">'Prover Data Entry'!$I$17</definedName>
    <definedName name="grads1">'Prover Data Entry'!$E$25</definedName>
    <definedName name="grads2">'Prover Data Entry'!$E$26</definedName>
    <definedName name="grads3">'Prover Data Entry'!$E$27</definedName>
    <definedName name="grads4">'Prover Data Entry'!$E$28</definedName>
    <definedName name="Humidity">'Prover Data Entry'!$H$42</definedName>
    <definedName name="increment">'Prover Data Entry'!$J$12</definedName>
    <definedName name="Interval">'Prover Data Entry'!$J$19</definedName>
    <definedName name="IntervalQ">'Prover Data Entry'!$F$19</definedName>
    <definedName name="k_1">'Prover Data Entry'!$J$25</definedName>
    <definedName name="k_2">'Prover Data Entry'!$J$26</definedName>
    <definedName name="k_3">'Prover Data Entry'!$J$27</definedName>
    <definedName name="k_4">'Prover Data Entry'!$J$28</definedName>
    <definedName name="Material">'Prover Data Entry'!$C$13</definedName>
    <definedName name="Material.List">'Tables &amp; Lists'!$G$5:$G$9</definedName>
    <definedName name="MetricVol.Stds">'Standards'!$A$11:$M$11</definedName>
    <definedName name="MFG">'Prover Data Entry'!$C$11</definedName>
    <definedName name="Nom_Val">'Prover Data Entry'!$J$11</definedName>
    <definedName name="NomVal.list">'Tables &amp; Lists'!$J$17:$J$18</definedName>
    <definedName name="NomValUnit">'Prover Data Entry'!$G$11</definedName>
    <definedName name="NSCV">'Prover Data Entry'!$E$37</definedName>
    <definedName name="NVLAP">'Prover Data Entry'!$I$18</definedName>
    <definedName name="PO.No">'Prover Data Entry'!$I$4</definedName>
    <definedName name="POC.Name">'Prover Data Entry'!$I$5</definedName>
    <definedName name="POC.Phone">'Prover Data Entry'!$I$6</definedName>
    <definedName name="_xlnm.Print_Area" localSheetId="4">'Calculations'!$A$1:$J$55</definedName>
    <definedName name="_xlnm.Print_Area" localSheetId="3">'NSCV Data Entry'!$A$1:$J$39</definedName>
    <definedName name="_xlnm.Print_Area" localSheetId="2">'Prover Data Entry'!$A$1:$J$71</definedName>
    <definedName name="_xlnm.Print_Area" localSheetId="5">'Uncertainty Analysis'!$A$1:$N$119</definedName>
    <definedName name="_xlnm.Print_Titles" localSheetId="3">'NSCV Data Entry'!$1:$2</definedName>
    <definedName name="_xlnm.Print_Titles" localSheetId="2">'Prover Data Entry'!$1:$2</definedName>
    <definedName name="_xlnm.Print_Titles" localSheetId="1">'Report'!$1:$7</definedName>
    <definedName name="_xlnm.Print_Titles" localSheetId="5">'Uncertainty Analysis'!$1:$2</definedName>
    <definedName name="Prover.Stmt">'Tables &amp; Lists'!$A$38</definedName>
    <definedName name="ProverTempCorr">'Prover Data Entry'!$E$33</definedName>
    <definedName name="Range.Unit">'Prover Data Entry'!$A$17</definedName>
    <definedName name="RangeMean.List">'Tables &amp; Lists'!$J$9:$J$12</definedName>
    <definedName name="RefT">'Prover Data Entry'!$I$16</definedName>
    <definedName name="RefTemp.list">'Tables &amp; Lists'!$J$20:$J$21</definedName>
    <definedName name="RefTempUnit">'Prover Data Entry'!$A$16</definedName>
    <definedName name="ReportedUnc">'Uncertainty Analysis'!$F$91</definedName>
    <definedName name="Rmean">'Prover Data Entry'!$D$17</definedName>
    <definedName name="Rnd.Factor">'Calculations'!$E$49</definedName>
    <definedName name="Rnd.Table">'Tables &amp; Lists'!$A$4:$B$32</definedName>
    <definedName name="RptNo">'Prover Data Entry'!$I$1</definedName>
    <definedName name="Scale.List">'Tables &amp; Lists'!$J$4:$J$7</definedName>
    <definedName name="Scale.Unit">'Prover Data Entry'!$G$12</definedName>
    <definedName name="SealNo">'Prover Data Entry'!$I$71</definedName>
    <definedName name="SN">'Prover Data Entry'!$C$12</definedName>
    <definedName name="Specification">'Prover Data Entry'!$C$15</definedName>
    <definedName name="Specification.list">'Tables &amp; Lists'!$J$26:$J$28</definedName>
    <definedName name="StdTempCorr">'Prover Data Entry'!$E$32</definedName>
    <definedName name="t_1">'Prover Data Entry'!$E$69</definedName>
    <definedName name="t_2">'Prover Data Entry'!$J$69</definedName>
    <definedName name="t_unc">'Prover Data Entry'!$G$32</definedName>
    <definedName name="Table_9.1">'Tables &amp; Lists'!$D$4:$E$34</definedName>
    <definedName name="Tech">'Prover Data Entry'!$H$20</definedName>
    <definedName name="Temp.Stds">'Standards'!$A$15:$J$15</definedName>
    <definedName name="TestMeasure.Stmt">'Tables &amp; Lists'!$A$37</definedName>
    <definedName name="Tolerance">'Calculations'!$E$51</definedName>
    <definedName name="Unc">'Calculations'!$E$54</definedName>
    <definedName name="unc1">'Prover Data Entry'!$I$25</definedName>
    <definedName name="unc2">'Prover Data Entry'!$I$26</definedName>
    <definedName name="unc3">'Prover Data Entry'!$I$27</definedName>
    <definedName name="unc4">'Prover Data Entry'!$I$28</definedName>
    <definedName name="V_1">'Prover Data Entry'!$D$25</definedName>
    <definedName name="V_2">'Prover Data Entry'!$D$26</definedName>
    <definedName name="V_3">'Prover Data Entry'!$D$27</definedName>
    <definedName name="V_4">'Prover Data Entry'!$D$28</definedName>
    <definedName name="WODate">'Prover Data Entry'!$I$10</definedName>
  </definedNames>
  <calcPr fullCalcOnLoad="1"/>
</workbook>
</file>

<file path=xl/comments3.xml><?xml version="1.0" encoding="utf-8"?>
<comments xmlns="http://schemas.openxmlformats.org/spreadsheetml/2006/main">
  <authors>
    <author>Dan Wright</author>
    <author> </author>
  </authors>
  <commentList>
    <comment ref="A31" authorId="0">
      <text>
        <r>
          <rPr>
            <b/>
            <sz val="10"/>
            <color indexed="61"/>
            <rFont val="Trebuchet MS"/>
            <family val="2"/>
          </rPr>
          <t>T1 - Digital Thermometer SN: 86270053</t>
        </r>
      </text>
    </comment>
    <comment ref="A24" authorId="0">
      <text>
        <r>
          <rPr>
            <b/>
            <sz val="10"/>
            <color indexed="61"/>
            <rFont val="Trebuchet MS"/>
            <family val="2"/>
          </rPr>
          <t>V1 - 200 gal Prover
V2 - 50 gal Prover
V3 - 5 gal Slicker Plate
V4 - 5 gal Test Measure
V5 - 1 gal Glass Flask
V6 - 1/2 gal Glass Flask
V7 - 1 qt Glass Flask
V8 - 1 gi Glass Flask</t>
        </r>
      </text>
    </comment>
    <comment ref="F15" authorId="1">
      <text>
        <r>
          <rPr>
            <b/>
            <sz val="10"/>
            <rFont val="Trebuchet MS"/>
            <family val="2"/>
          </rPr>
          <t xml:space="preserve"> </t>
        </r>
        <r>
          <rPr>
            <sz val="10"/>
            <rFont val="Trebuchet MS"/>
            <family val="2"/>
          </rPr>
          <t>NIST HB 105-3 - 0.02 %</t>
        </r>
      </text>
    </comment>
  </commentList>
</comments>
</file>

<file path=xl/comments4.xml><?xml version="1.0" encoding="utf-8"?>
<comments xmlns="http://schemas.openxmlformats.org/spreadsheetml/2006/main">
  <authors>
    <author>Dan Wright</author>
  </authors>
  <commentList>
    <comment ref="A15" authorId="0">
      <text>
        <r>
          <rPr>
            <b/>
            <sz val="10"/>
            <color indexed="61"/>
            <rFont val="Trebuchet MS"/>
            <family val="2"/>
          </rPr>
          <t>V4 - 5 gal Test Measure       VL4 - 1 L Glass Flask
V5 - 1 gal Glass Flask          VL5 - 500 mL Glass Flask
V6 - 1/2 gal Glass Flask</t>
        </r>
      </text>
    </comment>
  </commentList>
</comments>
</file>

<file path=xl/sharedStrings.xml><?xml version="1.0" encoding="utf-8"?>
<sst xmlns="http://schemas.openxmlformats.org/spreadsheetml/2006/main" count="369" uniqueCount="275">
  <si>
    <t>Customer Information</t>
  </si>
  <si>
    <t>POC</t>
  </si>
  <si>
    <t>Phone</t>
  </si>
  <si>
    <t>PO#</t>
  </si>
  <si>
    <t>Manufacture</t>
  </si>
  <si>
    <t>Serial Number</t>
  </si>
  <si>
    <t>k-factor</t>
  </si>
  <si>
    <t>ID Code</t>
  </si>
  <si>
    <t>Description</t>
  </si>
  <si>
    <t>Material</t>
  </si>
  <si>
    <t>Determine Neck Volume</t>
  </si>
  <si>
    <t>Neck Calibration Data</t>
  </si>
  <si>
    <t>1st</t>
  </si>
  <si>
    <t>2nd</t>
  </si>
  <si>
    <t>3rd</t>
  </si>
  <si>
    <t>4th</t>
  </si>
  <si>
    <t>5th</t>
  </si>
  <si>
    <t>Prover Material</t>
  </si>
  <si>
    <t>Humidity (% RH)</t>
  </si>
  <si>
    <t>Laboratory Test Conditions</t>
  </si>
  <si>
    <t>Technician</t>
  </si>
  <si>
    <t>Neck Scale Plate Verification</t>
  </si>
  <si>
    <t>Yes</t>
  </si>
  <si>
    <t>No</t>
  </si>
  <si>
    <t>Trial 1</t>
  </si>
  <si>
    <t>Drop Number</t>
  </si>
  <si>
    <t>Trial 2</t>
  </si>
  <si>
    <t>Standard(s) Observations</t>
  </si>
  <si>
    <t>Drop #</t>
  </si>
  <si>
    <t>Artifact Observations</t>
  </si>
  <si>
    <t>Measurement Range =</t>
  </si>
  <si>
    <t>Type</t>
  </si>
  <si>
    <t>B</t>
  </si>
  <si>
    <t>A</t>
  </si>
  <si>
    <t>Drops</t>
  </si>
  <si>
    <t>TableError</t>
  </si>
  <si>
    <t>Neck Scale Calibration Value =</t>
  </si>
  <si>
    <t>6th</t>
  </si>
  <si>
    <t>7th</t>
  </si>
  <si>
    <t>8th</t>
  </si>
  <si>
    <t>U (k=2) =</t>
  </si>
  <si>
    <t>31 to infinity</t>
  </si>
  <si>
    <t>Steel, Prover, Low Carbon</t>
  </si>
  <si>
    <t>Steel, Stainless</t>
  </si>
  <si>
    <t>where</t>
  </si>
  <si>
    <t>Enter Neck Scale Calibration Value (NSCV)</t>
  </si>
  <si>
    <t>Neck Scale Plate Error and Calibration Value Calculation</t>
  </si>
  <si>
    <t>Aluminum</t>
  </si>
  <si>
    <t>Specify Procedure</t>
  </si>
  <si>
    <t>Specify Equation(s)</t>
  </si>
  <si>
    <t>Temperature of water for each delivery with the subscripts as above</t>
  </si>
  <si>
    <t>Distribution</t>
  </si>
  <si>
    <t>Normal</t>
  </si>
  <si>
    <t>Artifact</t>
  </si>
  <si>
    <t>Submitted By</t>
  </si>
  <si>
    <t>Calibration Date</t>
  </si>
  <si>
    <t>Artifact Calibration Results</t>
  </si>
  <si>
    <t>g/cm³</t>
  </si>
  <si>
    <t>Calibration Notes</t>
  </si>
  <si>
    <t>Calibration Conditions</t>
  </si>
  <si>
    <t>Was a Calibration Interval Requested or is one Required?</t>
  </si>
  <si>
    <t>Artifact and Measurement Information</t>
  </si>
  <si>
    <r>
      <t xml:space="preserve">Name and Address
</t>
    </r>
    <r>
      <rPr>
        <sz val="9"/>
        <rFont val="Trebuchet MS"/>
        <family val="2"/>
      </rPr>
      <t xml:space="preserve">(use </t>
    </r>
    <r>
      <rPr>
        <i/>
        <sz val="9"/>
        <color indexed="10"/>
        <rFont val="Trebuchet MS"/>
        <family val="2"/>
      </rPr>
      <t>ALT+ENTER</t>
    </r>
    <r>
      <rPr>
        <sz val="9"/>
        <color indexed="10"/>
        <rFont val="Trebuchet MS"/>
        <family val="2"/>
      </rPr>
      <t xml:space="preserve">
</t>
    </r>
    <r>
      <rPr>
        <sz val="9"/>
        <rFont val="Trebuchet MS"/>
        <family val="2"/>
      </rPr>
      <t xml:space="preserve"> for line breaks)</t>
    </r>
  </si>
  <si>
    <t>What is the Interval (months)?</t>
  </si>
  <si>
    <t>Artifact Condition</t>
  </si>
  <si>
    <t>Temperature Standard(s) Data</t>
  </si>
  <si>
    <t>Volume Standard(s) Data</t>
  </si>
  <si>
    <t>Laboratory Volume Standard(s) Used</t>
  </si>
  <si>
    <t>Laboratory Temperature Standard(s) Used</t>
  </si>
  <si>
    <t>Report Number</t>
  </si>
  <si>
    <t>Date Calibrated</t>
  </si>
  <si>
    <t>Date Calibration Due</t>
  </si>
  <si>
    <t>Traceability Statement</t>
  </si>
  <si>
    <t>●  The results listed in this report relate only to the artifacts described and extent of calibrations performed.</t>
  </si>
  <si>
    <t>Certification Statement</t>
  </si>
  <si>
    <t>β =</t>
  </si>
  <si>
    <t>Rounding factor =</t>
  </si>
  <si>
    <t>ID
Code</t>
  </si>
  <si>
    <t>α =</t>
  </si>
  <si>
    <t>Name and Address</t>
  </si>
  <si>
    <r>
      <t>Neck radius (</t>
    </r>
    <r>
      <rPr>
        <i/>
        <sz val="10"/>
        <rFont val="Trebuchet MS"/>
        <family val="2"/>
      </rPr>
      <t>r</t>
    </r>
    <r>
      <rPr>
        <sz val="10"/>
        <rFont val="Trebuchet MS"/>
        <family val="2"/>
      </rPr>
      <t>) (in)</t>
    </r>
  </si>
  <si>
    <r>
      <t>Neck height (</t>
    </r>
    <r>
      <rPr>
        <i/>
        <sz val="10"/>
        <rFont val="Trebuchet MS"/>
        <family val="2"/>
      </rPr>
      <t>h</t>
    </r>
    <r>
      <rPr>
        <sz val="10"/>
        <rFont val="Trebuchet MS"/>
        <family val="2"/>
      </rPr>
      <t>) (in)</t>
    </r>
  </si>
  <si>
    <r>
      <t>sr</t>
    </r>
    <r>
      <rPr>
        <vertAlign val="subscript"/>
        <sz val="10"/>
        <rFont val="Trebuchet MS"/>
        <family val="2"/>
      </rPr>
      <t>initial</t>
    </r>
  </si>
  <si>
    <r>
      <t>sr</t>
    </r>
    <r>
      <rPr>
        <vertAlign val="subscript"/>
        <sz val="10"/>
        <rFont val="Trebuchet MS"/>
        <family val="2"/>
      </rPr>
      <t>final</t>
    </r>
  </si>
  <si>
    <r>
      <t>Total Volume Added (V</t>
    </r>
    <r>
      <rPr>
        <vertAlign val="subscript"/>
        <sz val="10"/>
        <rFont val="Trebuchet MS"/>
        <family val="2"/>
      </rPr>
      <t>w</t>
    </r>
    <r>
      <rPr>
        <sz val="10"/>
        <rFont val="Trebuchet MS"/>
        <family val="2"/>
      </rPr>
      <t>) =</t>
    </r>
  </si>
  <si>
    <r>
      <t>Neck Scale Calibration Value (NSCV)
NSCV = V</t>
    </r>
    <r>
      <rPr>
        <vertAlign val="subscript"/>
        <sz val="10"/>
        <rFont val="Trebuchet MS"/>
        <family val="2"/>
      </rPr>
      <t>w</t>
    </r>
    <r>
      <rPr>
        <sz val="10"/>
        <rFont val="Trebuchet MS"/>
        <family val="2"/>
      </rPr>
      <t xml:space="preserve"> / (sr</t>
    </r>
    <r>
      <rPr>
        <vertAlign val="subscript"/>
        <sz val="10"/>
        <rFont val="Trebuchet MS"/>
        <family val="2"/>
      </rPr>
      <t>f</t>
    </r>
    <r>
      <rPr>
        <sz val="10"/>
        <rFont val="Trebuchet MS"/>
        <family val="2"/>
      </rPr>
      <t xml:space="preserve"> - sr</t>
    </r>
    <r>
      <rPr>
        <vertAlign val="subscript"/>
        <sz val="10"/>
        <rFont val="Trebuchet MS"/>
        <family val="2"/>
      </rPr>
      <t>i</t>
    </r>
    <r>
      <rPr>
        <sz val="10"/>
        <rFont val="Trebuchet MS"/>
        <family val="2"/>
      </rPr>
      <t>)</t>
    </r>
  </si>
  <si>
    <r>
      <t>Neck Scale Plate Error
vs
Neck Volume
% error = [(sr</t>
    </r>
    <r>
      <rPr>
        <vertAlign val="subscript"/>
        <sz val="10"/>
        <rFont val="Trebuchet MS"/>
        <family val="2"/>
      </rPr>
      <t>f</t>
    </r>
    <r>
      <rPr>
        <sz val="10"/>
        <rFont val="Trebuchet MS"/>
        <family val="2"/>
      </rPr>
      <t xml:space="preserve"> - sr</t>
    </r>
    <r>
      <rPr>
        <vertAlign val="subscript"/>
        <sz val="10"/>
        <rFont val="Trebuchet MS"/>
        <family val="2"/>
      </rPr>
      <t>i</t>
    </r>
    <r>
      <rPr>
        <sz val="10"/>
        <rFont val="Trebuchet MS"/>
        <family val="2"/>
      </rPr>
      <t>) - V</t>
    </r>
    <r>
      <rPr>
        <vertAlign val="subscript"/>
        <sz val="10"/>
        <rFont val="Trebuchet MS"/>
        <family val="2"/>
      </rPr>
      <t>w</t>
    </r>
    <r>
      <rPr>
        <sz val="10"/>
        <rFont val="Trebuchet MS"/>
        <family val="2"/>
      </rPr>
      <t>] / N</t>
    </r>
    <r>
      <rPr>
        <vertAlign val="subscript"/>
        <sz val="10"/>
        <rFont val="Trebuchet MS"/>
        <family val="2"/>
      </rPr>
      <t>v</t>
    </r>
  </si>
  <si>
    <t>"To use the Neck Scale Plate Calibration Value, multiply the reading you see on the neck
 scale plate times the calibration value. The result is the reading you would use.
 A Neck Scale Plate Calibration Value of 1.0 means the neck scale can be read directly."</t>
  </si>
  <si>
    <t>Temp.Stds Vlookup Table</t>
  </si>
  <si>
    <t>Uncertainty Statement</t>
  </si>
  <si>
    <t>Relevant Information</t>
  </si>
  <si>
    <t>Results Formatted For Calibration Report</t>
  </si>
  <si>
    <t xml:space="preserve"> Pick Lists
for
Data Validation Cells</t>
  </si>
  <si>
    <r>
      <t xml:space="preserve">●  In-accordance-with ISO/IEC FDIS 17025, </t>
    </r>
    <r>
      <rPr>
        <i/>
        <sz val="10"/>
        <color indexed="8"/>
        <rFont val="Times New Roman"/>
        <family val="1"/>
      </rPr>
      <t xml:space="preserve">General Requirements for the Competence of Testing and Calibration
    Laboratories, </t>
    </r>
    <r>
      <rPr>
        <sz val="10"/>
        <color indexed="8"/>
        <rFont val="Times New Roman"/>
        <family val="1"/>
      </rPr>
      <t xml:space="preserve">paragraph 5.10.4.4 ‘A calibration certificate (or calibration label) shall not contain any
    recommendation on the calibration interval except where this has been agreed with the client. This requirement
    may be superseded by legal regulations.’ </t>
    </r>
  </si>
  <si>
    <t>Temperature (ºC)</t>
  </si>
  <si>
    <t>Water Temp.
(ºC)</t>
  </si>
  <si>
    <t>Water Temperature, Bottom (ºC)</t>
  </si>
  <si>
    <t>Water Temperature, Middle (ºC)</t>
  </si>
  <si>
    <t>Water Temperature, Top (ºC)</t>
  </si>
  <si>
    <t>Water Temperature, Average (ºC)</t>
  </si>
  <si>
    <t>Scale Graduations (in³)</t>
  </si>
  <si>
    <t>Scale Graduations (gal)</t>
  </si>
  <si>
    <t>●  To use the Neck Scale Plate Calibration Factor, multiply the reading you see on the neck scale plate times the calibration factor.
    The result is the reading you would use. A Neck Scale Plate Calibration Factor of 1.0 means the neck scale can be read directly.</t>
  </si>
  <si>
    <t>Tables &amp; Lists</t>
  </si>
  <si>
    <t>Standards</t>
  </si>
  <si>
    <t>Uncertainty Analysis</t>
  </si>
  <si>
    <t>Measurement Trial Calculations</t>
  </si>
  <si>
    <t>Volume Standard(s) Trial 1</t>
  </si>
  <si>
    <t>Volume Standard(s) Trial 2</t>
  </si>
  <si>
    <t>Water Density (g/cm³)</t>
  </si>
  <si>
    <t>Water Density (g/cm³) =</t>
  </si>
  <si>
    <t>NSCV Data Entry</t>
  </si>
  <si>
    <t>Prover Data Entry</t>
  </si>
  <si>
    <t>Documentation</t>
  </si>
  <si>
    <t>Date Received</t>
  </si>
  <si>
    <t>Scale Security Seal #</t>
  </si>
  <si>
    <t>Accuracy
(ºC)</t>
  </si>
  <si>
    <t>Rounding Table
(Rnd.Table)</t>
  </si>
  <si>
    <t>NISTIR 6969 Table 9.1
(Table_9.1)</t>
  </si>
  <si>
    <r>
      <t>Unc
(ºC)</t>
    </r>
  </si>
  <si>
    <t>Correction
(ºC)</t>
  </si>
  <si>
    <t>Water Temperature Standard ID Code</t>
  </si>
  <si>
    <r>
      <t xml:space="preserve">Note: If ID Code cell turns </t>
    </r>
    <r>
      <rPr>
        <sz val="10"/>
        <color indexed="10"/>
        <rFont val="Trebuchet MS"/>
        <family val="2"/>
      </rPr>
      <t>RED</t>
    </r>
    <r>
      <rPr>
        <sz val="10"/>
        <rFont val="Trebuchet MS"/>
        <family val="2"/>
      </rPr>
      <t xml:space="preserve"> the standard calibration is void, calibrate before use.</t>
    </r>
  </si>
  <si>
    <t>Used For Volume Standand(s)</t>
  </si>
  <si>
    <t>Must equal at least 1 for nominal NSCV</t>
  </si>
  <si>
    <r>
      <t>NOTICE</t>
    </r>
    <r>
      <rPr>
        <b/>
        <sz val="10"/>
        <rFont val="Trebuchet MS"/>
        <family val="2"/>
      </rPr>
      <t>: If the NSCV is anything other than nominal (1) you must include it in the
 Report of Calibration along with the following statement or something similar:</t>
    </r>
  </si>
  <si>
    <t>No. of Duplicate Sets from CC</t>
  </si>
  <si>
    <r>
      <t>Note:  If you have less
          than 9 readings,
          your last reading
          taken must be
          entered as sr</t>
    </r>
    <r>
      <rPr>
        <b/>
        <i/>
        <vertAlign val="subscript"/>
        <sz val="12"/>
        <color indexed="63"/>
        <rFont val="Trebuchet MS"/>
        <family val="2"/>
      </rPr>
      <t>final</t>
    </r>
  </si>
  <si>
    <t>Cubical Coefficient of Expansion Table
(CCE.Table) &amp;
Material List
(Material.List)</t>
  </si>
  <si>
    <t>Report Number:</t>
  </si>
  <si>
    <t>Procedure:  NIST HB 145, SOP 19</t>
  </si>
  <si>
    <t>cm³/ºF</t>
  </si>
  <si>
    <r>
      <t>Δ</t>
    </r>
    <r>
      <rPr>
        <i/>
        <vertAlign val="subscript"/>
        <sz val="11"/>
        <rFont val="Tahoma"/>
        <family val="2"/>
      </rPr>
      <t>1</t>
    </r>
    <r>
      <rPr>
        <i/>
        <sz val="11"/>
        <rFont val="Tahoma"/>
        <family val="2"/>
      </rPr>
      <t>, Δ</t>
    </r>
    <r>
      <rPr>
        <i/>
        <vertAlign val="subscript"/>
        <sz val="11"/>
        <rFont val="Tahoma"/>
        <family val="2"/>
      </rPr>
      <t>2</t>
    </r>
    <r>
      <rPr>
        <i/>
        <sz val="11"/>
        <rFont val="Tahoma"/>
        <family val="2"/>
      </rPr>
      <t>,…,Δ</t>
    </r>
    <r>
      <rPr>
        <i/>
        <vertAlign val="subscript"/>
        <sz val="11"/>
        <rFont val="Tahoma"/>
        <family val="2"/>
      </rPr>
      <t>N</t>
    </r>
    <r>
      <rPr>
        <i/>
        <sz val="11"/>
        <rFont val="Tahoma"/>
        <family val="2"/>
      </rPr>
      <t xml:space="preserve"> =</t>
    </r>
  </si>
  <si>
    <r>
      <t>ρ</t>
    </r>
    <r>
      <rPr>
        <i/>
        <vertAlign val="subscript"/>
        <sz val="11"/>
        <rFont val="Tahoma"/>
        <family val="2"/>
      </rPr>
      <t>1</t>
    </r>
    <r>
      <rPr>
        <i/>
        <sz val="11"/>
        <rFont val="Tahoma"/>
        <family val="2"/>
      </rPr>
      <t>, ρ</t>
    </r>
    <r>
      <rPr>
        <i/>
        <vertAlign val="subscript"/>
        <sz val="11"/>
        <rFont val="Tahoma"/>
        <family val="2"/>
      </rPr>
      <t>2</t>
    </r>
    <r>
      <rPr>
        <i/>
        <sz val="11"/>
        <rFont val="Tahoma"/>
        <family val="2"/>
      </rPr>
      <t>, …, ρ</t>
    </r>
    <r>
      <rPr>
        <i/>
        <vertAlign val="subscript"/>
        <sz val="11"/>
        <rFont val="Tahoma"/>
        <family val="2"/>
      </rPr>
      <t>N</t>
    </r>
    <r>
      <rPr>
        <i/>
        <sz val="11"/>
        <rFont val="Tahoma"/>
        <family val="2"/>
      </rPr>
      <t xml:space="preserve"> =</t>
    </r>
  </si>
  <si>
    <r>
      <t>t</t>
    </r>
    <r>
      <rPr>
        <i/>
        <vertAlign val="subscript"/>
        <sz val="11"/>
        <rFont val="Tahoma"/>
        <family val="2"/>
      </rPr>
      <t>1</t>
    </r>
    <r>
      <rPr>
        <i/>
        <sz val="11"/>
        <rFont val="Tahoma"/>
        <family val="2"/>
      </rPr>
      <t>, t</t>
    </r>
    <r>
      <rPr>
        <i/>
        <vertAlign val="subscript"/>
        <sz val="11"/>
        <rFont val="Tahoma"/>
        <family val="2"/>
      </rPr>
      <t>2</t>
    </r>
    <r>
      <rPr>
        <i/>
        <sz val="11"/>
        <rFont val="Tahoma"/>
        <family val="2"/>
      </rPr>
      <t>, …, t</t>
    </r>
    <r>
      <rPr>
        <i/>
        <vertAlign val="subscript"/>
        <sz val="11"/>
        <rFont val="Tahoma"/>
        <family val="2"/>
      </rPr>
      <t>N</t>
    </r>
    <r>
      <rPr>
        <i/>
        <sz val="11"/>
        <rFont val="Tahoma"/>
        <family val="2"/>
      </rPr>
      <t xml:space="preserve"> =</t>
    </r>
  </si>
  <si>
    <r>
      <t>t</t>
    </r>
    <r>
      <rPr>
        <i/>
        <vertAlign val="subscript"/>
        <sz val="11"/>
        <rFont val="Tahoma"/>
        <family val="2"/>
      </rPr>
      <t>x</t>
    </r>
    <r>
      <rPr>
        <i/>
        <sz val="11"/>
        <rFont val="Tahoma"/>
        <family val="2"/>
      </rPr>
      <t xml:space="preserve"> =</t>
    </r>
  </si>
  <si>
    <r>
      <t>ρ</t>
    </r>
    <r>
      <rPr>
        <i/>
        <vertAlign val="subscript"/>
        <sz val="11"/>
        <rFont val="Tahoma"/>
        <family val="2"/>
      </rPr>
      <t>x</t>
    </r>
    <r>
      <rPr>
        <i/>
        <sz val="11"/>
        <rFont val="Tahoma"/>
        <family val="2"/>
      </rPr>
      <t xml:space="preserve"> =</t>
    </r>
  </si>
  <si>
    <t>Range Mean from CC (in³)</t>
  </si>
  <si>
    <t>Range Mean from CC (gal)</t>
  </si>
  <si>
    <t>The combined standard uncertainty includes uncertainties reported for the standard, uncertainties associated with the measurement process,  uncertainties for any observed deviations from reference values which are less than surveillance limits, and other uncertainties associated with the particular artifact (i.e., reading meniscus, air buoyancy corrections, etc.). A component for viscosity is not included in the uncertainty budget. The combined standard uncertainty is multiplied by k, a coverage factor of 2, to give the expanded uncertainty (which defines an interval with an approximate 95 percent level of confidence). The expanded uncertainty presented in this report is consistent with NIST Technical Note 1297.</t>
  </si>
  <si>
    <t>Nominal Volume (gal)</t>
  </si>
  <si>
    <t>Nominal Volume (L)</t>
  </si>
  <si>
    <t>Scale Graduations (L)</t>
  </si>
  <si>
    <t>Scale Graduations (mL)</t>
  </si>
  <si>
    <t>Range Mean from CC (L)</t>
  </si>
  <si>
    <t>Range Mean from CC (mL)</t>
  </si>
  <si>
    <t>Steel, Terneplate</t>
  </si>
  <si>
    <t>Uncertainty Evaluation</t>
  </si>
  <si>
    <t>Expanded Uncertainty =</t>
  </si>
  <si>
    <t>Tolerance Evaluation</t>
  </si>
  <si>
    <t>Criteria: The expanded uncertainty must be less than 0.07 % of the measured volume.</t>
  </si>
  <si>
    <t>0.07 % of Measured Volume =</t>
  </si>
  <si>
    <t>MetricVol.Stds Vlookup Table</t>
  </si>
  <si>
    <t>CustomaryVol.Stds Vlookup Table</t>
  </si>
  <si>
    <t>Criteria: The volume error shall not differ more than the
 maximum permissible error (tolerance minus the expanded uncertainty).</t>
  </si>
  <si>
    <t>Criteria: The range of the trials must be within 0.02 % of the measured volume.</t>
  </si>
  <si>
    <t>Used For Prover</t>
  </si>
  <si>
    <r>
      <t>V</t>
    </r>
    <r>
      <rPr>
        <i/>
        <vertAlign val="subscript"/>
        <sz val="11"/>
        <rFont val="Tahoma"/>
        <family val="2"/>
      </rPr>
      <t>XtrefX</t>
    </r>
    <r>
      <rPr>
        <i/>
        <sz val="11"/>
        <rFont val="Tahoma"/>
        <family val="2"/>
      </rPr>
      <t xml:space="preserve"> =</t>
    </r>
  </si>
  <si>
    <r>
      <t>V</t>
    </r>
    <r>
      <rPr>
        <i/>
        <vertAlign val="subscript"/>
        <sz val="11"/>
        <rFont val="Tahoma"/>
        <family val="2"/>
      </rPr>
      <t>StrefS</t>
    </r>
    <r>
      <rPr>
        <i/>
        <sz val="11"/>
        <rFont val="Tahoma"/>
        <family val="2"/>
      </rPr>
      <t xml:space="preserve"> =</t>
    </r>
  </si>
  <si>
    <r>
      <t>Volume of the unknown vessel, V</t>
    </r>
    <r>
      <rPr>
        <vertAlign val="subscript"/>
        <sz val="10"/>
        <rFont val="Trebuchet MS"/>
        <family val="2"/>
      </rPr>
      <t>X</t>
    </r>
    <r>
      <rPr>
        <sz val="10"/>
        <rFont val="Trebuchet MS"/>
        <family val="2"/>
      </rPr>
      <t xml:space="preserve"> at its designated reference temperature, t</t>
    </r>
    <r>
      <rPr>
        <vertAlign val="subscript"/>
        <sz val="10"/>
        <rFont val="Trebuchet MS"/>
        <family val="2"/>
      </rPr>
      <t>refX</t>
    </r>
  </si>
  <si>
    <r>
      <t>Volume of the standard vessel, V</t>
    </r>
    <r>
      <rPr>
        <vertAlign val="subscript"/>
        <sz val="10"/>
        <rFont val="Trebuchet MS"/>
        <family val="2"/>
      </rPr>
      <t>S</t>
    </r>
    <r>
      <rPr>
        <sz val="10"/>
        <rFont val="Trebuchet MS"/>
        <family val="2"/>
      </rPr>
      <t xml:space="preserve"> at its designated reference temperature, t</t>
    </r>
    <r>
      <rPr>
        <vertAlign val="subscript"/>
        <sz val="10"/>
        <rFont val="Trebuchet MS"/>
        <family val="2"/>
      </rPr>
      <t>refS</t>
    </r>
  </si>
  <si>
    <r>
      <t xml:space="preserve">Density of the water in the standard where </t>
    </r>
    <r>
      <rPr>
        <i/>
        <sz val="10"/>
        <rFont val="Trebuchet MS"/>
        <family val="2"/>
      </rPr>
      <t>ρ</t>
    </r>
    <r>
      <rPr>
        <i/>
        <vertAlign val="subscript"/>
        <sz val="10"/>
        <rFont val="Trebuchet MS"/>
        <family val="2"/>
      </rPr>
      <t>1</t>
    </r>
    <r>
      <rPr>
        <sz val="10"/>
        <rFont val="Trebuchet MS"/>
        <family val="2"/>
      </rPr>
      <t xml:space="preserve"> is the density of the water for the first delivery, </t>
    </r>
    <r>
      <rPr>
        <i/>
        <sz val="10"/>
        <rFont val="Trebuchet MS"/>
        <family val="2"/>
      </rPr>
      <t>ρ</t>
    </r>
    <r>
      <rPr>
        <i/>
        <vertAlign val="subscript"/>
        <sz val="10"/>
        <rFont val="Trebuchet MS"/>
        <family val="2"/>
      </rPr>
      <t>2</t>
    </r>
    <r>
      <rPr>
        <sz val="10"/>
        <rFont val="Trebuchet MS"/>
        <family val="2"/>
      </rPr>
      <t xml:space="preserve"> is the density of the water for the second delivery, and so on until all N deliveries are completed</t>
    </r>
  </si>
  <si>
    <t>Volume differences between the water level and the reference mark on the standard where the subscripts 1, 2,…,N, represent each delivery as above. If the water level is below the reference line, Δ is negitive. If the water level is above the reference line, Δ is positive. If the water level is at the reference line, Δ is zero
NOTE: units must match volume units for the standard</t>
  </si>
  <si>
    <t>Coefficient of cubical expansion for the standard in its designated units</t>
  </si>
  <si>
    <t>Coefficient of cubical expansion for the unknown vessel in its designated units</t>
  </si>
  <si>
    <t>Temperature of water in the filled unknown vessel in designated units</t>
  </si>
  <si>
    <r>
      <t>Density of water in the prover in g/cm</t>
    </r>
    <r>
      <rPr>
        <vertAlign val="superscript"/>
        <sz val="10"/>
        <rFont val="Trebuchet MS"/>
        <family val="2"/>
      </rPr>
      <t>3</t>
    </r>
  </si>
  <si>
    <t>Identify Components Their Uncertainties</t>
  </si>
  <si>
    <t>Combined standard uncertainty of the Patterson Morris equation, [J. Res., NIST 97, 335 (1992), 10ppm  (0.0000 10 g/cm³)], and possible uncorrected systematic error, k = 1</t>
  </si>
  <si>
    <t>NBS Report 10 081, Uncertainties in the calibration of large vessels, p. 10 (0.000009 /ºC or 0.000005 /ºF), uniform distribution</t>
  </si>
  <si>
    <t>(tref) Reference Temperature for this calibration</t>
  </si>
  <si>
    <t>Treated as constant, no uncertainty</t>
  </si>
  <si>
    <t>delta</t>
  </si>
  <si>
    <t>Sr</t>
  </si>
  <si>
    <t xml:space="preserve">(Δ) Volume differences between the water level and the reference mark on the standard </t>
  </si>
  <si>
    <t>β</t>
  </si>
  <si>
    <t>(β) Coefficient of cubical expansion for the unknown vessel</t>
  </si>
  <si>
    <t>(Sr) Unknown vessel scale reading</t>
  </si>
  <si>
    <r>
      <t>(t</t>
    </r>
    <r>
      <rPr>
        <vertAlign val="subscript"/>
        <sz val="10"/>
        <rFont val="Trebuchet MS"/>
        <family val="2"/>
      </rPr>
      <t>S</t>
    </r>
    <r>
      <rPr>
        <sz val="10"/>
        <rFont val="Trebuchet MS"/>
        <family val="2"/>
      </rPr>
      <t>) Temperarure of water in the standard</t>
    </r>
  </si>
  <si>
    <r>
      <t>(t</t>
    </r>
    <r>
      <rPr>
        <vertAlign val="subscript"/>
        <sz val="10"/>
        <rFont val="Trebuchet MS"/>
        <family val="2"/>
      </rPr>
      <t>X</t>
    </r>
    <r>
      <rPr>
        <sz val="10"/>
        <rFont val="Trebuchet MS"/>
        <family val="2"/>
      </rPr>
      <t>) Temperature of water in the filled unknown vessel</t>
    </r>
  </si>
  <si>
    <r>
      <t>(ρ</t>
    </r>
    <r>
      <rPr>
        <vertAlign val="subscript"/>
        <sz val="10"/>
        <rFont val="Trebuchet MS"/>
        <family val="2"/>
      </rPr>
      <t>wS</t>
    </r>
    <r>
      <rPr>
        <sz val="10"/>
        <rFont val="Trebuchet MS"/>
        <family val="2"/>
      </rPr>
      <t>) Density of water in the standard in g/cm3</t>
    </r>
  </si>
  <si>
    <r>
      <t>(ρ</t>
    </r>
    <r>
      <rPr>
        <vertAlign val="subscript"/>
        <sz val="10"/>
        <rFont val="Trebuchet MS"/>
        <family val="2"/>
      </rPr>
      <t>wX</t>
    </r>
    <r>
      <rPr>
        <sz val="10"/>
        <rFont val="Trebuchet MS"/>
        <family val="2"/>
      </rPr>
      <t>) Density of water in the unknown vessel in g/cm3</t>
    </r>
  </si>
  <si>
    <r>
      <t>Uncertainty of standard(s), V</t>
    </r>
    <r>
      <rPr>
        <vertAlign val="subscript"/>
        <sz val="10"/>
        <rFont val="Trebuchet MS"/>
        <family val="2"/>
      </rPr>
      <t>S</t>
    </r>
    <r>
      <rPr>
        <sz val="10"/>
        <rFont val="Trebuchet MS"/>
        <family val="2"/>
      </rPr>
      <t>, from calibration report, normal distribution, k =1</t>
    </r>
  </si>
  <si>
    <t>Input description</t>
  </si>
  <si>
    <t>Variable name, symbol</t>
  </si>
  <si>
    <t>Value</t>
  </si>
  <si>
    <t>units</t>
  </si>
  <si>
    <t>Reported uncer.</t>
  </si>
  <si>
    <t>Factor to normalize</t>
  </si>
  <si>
    <t>df</t>
  </si>
  <si>
    <t>Uniform</t>
  </si>
  <si>
    <t>α</t>
  </si>
  <si>
    <t>Reference Temperature</t>
  </si>
  <si>
    <t>Volume Standards</t>
  </si>
  <si>
    <t>Unknown Vessel Cubic Coefficient of Expansion</t>
  </si>
  <si>
    <t>Standard Water Temperature</t>
  </si>
  <si>
    <t>Unknown Vessel Water Temperature</t>
  </si>
  <si>
    <t>Standard Water Density</t>
  </si>
  <si>
    <t>Standard Cubic Coefficient
 of Expansion</t>
  </si>
  <si>
    <t>Unknown Vessel
 Water Density</t>
  </si>
  <si>
    <t>Result</t>
  </si>
  <si>
    <t>k</t>
  </si>
  <si>
    <t>U</t>
  </si>
  <si>
    <t>Accuracy for thermometer used for measuring water temperature (NIST HB 145, SOP 19, accurate to ± 0.1 ºC), uniform distribution</t>
  </si>
  <si>
    <t>Expand uncertainty for this calibration (k=2) =</t>
  </si>
  <si>
    <t>Accredited best uncertainty (e.g. NVLAP, A2LA, etc.) (k=2) =</t>
  </si>
  <si>
    <t>Uncertainty to be reported for this calibration (k=2) =</t>
  </si>
  <si>
    <t>(sp) Uncertainty associated with the measurement process from the mean range divided by the d*2 value from NIST HB 145, Table 9.1, normal distribution</t>
  </si>
  <si>
    <r>
      <t xml:space="preserve">Note:  If ID Code cell turns </t>
    </r>
    <r>
      <rPr>
        <sz val="10"/>
        <color indexed="10"/>
        <rFont val="Trebuchet MS"/>
        <family val="2"/>
      </rPr>
      <t>RED</t>
    </r>
    <r>
      <rPr>
        <sz val="10"/>
        <rFont val="Trebuchet MS"/>
        <family val="2"/>
      </rPr>
      <t xml:space="preserve"> the standard calibration
          is void, calibrate before use.</t>
    </r>
  </si>
  <si>
    <r>
      <t>c</t>
    </r>
    <r>
      <rPr>
        <b/>
        <i/>
        <vertAlign val="subscript"/>
        <sz val="9"/>
        <rFont val="Trebuchet MS"/>
        <family val="2"/>
      </rPr>
      <t>i</t>
    </r>
    <r>
      <rPr>
        <b/>
        <i/>
        <sz val="9"/>
        <rFont val="Trebuchet MS"/>
        <family val="2"/>
      </rPr>
      <t>u</t>
    </r>
    <r>
      <rPr>
        <b/>
        <i/>
        <vertAlign val="subscript"/>
        <sz val="9"/>
        <rFont val="Trebuchet MS"/>
        <family val="2"/>
      </rPr>
      <t>i</t>
    </r>
  </si>
  <si>
    <r>
      <t>(</t>
    </r>
    <r>
      <rPr>
        <b/>
        <i/>
        <sz val="9"/>
        <rFont val="Trebuchet MS"/>
        <family val="2"/>
      </rPr>
      <t>c</t>
    </r>
    <r>
      <rPr>
        <b/>
        <i/>
        <vertAlign val="subscript"/>
        <sz val="9"/>
        <rFont val="Trebuchet MS"/>
        <family val="2"/>
      </rPr>
      <t>i</t>
    </r>
    <r>
      <rPr>
        <b/>
        <i/>
        <sz val="9"/>
        <rFont val="Trebuchet MS"/>
        <family val="2"/>
      </rPr>
      <t>u</t>
    </r>
    <r>
      <rPr>
        <b/>
        <i/>
        <vertAlign val="subscript"/>
        <sz val="9"/>
        <rFont val="Trebuchet MS"/>
        <family val="2"/>
      </rPr>
      <t>i</t>
    </r>
    <r>
      <rPr>
        <b/>
        <sz val="9"/>
        <rFont val="Trebuchet MS"/>
        <family val="2"/>
      </rPr>
      <t>)</t>
    </r>
    <r>
      <rPr>
        <b/>
        <vertAlign val="superscript"/>
        <sz val="9"/>
        <rFont val="Trebuchet MS"/>
        <family val="2"/>
      </rPr>
      <t>2</t>
    </r>
  </si>
  <si>
    <r>
      <t>&lt;--rel (</t>
    </r>
    <r>
      <rPr>
        <i/>
        <sz val="10"/>
        <color indexed="10"/>
        <rFont val="Trebuchet MS"/>
        <family val="2"/>
      </rPr>
      <t>c</t>
    </r>
    <r>
      <rPr>
        <i/>
        <vertAlign val="subscript"/>
        <sz val="10"/>
        <color indexed="10"/>
        <rFont val="Trebuchet MS"/>
        <family val="2"/>
      </rPr>
      <t>i</t>
    </r>
    <r>
      <rPr>
        <i/>
        <sz val="10"/>
        <color indexed="10"/>
        <rFont val="Trebuchet MS"/>
        <family val="2"/>
      </rPr>
      <t>u</t>
    </r>
    <r>
      <rPr>
        <i/>
        <vertAlign val="subscript"/>
        <sz val="10"/>
        <color indexed="10"/>
        <rFont val="Trebuchet MS"/>
        <family val="2"/>
      </rPr>
      <t>i</t>
    </r>
    <r>
      <rPr>
        <sz val="10"/>
        <color indexed="10"/>
        <rFont val="Trebuchet MS"/>
        <family val="2"/>
      </rPr>
      <t>)</t>
    </r>
    <r>
      <rPr>
        <vertAlign val="superscript"/>
        <sz val="10"/>
        <color indexed="10"/>
        <rFont val="Trebuchet MS"/>
        <family val="2"/>
      </rPr>
      <t>2</t>
    </r>
  </si>
  <si>
    <r>
      <t>c</t>
    </r>
    <r>
      <rPr>
        <b/>
        <i/>
        <vertAlign val="subscript"/>
        <sz val="9"/>
        <color indexed="12"/>
        <rFont val="Trebuchet MS"/>
        <family val="2"/>
      </rPr>
      <t>i</t>
    </r>
  </si>
  <si>
    <r>
      <t>∑ (</t>
    </r>
    <r>
      <rPr>
        <i/>
        <sz val="10"/>
        <color indexed="10"/>
        <rFont val="Trebuchet MS"/>
        <family val="2"/>
      </rPr>
      <t>c</t>
    </r>
    <r>
      <rPr>
        <i/>
        <vertAlign val="subscript"/>
        <sz val="10"/>
        <color indexed="10"/>
        <rFont val="Trebuchet MS"/>
        <family val="2"/>
      </rPr>
      <t>i</t>
    </r>
    <r>
      <rPr>
        <i/>
        <sz val="10"/>
        <color indexed="10"/>
        <rFont val="Trebuchet MS"/>
        <family val="2"/>
      </rPr>
      <t>u</t>
    </r>
    <r>
      <rPr>
        <i/>
        <vertAlign val="subscript"/>
        <sz val="10"/>
        <color indexed="10"/>
        <rFont val="Trebuchet MS"/>
        <family val="2"/>
      </rPr>
      <t>i</t>
    </r>
    <r>
      <rPr>
        <sz val="10"/>
        <color indexed="10"/>
        <rFont val="Trebuchet MS"/>
        <family val="2"/>
      </rPr>
      <t>)</t>
    </r>
    <r>
      <rPr>
        <vertAlign val="superscript"/>
        <sz val="10"/>
        <color indexed="10"/>
        <rFont val="Trebuchet MS"/>
        <family val="2"/>
      </rPr>
      <t>2</t>
    </r>
  </si>
  <si>
    <r>
      <t>(</t>
    </r>
    <r>
      <rPr>
        <b/>
        <i/>
        <sz val="10"/>
        <rFont val="Trebuchet MS"/>
        <family val="2"/>
      </rPr>
      <t>U</t>
    </r>
    <r>
      <rPr>
        <vertAlign val="subscript"/>
        <sz val="10"/>
        <rFont val="Trebuchet MS"/>
        <family val="2"/>
      </rPr>
      <t>relative</t>
    </r>
    <r>
      <rPr>
        <sz val="10"/>
        <rFont val="Trebuchet MS"/>
        <family val="2"/>
      </rPr>
      <t>, %)</t>
    </r>
  </si>
  <si>
    <t>Measurement
Equation
 Inputs</t>
  </si>
  <si>
    <r>
      <t xml:space="preserve">Standard uncer., </t>
    </r>
    <r>
      <rPr>
        <i/>
        <sz val="11"/>
        <rFont val="Trebuchet MS"/>
        <family val="2"/>
      </rPr>
      <t>u</t>
    </r>
    <r>
      <rPr>
        <i/>
        <vertAlign val="subscript"/>
        <sz val="11"/>
        <rFont val="Trebuchet MS"/>
        <family val="2"/>
      </rPr>
      <t>i</t>
    </r>
  </si>
  <si>
    <r>
      <t xml:space="preserve">Rel. </t>
    </r>
    <r>
      <rPr>
        <i/>
        <sz val="11"/>
        <color indexed="61"/>
        <rFont val="Trebuchet MS"/>
        <family val="2"/>
      </rPr>
      <t>u</t>
    </r>
    <r>
      <rPr>
        <i/>
        <vertAlign val="subscript"/>
        <sz val="11"/>
        <color indexed="61"/>
        <rFont val="Trebuchet MS"/>
        <family val="2"/>
      </rPr>
      <t xml:space="preserve">i </t>
    </r>
    <r>
      <rPr>
        <sz val="11"/>
        <color indexed="61"/>
        <rFont val="Trebuchet MS"/>
        <family val="2"/>
      </rPr>
      <t>(%)</t>
    </r>
  </si>
  <si>
    <r>
      <t>V</t>
    </r>
    <r>
      <rPr>
        <vertAlign val="subscript"/>
        <sz val="10"/>
        <color indexed="10"/>
        <rFont val="Trebuchet MS"/>
        <family val="2"/>
      </rPr>
      <t>StrefS</t>
    </r>
  </si>
  <si>
    <r>
      <t>Δ (s</t>
    </r>
    <r>
      <rPr>
        <vertAlign val="subscript"/>
        <sz val="10"/>
        <color indexed="10"/>
        <rFont val="Trebuchet MS"/>
        <family val="2"/>
      </rPr>
      <t>p</t>
    </r>
    <r>
      <rPr>
        <sz val="10"/>
        <color indexed="10"/>
        <rFont val="Trebuchet MS"/>
        <family val="2"/>
      </rPr>
      <t>)</t>
    </r>
  </si>
  <si>
    <r>
      <t>t</t>
    </r>
    <r>
      <rPr>
        <vertAlign val="subscript"/>
        <sz val="10"/>
        <color indexed="10"/>
        <rFont val="Trebuchet MS"/>
        <family val="2"/>
      </rPr>
      <t>S</t>
    </r>
  </si>
  <si>
    <r>
      <t>t</t>
    </r>
    <r>
      <rPr>
        <vertAlign val="subscript"/>
        <sz val="10"/>
        <color indexed="10"/>
        <rFont val="Trebuchet MS"/>
        <family val="2"/>
      </rPr>
      <t>X</t>
    </r>
  </si>
  <si>
    <r>
      <t>ρ</t>
    </r>
    <r>
      <rPr>
        <vertAlign val="subscript"/>
        <sz val="10"/>
        <color indexed="10"/>
        <rFont val="Trebuchet MS"/>
        <family val="2"/>
      </rPr>
      <t>wS</t>
    </r>
  </si>
  <si>
    <r>
      <t>ρ</t>
    </r>
    <r>
      <rPr>
        <vertAlign val="subscript"/>
        <sz val="10"/>
        <color indexed="10"/>
        <rFont val="Trebuchet MS"/>
        <family val="2"/>
      </rPr>
      <t>wX</t>
    </r>
  </si>
  <si>
    <r>
      <t>t</t>
    </r>
    <r>
      <rPr>
        <vertAlign val="subscript"/>
        <sz val="10"/>
        <color indexed="10"/>
        <rFont val="Trebuchet MS"/>
        <family val="2"/>
      </rPr>
      <t>refX</t>
    </r>
  </si>
  <si>
    <t>uc</t>
  </si>
  <si>
    <r>
      <t>u</t>
    </r>
    <r>
      <rPr>
        <b/>
        <vertAlign val="subscript"/>
        <sz val="10"/>
        <rFont val="Trebuchet MS"/>
        <family val="2"/>
      </rPr>
      <t>c</t>
    </r>
  </si>
  <si>
    <t>Input Table (Convert Component Uncertainties For Use In Kragten Spreadsheet)</t>
  </si>
  <si>
    <t>Kragten Spreadsheet (Calculate Each Component Uncertainty Impact, Combine and Expand)</t>
  </si>
  <si>
    <t>Weight of Each Component Uncertainty</t>
  </si>
  <si>
    <t>Determine Expanded Uncertainty For This Calibration</t>
  </si>
  <si>
    <t>(α) Cubic Coefficient of Expansion for the standard material</t>
  </si>
  <si>
    <t>Uncertainty associated with reading the meniscus of the standard(s), for each transfer, and unknown vessel, ASTM E 694, paragraph A1.6.2, estimation of 1/10 of smallest scale increment, uniform distribution</t>
  </si>
  <si>
    <r>
      <t>Trial 1 V</t>
    </r>
    <r>
      <rPr>
        <vertAlign val="subscript"/>
        <sz val="10"/>
        <rFont val="Trebuchet MS"/>
        <family val="2"/>
      </rPr>
      <t>XtrefX</t>
    </r>
    <r>
      <rPr>
        <sz val="10"/>
        <rFont val="Trebuchet MS"/>
        <family val="2"/>
      </rPr>
      <t xml:space="preserve"> =</t>
    </r>
  </si>
  <si>
    <r>
      <t>Trial 2 V</t>
    </r>
    <r>
      <rPr>
        <vertAlign val="subscript"/>
        <sz val="10"/>
        <rFont val="Trebuchet MS"/>
        <family val="2"/>
      </rPr>
      <t>XtrefX</t>
    </r>
    <r>
      <rPr>
        <sz val="10"/>
        <rFont val="Trebuchet MS"/>
        <family val="2"/>
      </rPr>
      <t xml:space="preserve"> =</t>
    </r>
  </si>
  <si>
    <r>
      <t>(V</t>
    </r>
    <r>
      <rPr>
        <vertAlign val="subscript"/>
        <sz val="10"/>
        <rFont val="Trebuchet MS"/>
        <family val="2"/>
      </rPr>
      <t>S</t>
    </r>
    <r>
      <rPr>
        <sz val="10"/>
        <rFont val="Trebuchet MS"/>
        <family val="2"/>
      </rPr>
      <t>) Delivered Volume of the standard(s)</t>
    </r>
  </si>
  <si>
    <t>Tolerance - Expanded Uncertainty =</t>
  </si>
  <si>
    <t>Measurement Control Evaluation</t>
  </si>
  <si>
    <t>Unknown vessel scale reading</t>
  </si>
  <si>
    <t>NIST HB 145, SOP 19, Calibration of Large Neck-Type Metal Provers - Volumetric Method</t>
  </si>
  <si>
    <t>Data Values (based on trial 1)</t>
  </si>
  <si>
    <t>Reported Uncertainties</t>
  </si>
  <si>
    <t>Designated Reference Temperature For This Calibration (ºF)</t>
  </si>
  <si>
    <t>Designated Reference Temperature For This Calibration (ºC)</t>
  </si>
  <si>
    <t>Volume at the Reference Temperature</t>
  </si>
  <si>
    <t>Plastic, Polypropylene</t>
  </si>
  <si>
    <t>Prover</t>
  </si>
  <si>
    <t>Test Measure</t>
  </si>
  <si>
    <t>Calibration Report Statements</t>
  </si>
  <si>
    <t>Artifact Specification</t>
  </si>
  <si>
    <t>NIST HB 105-3</t>
  </si>
  <si>
    <t>User</t>
  </si>
  <si>
    <t>Calculations</t>
  </si>
  <si>
    <r>
      <t xml:space="preserve">●  The artifact is considered in-tolerance when the error is equal to or less than the specified tolerance minus the measurement
    uncertainty. </t>
    </r>
    <r>
      <rPr>
        <b/>
        <sz val="10"/>
        <rFont val="Times New Roman"/>
        <family val="1"/>
      </rPr>
      <t>Bold</t>
    </r>
    <r>
      <rPr>
        <sz val="10"/>
        <rFont val="Times New Roman"/>
        <family val="1"/>
      </rPr>
      <t xml:space="preserve"> </t>
    </r>
    <r>
      <rPr>
        <b/>
        <sz val="10"/>
        <rFont val="Times New Roman"/>
        <family val="1"/>
      </rPr>
      <t>print</t>
    </r>
    <r>
      <rPr>
        <sz val="10"/>
        <rFont val="Times New Roman"/>
        <family val="1"/>
      </rPr>
      <t xml:space="preserve"> indicates an out-of-tolerance reading.</t>
    </r>
  </si>
  <si>
    <t>Specification Tolerance (% of capacity)</t>
  </si>
  <si>
    <t>Serial
Number</t>
  </si>
  <si>
    <t>Reference
Temperature
(trefS) (ºF)</t>
  </si>
  <si>
    <t>Scale
Graduations
(in³)</t>
  </si>
  <si>
    <t>Unc
(gal)</t>
  </si>
  <si>
    <t>Report
#</t>
  </si>
  <si>
    <t>Cal
Date</t>
  </si>
  <si>
    <t>Due
Date</t>
  </si>
  <si>
    <t>Volume (VS)
(gal)</t>
  </si>
  <si>
    <t>CCE / ºF</t>
  </si>
  <si>
    <t>Scale
Graduations
(mL)</t>
  </si>
  <si>
    <t>Unc
(L)</t>
  </si>
  <si>
    <t>Volume (VS)
(L)</t>
  </si>
  <si>
    <r>
      <t>Manufacture
Stated
Accuracy
(ºC)</t>
    </r>
  </si>
  <si>
    <t>Accredited by the National Institute of Standards and Technology (NIST) through the National Voluntary Laboratory Accreditation Program (NVLAP) for the specified scope of accreditation under lab code YOUR-LAB-CODE. This laboratory meets the requirements of ISO/IEC 17025 and ANSI/NCSL Z540-1. This report may not be used to claim product endorsement by NVLAP or any other government agency, and may not be reproduced, except in full, without written approval from the laboratory.</t>
  </si>
  <si>
    <t>YOUR</t>
  </si>
  <si>
    <t>LABORATORY</t>
  </si>
  <si>
    <t>ADDRESS</t>
  </si>
  <si>
    <t>AND CONTACT INFORMATION</t>
  </si>
  <si>
    <t>State Metrologist</t>
  </si>
  <si>
    <t>The item(s) listed above have been compared to the Standards of the State of YOUR-STATE. The Standards of the State of YOUR-STATE are traceable to the National Institute of Standards and Technology (NIST) and are part of a comprehensive measurement assurance program for ensuring continued accuracy and measurement traceability within the level of uncertainty reported by this laboratory. The report of calibration number identified in the title of this report is the unique report number to be used in referencing measurement traceability for the artifact(s) identified in this report only.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</si>
</sst>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0_)"/>
    <numFmt numFmtId="166" formatCode="0.000000_)"/>
    <numFmt numFmtId="167" formatCode=";;"/>
    <numFmt numFmtId="168" formatCode="0.000000000"/>
    <numFmt numFmtId="169" formatCode="0.000000"/>
    <numFmt numFmtId="170" formatCode="[$-409]mmmm\ d\,\ yyyy;@"/>
    <numFmt numFmtId="171" formatCode="0.000\ 000"/>
    <numFmt numFmtId="172" formatCode="0.000\ 000\ 000"/>
    <numFmt numFmtId="173" formatCode="0.0##\ ###"/>
    <numFmt numFmtId="174" formatCode="&quot;●  The Neck Scale Calibration Value (NSCV) = &quot;0.0##\ ###"/>
    <numFmt numFmtId="175" formatCode="[&lt;=9999999]###\-####;\(###\)\ ###\-####"/>
    <numFmt numFmtId="176" formatCode="0.0##\ ###\ #"/>
    <numFmt numFmtId="177" formatCode="0.0##\ ###\ ###"/>
    <numFmt numFmtId="178" formatCode="0.00\ %"/>
    <numFmt numFmtId="179" formatCode="&quot;Phone #..............: &quot;\(000\)\ 000\-0000"/>
    <numFmt numFmtId="180" formatCode="&quot;Phone #................: &quot;\(000\)\ 000\-0000"/>
    <numFmt numFmtId="181" formatCode="0.0##\ #"/>
    <numFmt numFmtId="182" formatCode="\+\ 0.0##\ ###"/>
    <numFmt numFmtId="183" formatCode="\-\ 0.0##\ ###"/>
    <numFmt numFmtId="184" formatCode="#,##0.0##\ ###"/>
    <numFmt numFmtId="185" formatCode="###,##0.0##\ ###\ ###"/>
    <numFmt numFmtId="186" formatCode="0.0##\ ###\ "/>
    <numFmt numFmtId="187" formatCode="0.000000000000"/>
    <numFmt numFmtId="188" formatCode="0.00000"/>
    <numFmt numFmtId="189" formatCode="0.0%"/>
    <numFmt numFmtId="190" formatCode="0.0##\ ###%"/>
    <numFmt numFmtId="191" formatCode="0.0##\ ###_)"/>
    <numFmt numFmtId="192" formatCode="0.0#\ ###\ ###"/>
    <numFmt numFmtId="193" formatCode="0.0##\ "/>
  </numFmts>
  <fonts count="112">
    <font>
      <sz val="12"/>
      <name val="Helv"/>
      <family val="0"/>
    </font>
    <font>
      <b/>
      <sz val="10"/>
      <name val="Arial"/>
      <family val="0"/>
    </font>
    <font>
      <i/>
      <sz val="10"/>
      <name val="Arial"/>
      <family val="0"/>
    </font>
    <font>
      <b/>
      <i/>
      <sz val="10"/>
      <name val="Arial"/>
      <family val="0"/>
    </font>
    <font>
      <sz val="10"/>
      <name val="Arial"/>
      <family val="0"/>
    </font>
    <font>
      <sz val="12"/>
      <name val="Times New Roman"/>
      <family val="1"/>
    </font>
    <font>
      <sz val="10"/>
      <name val="Times New Roman"/>
      <family val="1"/>
    </font>
    <font>
      <sz val="18"/>
      <name val="Arial"/>
      <family val="0"/>
    </font>
    <font>
      <sz val="12"/>
      <name val="Arial"/>
      <family val="0"/>
    </font>
    <font>
      <b/>
      <sz val="12"/>
      <name val="Times New Roman"/>
      <family val="1"/>
    </font>
    <font>
      <b/>
      <i/>
      <sz val="12"/>
      <name val="Times New Roman"/>
      <family val="1"/>
    </font>
    <font>
      <sz val="11"/>
      <name val="Times New Roman"/>
      <family val="1"/>
    </font>
    <font>
      <sz val="10"/>
      <name val="Helv"/>
      <family val="0"/>
    </font>
    <font>
      <sz val="10"/>
      <name val="Courier"/>
      <family val="0"/>
    </font>
    <font>
      <sz val="8"/>
      <name val="Helv"/>
      <family val="0"/>
    </font>
    <font>
      <u val="single"/>
      <sz val="10"/>
      <color indexed="36"/>
      <name val="Arial"/>
      <family val="0"/>
    </font>
    <font>
      <u val="single"/>
      <sz val="10"/>
      <color indexed="12"/>
      <name val="Arial"/>
      <family val="0"/>
    </font>
    <font>
      <sz val="8"/>
      <name val="Arial"/>
      <family val="0"/>
    </font>
    <font>
      <sz val="12"/>
      <color indexed="12"/>
      <name val="Times New Roman"/>
      <family val="1"/>
    </font>
    <font>
      <b/>
      <sz val="11"/>
      <name val="Times New Roman"/>
      <family val="1"/>
    </font>
    <font>
      <b/>
      <sz val="8"/>
      <color indexed="8"/>
      <name val="Times New Roman"/>
      <family val="1"/>
    </font>
    <font>
      <sz val="11"/>
      <color indexed="8"/>
      <name val="Times New Roman"/>
      <family val="1"/>
    </font>
    <font>
      <sz val="14"/>
      <color indexed="8"/>
      <name val="Times New Roman"/>
      <family val="1"/>
    </font>
    <font>
      <sz val="8"/>
      <color indexed="8"/>
      <name val="Times New Roman"/>
      <family val="1"/>
    </font>
    <font>
      <u val="single"/>
      <sz val="8"/>
      <color indexed="12"/>
      <name val="Arial"/>
      <family val="0"/>
    </font>
    <font>
      <sz val="10"/>
      <color indexed="8"/>
      <name val="Times New Roman"/>
      <family val="1"/>
    </font>
    <font>
      <sz val="10"/>
      <color indexed="8"/>
      <name val="Symbol"/>
      <family val="1"/>
    </font>
    <font>
      <sz val="12"/>
      <name val="Trebuchet MS"/>
      <family val="2"/>
    </font>
    <font>
      <sz val="12"/>
      <name val="Tahoma"/>
      <family val="2"/>
    </font>
    <font>
      <b/>
      <sz val="12"/>
      <name val="Trebuchet MS"/>
      <family val="2"/>
    </font>
    <font>
      <sz val="10"/>
      <name val="Trebuchet MS"/>
      <family val="2"/>
    </font>
    <font>
      <sz val="11"/>
      <name val="Trebuchet MS"/>
      <family val="2"/>
    </font>
    <font>
      <vertAlign val="superscript"/>
      <sz val="10"/>
      <name val="Trebuchet MS"/>
      <family val="2"/>
    </font>
    <font>
      <sz val="11"/>
      <name val="Tahoma"/>
      <family val="2"/>
    </font>
    <font>
      <sz val="16"/>
      <name val="Trebuchet MS"/>
      <family val="2"/>
    </font>
    <font>
      <sz val="10"/>
      <name val="SuperSub"/>
      <family val="1"/>
    </font>
    <font>
      <sz val="9"/>
      <color indexed="10"/>
      <name val="Trebuchet MS"/>
      <family val="2"/>
    </font>
    <font>
      <sz val="9"/>
      <name val="Trebuchet MS"/>
      <family val="2"/>
    </font>
    <font>
      <i/>
      <sz val="9"/>
      <color indexed="10"/>
      <name val="Trebuchet MS"/>
      <family val="2"/>
    </font>
    <font>
      <sz val="10"/>
      <name val="Tahoma"/>
      <family val="2"/>
    </font>
    <font>
      <b/>
      <i/>
      <sz val="12"/>
      <color indexed="8"/>
      <name val="Times New Roman"/>
      <family val="1"/>
    </font>
    <font>
      <i/>
      <sz val="11"/>
      <name val="Times New Roman"/>
      <family val="1"/>
    </font>
    <font>
      <b/>
      <sz val="10"/>
      <name val="Times New Roman"/>
      <family val="1"/>
    </font>
    <font>
      <vertAlign val="subscript"/>
      <sz val="10"/>
      <name val="Trebuchet MS"/>
      <family val="2"/>
    </font>
    <font>
      <sz val="8"/>
      <name val="Trebuchet MS"/>
      <family val="2"/>
    </font>
    <font>
      <i/>
      <sz val="10"/>
      <color indexed="8"/>
      <name val="Times New Roman"/>
      <family val="1"/>
    </font>
    <font>
      <b/>
      <i/>
      <sz val="10"/>
      <name val="Trebuchet MS"/>
      <family val="2"/>
    </font>
    <font>
      <b/>
      <sz val="10"/>
      <name val="Trebuchet MS"/>
      <family val="2"/>
    </font>
    <font>
      <i/>
      <sz val="11"/>
      <name val="Tahoma"/>
      <family val="2"/>
    </font>
    <font>
      <i/>
      <sz val="10"/>
      <name val="Trebuchet MS"/>
      <family val="2"/>
    </font>
    <font>
      <b/>
      <sz val="11"/>
      <color indexed="18"/>
      <name val="Tahoma"/>
      <family val="2"/>
    </font>
    <font>
      <b/>
      <sz val="11"/>
      <name val="Tahoma"/>
      <family val="2"/>
    </font>
    <font>
      <b/>
      <sz val="11"/>
      <color indexed="9"/>
      <name val="Tahoma"/>
      <family val="2"/>
    </font>
    <font>
      <b/>
      <i/>
      <sz val="12"/>
      <color indexed="63"/>
      <name val="Trebuchet MS"/>
      <family val="2"/>
    </font>
    <font>
      <b/>
      <i/>
      <vertAlign val="subscript"/>
      <sz val="12"/>
      <color indexed="63"/>
      <name val="Trebuchet MS"/>
      <family val="2"/>
    </font>
    <font>
      <b/>
      <sz val="12"/>
      <color indexed="63"/>
      <name val="Trebuchet MS"/>
      <family val="2"/>
    </font>
    <font>
      <b/>
      <i/>
      <sz val="10"/>
      <color indexed="56"/>
      <name val="Trebuchet MS"/>
      <family val="2"/>
    </font>
    <font>
      <b/>
      <sz val="10"/>
      <color indexed="61"/>
      <name val="Trebuchet MS"/>
      <family val="2"/>
    </font>
    <font>
      <b/>
      <sz val="14"/>
      <color indexed="62"/>
      <name val="Trebuchet MS"/>
      <family val="2"/>
    </font>
    <font>
      <b/>
      <i/>
      <sz val="14"/>
      <color indexed="10"/>
      <name val="Trebuchet MS"/>
      <family val="2"/>
    </font>
    <font>
      <b/>
      <i/>
      <sz val="10"/>
      <color indexed="10"/>
      <name val="Trebuchet MS"/>
      <family val="2"/>
    </font>
    <font>
      <sz val="11"/>
      <color indexed="16"/>
      <name val="Trebuchet MS"/>
      <family val="2"/>
    </font>
    <font>
      <sz val="11"/>
      <name val="Arial"/>
      <family val="2"/>
    </font>
    <font>
      <b/>
      <i/>
      <sz val="14"/>
      <color indexed="60"/>
      <name val="Trebuchet MS"/>
      <family val="2"/>
    </font>
    <font>
      <i/>
      <vertAlign val="subscript"/>
      <sz val="10"/>
      <name val="Trebuchet MS"/>
      <family val="2"/>
    </font>
    <font>
      <sz val="14"/>
      <name val="Trebuchet MS"/>
      <family val="2"/>
    </font>
    <font>
      <b/>
      <sz val="11"/>
      <color indexed="58"/>
      <name val="Trebuchet MS"/>
      <family val="2"/>
    </font>
    <font>
      <sz val="10"/>
      <color indexed="10"/>
      <name val="Trebuchet MS"/>
      <family val="2"/>
    </font>
    <font>
      <i/>
      <vertAlign val="subscript"/>
      <sz val="11"/>
      <name val="Tahoma"/>
      <family val="2"/>
    </font>
    <font>
      <sz val="10"/>
      <color indexed="12"/>
      <name val="Trebuchet MS"/>
      <family val="2"/>
    </font>
    <font>
      <sz val="11"/>
      <color indexed="12"/>
      <name val="Tahoma"/>
      <family val="2"/>
    </font>
    <font>
      <sz val="11"/>
      <color indexed="61"/>
      <name val="Tahoma"/>
      <family val="2"/>
    </font>
    <font>
      <sz val="10"/>
      <color indexed="61"/>
      <name val="Trebuchet MS"/>
      <family val="2"/>
    </font>
    <font>
      <sz val="10"/>
      <color indexed="8"/>
      <name val="Arial"/>
      <family val="0"/>
    </font>
    <font>
      <sz val="11"/>
      <color indexed="12"/>
      <name val="Arial"/>
      <family val="2"/>
    </font>
    <font>
      <sz val="10"/>
      <color indexed="61"/>
      <name val="Tahoma"/>
      <family val="2"/>
    </font>
    <font>
      <sz val="10"/>
      <name val="MS Sans Serif"/>
      <family val="0"/>
    </font>
    <font>
      <b/>
      <i/>
      <sz val="9"/>
      <name val="Arial"/>
      <family val="2"/>
    </font>
    <font>
      <sz val="17.25"/>
      <name val="Times New Roman"/>
      <family val="0"/>
    </font>
    <font>
      <sz val="14.25"/>
      <name val="Times New Roman"/>
      <family val="0"/>
    </font>
    <font>
      <sz val="10"/>
      <color indexed="12"/>
      <name val="Tahoma"/>
      <family val="2"/>
    </font>
    <font>
      <sz val="10"/>
      <color indexed="10"/>
      <name val="Tahoma"/>
      <family val="2"/>
    </font>
    <font>
      <sz val="8"/>
      <color indexed="12"/>
      <name val="Tahoma"/>
      <family val="2"/>
    </font>
    <font>
      <b/>
      <i/>
      <sz val="9"/>
      <name val="Trebuchet MS"/>
      <family val="2"/>
    </font>
    <font>
      <b/>
      <i/>
      <vertAlign val="subscript"/>
      <sz val="9"/>
      <name val="Trebuchet MS"/>
      <family val="2"/>
    </font>
    <font>
      <b/>
      <sz val="9"/>
      <name val="Trebuchet MS"/>
      <family val="2"/>
    </font>
    <font>
      <b/>
      <vertAlign val="superscript"/>
      <sz val="9"/>
      <name val="Trebuchet MS"/>
      <family val="2"/>
    </font>
    <font>
      <i/>
      <sz val="10"/>
      <color indexed="10"/>
      <name val="Trebuchet MS"/>
      <family val="2"/>
    </font>
    <font>
      <i/>
      <vertAlign val="subscript"/>
      <sz val="10"/>
      <color indexed="10"/>
      <name val="Trebuchet MS"/>
      <family val="2"/>
    </font>
    <font>
      <vertAlign val="superscript"/>
      <sz val="10"/>
      <color indexed="10"/>
      <name val="Trebuchet MS"/>
      <family val="2"/>
    </font>
    <font>
      <b/>
      <i/>
      <sz val="9"/>
      <color indexed="12"/>
      <name val="Trebuchet MS"/>
      <family val="2"/>
    </font>
    <font>
      <b/>
      <i/>
      <vertAlign val="subscript"/>
      <sz val="9"/>
      <color indexed="12"/>
      <name val="Trebuchet MS"/>
      <family val="2"/>
    </font>
    <font>
      <i/>
      <sz val="11"/>
      <name val="Trebuchet MS"/>
      <family val="2"/>
    </font>
    <font>
      <sz val="11"/>
      <color indexed="61"/>
      <name val="Trebuchet MS"/>
      <family val="2"/>
    </font>
    <font>
      <sz val="11"/>
      <color indexed="10"/>
      <name val="Trebuchet MS"/>
      <family val="2"/>
    </font>
    <font>
      <sz val="11"/>
      <color indexed="12"/>
      <name val="Trebuchet MS"/>
      <family val="2"/>
    </font>
    <font>
      <i/>
      <vertAlign val="subscript"/>
      <sz val="11"/>
      <name val="Trebuchet MS"/>
      <family val="2"/>
    </font>
    <font>
      <i/>
      <sz val="11"/>
      <color indexed="61"/>
      <name val="Trebuchet MS"/>
      <family val="2"/>
    </font>
    <font>
      <i/>
      <vertAlign val="subscript"/>
      <sz val="11"/>
      <color indexed="61"/>
      <name val="Trebuchet MS"/>
      <family val="2"/>
    </font>
    <font>
      <vertAlign val="subscript"/>
      <sz val="10"/>
      <color indexed="10"/>
      <name val="Trebuchet MS"/>
      <family val="2"/>
    </font>
    <font>
      <b/>
      <vertAlign val="subscript"/>
      <sz val="10"/>
      <name val="Trebuchet MS"/>
      <family val="2"/>
    </font>
    <font>
      <i/>
      <sz val="14"/>
      <name val="Times New Roman"/>
      <family val="1"/>
    </font>
    <font>
      <b/>
      <sz val="12"/>
      <name val="Arial"/>
      <family val="2"/>
    </font>
    <font>
      <b/>
      <sz val="14"/>
      <name val="Trebuchet MS"/>
      <family val="2"/>
    </font>
    <font>
      <b/>
      <i/>
      <sz val="14"/>
      <color indexed="62"/>
      <name val="Trebuchet MS"/>
      <family val="2"/>
    </font>
    <font>
      <b/>
      <sz val="12"/>
      <color indexed="61"/>
      <name val="Trebuchet MS"/>
      <family val="2"/>
    </font>
    <font>
      <b/>
      <sz val="12"/>
      <color indexed="60"/>
      <name val="Trebuchet MS"/>
      <family val="2"/>
    </font>
    <font>
      <b/>
      <i/>
      <sz val="12"/>
      <color indexed="10"/>
      <name val="Trebuchet MS"/>
      <family val="2"/>
    </font>
    <font>
      <b/>
      <sz val="12"/>
      <color indexed="10"/>
      <name val="Trebuchet MS"/>
      <family val="2"/>
    </font>
    <font>
      <b/>
      <i/>
      <sz val="14"/>
      <name val="Trebuchet MS"/>
      <family val="2"/>
    </font>
    <font>
      <sz val="8"/>
      <name val="Tahoma"/>
      <family val="2"/>
    </font>
    <font>
      <b/>
      <sz val="8"/>
      <name val="Helv"/>
      <family val="2"/>
    </font>
  </fonts>
  <fills count="13">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mediumGray">
        <fgColor indexed="47"/>
        <bgColor indexed="9"/>
      </patternFill>
    </fill>
    <fill>
      <patternFill patternType="solid">
        <fgColor indexed="45"/>
        <bgColor indexed="64"/>
      </patternFill>
    </fill>
    <fill>
      <patternFill patternType="gray0625">
        <fgColor indexed="22"/>
        <bgColor indexed="9"/>
      </patternFill>
    </fill>
    <fill>
      <patternFill patternType="solid">
        <fgColor indexed="46"/>
        <bgColor indexed="64"/>
      </patternFill>
    </fill>
    <fill>
      <patternFill patternType="gray0625">
        <fgColor indexed="22"/>
        <bgColor indexed="22"/>
      </patternFill>
    </fill>
  </fills>
  <borders count="76">
    <border>
      <left/>
      <right/>
      <top/>
      <bottom/>
      <diagonal/>
    </border>
    <border>
      <left>
        <color indexed="63"/>
      </left>
      <right>
        <color indexed="63"/>
      </right>
      <top style="double">
        <color indexed="24"/>
      </top>
      <bottom>
        <color indexed="63"/>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thin"/>
      <bottom style="mediu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hair"/>
      <right style="hair"/>
      <top style="medium"/>
      <bottom style="hair"/>
    </border>
    <border>
      <left>
        <color indexed="63"/>
      </left>
      <right style="hair"/>
      <top style="medium"/>
      <bottom style="hair"/>
    </border>
    <border>
      <left>
        <color indexed="63"/>
      </left>
      <right style="hair"/>
      <top style="hair"/>
      <bottom style="hair"/>
    </border>
    <border>
      <left>
        <color indexed="63"/>
      </left>
      <right>
        <color indexed="63"/>
      </right>
      <top>
        <color indexed="63"/>
      </top>
      <bottom style="medium">
        <color indexed="58"/>
      </bottom>
    </border>
    <border>
      <left style="hair"/>
      <right style="thin"/>
      <top style="hair"/>
      <bottom style="hair"/>
    </border>
    <border>
      <left style="thin"/>
      <right style="hair"/>
      <top style="hair"/>
      <bottom style="hair"/>
    </border>
    <border>
      <left>
        <color indexed="63"/>
      </left>
      <right>
        <color indexed="63"/>
      </right>
      <top style="medium"/>
      <bottom style="dotted"/>
    </border>
    <border>
      <left>
        <color indexed="63"/>
      </left>
      <right>
        <color indexed="63"/>
      </right>
      <top style="medium"/>
      <bottom>
        <color indexed="63"/>
      </bottom>
    </border>
    <border>
      <left>
        <color indexed="63"/>
      </left>
      <right>
        <color indexed="63"/>
      </right>
      <top style="dotted"/>
      <bottom>
        <color indexed="63"/>
      </bottom>
    </border>
    <border>
      <left style="hair"/>
      <right>
        <color indexed="63"/>
      </right>
      <top>
        <color indexed="63"/>
      </top>
      <bottom style="hair"/>
    </border>
    <border>
      <left style="thin"/>
      <right style="hair"/>
      <top>
        <color indexed="63"/>
      </top>
      <bottom style="hair"/>
    </border>
    <border>
      <left>
        <color indexed="63"/>
      </left>
      <right>
        <color indexed="63"/>
      </right>
      <top>
        <color indexed="63"/>
      </top>
      <bottom style="dotted"/>
    </border>
    <border>
      <left style="thin"/>
      <right style="hair"/>
      <top style="hair"/>
      <bottom>
        <color indexed="63"/>
      </bottom>
    </border>
    <border>
      <left>
        <color indexed="63"/>
      </left>
      <right style="hair"/>
      <top>
        <color indexed="63"/>
      </top>
      <bottom style="hair"/>
    </border>
    <border>
      <left style="hair"/>
      <right style="hair"/>
      <top>
        <color indexed="63"/>
      </top>
      <bottom style="thin"/>
    </border>
    <border>
      <left style="hair"/>
      <right style="thin"/>
      <top>
        <color indexed="63"/>
      </top>
      <bottom style="hair"/>
    </border>
    <border>
      <left style="hair"/>
      <right style="hair"/>
      <top>
        <color indexed="63"/>
      </top>
      <bottom>
        <color indexed="63"/>
      </bottom>
    </border>
    <border>
      <left style="hair"/>
      <right style="hair"/>
      <top style="hair"/>
      <bottom style="thin"/>
    </border>
    <border>
      <left>
        <color indexed="63"/>
      </left>
      <right style="thin"/>
      <top style="thin"/>
      <bottom style="medium"/>
    </border>
    <border>
      <left style="hair"/>
      <right>
        <color indexed="63"/>
      </right>
      <top style="thin"/>
      <bottom style="hair"/>
    </border>
    <border>
      <left style="hair"/>
      <right>
        <color indexed="63"/>
      </right>
      <top style="hair"/>
      <bottom style="hair"/>
    </border>
    <border>
      <left>
        <color indexed="63"/>
      </left>
      <right style="hair"/>
      <top style="hair"/>
      <bottom style="thin"/>
    </border>
    <border>
      <left style="hair"/>
      <right style="hair"/>
      <top style="thin"/>
      <bottom style="hair"/>
    </border>
    <border>
      <left style="hair"/>
      <right style="thin"/>
      <top style="medium"/>
      <bottom style="thin"/>
    </border>
    <border>
      <left style="hair"/>
      <right style="hair"/>
      <top style="medium"/>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medium"/>
      <bottom style="hair"/>
    </border>
    <border>
      <left>
        <color indexed="63"/>
      </left>
      <right>
        <color indexed="63"/>
      </right>
      <top>
        <color indexed="63"/>
      </top>
      <bottom style="hair"/>
    </border>
    <border>
      <left style="hair"/>
      <right style="hair"/>
      <top style="thin"/>
      <bottom style="thin"/>
    </border>
    <border>
      <left style="hair"/>
      <right style="thin"/>
      <top style="thin"/>
      <bottom style="thin"/>
    </border>
    <border>
      <left>
        <color indexed="63"/>
      </left>
      <right style="hair"/>
      <top style="thin"/>
      <bottom style="thin"/>
    </border>
    <border>
      <left style="hair">
        <color indexed="58"/>
      </left>
      <right style="hair">
        <color indexed="58"/>
      </right>
      <top style="medium">
        <color indexed="58"/>
      </top>
      <bottom style="thin"/>
    </border>
    <border>
      <left style="hair">
        <color indexed="58"/>
      </left>
      <right style="hair">
        <color indexed="58"/>
      </right>
      <top style="medium"/>
      <bottom style="thin"/>
    </border>
    <border>
      <left style="hair">
        <color indexed="58"/>
      </left>
      <right style="hair">
        <color indexed="58"/>
      </right>
      <top style="thin"/>
      <bottom style="hair">
        <color indexed="58"/>
      </bottom>
    </border>
    <border>
      <left style="hair"/>
      <right>
        <color indexed="63"/>
      </right>
      <top style="hair"/>
      <bottom style="thin"/>
    </border>
    <border>
      <left>
        <color indexed="63"/>
      </left>
      <right style="hair"/>
      <top style="thin"/>
      <bottom style="hair"/>
    </border>
    <border>
      <left style="hair"/>
      <right>
        <color indexed="63"/>
      </right>
      <top>
        <color indexed="63"/>
      </top>
      <bottom style="thin"/>
    </border>
    <border>
      <left style="hair"/>
      <right>
        <color indexed="63"/>
      </right>
      <top style="hair"/>
      <bottom style="medium"/>
    </border>
    <border>
      <left>
        <color indexed="63"/>
      </left>
      <right style="hair"/>
      <top style="hair"/>
      <bottom style="medium"/>
    </border>
    <border>
      <left style="hair"/>
      <right>
        <color indexed="63"/>
      </right>
      <top style="medium"/>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medium"/>
      <bottom style="thin"/>
    </border>
    <border>
      <left style="thin"/>
      <right style="thin"/>
      <top style="medium"/>
      <bottom style="thin"/>
    </border>
    <border>
      <left style="thin"/>
      <right style="hair"/>
      <top style="medium"/>
      <bottom style="thin"/>
    </border>
    <border>
      <left>
        <color indexed="63"/>
      </left>
      <right style="hair"/>
      <top style="medium"/>
      <bottom style="thin"/>
    </border>
    <border>
      <left style="thin"/>
      <right>
        <color indexed="63"/>
      </right>
      <top style="hair"/>
      <bottom style="hair"/>
    </border>
    <border>
      <left>
        <color indexed="63"/>
      </left>
      <right style="hair"/>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hair"/>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hair"/>
      <bottom style="hair"/>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4" fillId="0" borderId="0">
      <alignment/>
      <protection/>
    </xf>
    <xf numFmtId="0" fontId="4" fillId="0" borderId="0">
      <alignment/>
      <protection/>
    </xf>
    <xf numFmtId="0" fontId="13" fillId="0" borderId="0">
      <alignment/>
      <protection/>
    </xf>
    <xf numFmtId="0" fontId="4" fillId="0" borderId="0">
      <alignment/>
      <protection/>
    </xf>
    <xf numFmtId="0" fontId="76" fillId="0" borderId="0">
      <alignment/>
      <protection/>
    </xf>
    <xf numFmtId="0" fontId="5" fillId="0" borderId="0">
      <alignment/>
      <protection/>
    </xf>
    <xf numFmtId="0" fontId="4" fillId="0" borderId="0">
      <alignment/>
      <protection/>
    </xf>
    <xf numFmtId="9" fontId="4" fillId="0" borderId="0" applyFont="0" applyFill="0" applyBorder="0" applyAlignment="0" applyProtection="0"/>
    <xf numFmtId="0" fontId="4" fillId="0" borderId="1" applyNumberFormat="0" applyFont="0" applyFill="0" applyAlignment="0" applyProtection="0"/>
  </cellStyleXfs>
  <cellXfs count="636">
    <xf numFmtId="164" fontId="0" fillId="0" borderId="0" xfId="0" applyAlignment="1">
      <alignment/>
    </xf>
    <xf numFmtId="164" fontId="0" fillId="0" borderId="0" xfId="0" applyAlignment="1" applyProtection="1">
      <alignment/>
      <protection/>
    </xf>
    <xf numFmtId="0" fontId="5" fillId="0" borderId="0" xfId="32" applyProtection="1">
      <alignment/>
      <protection/>
    </xf>
    <xf numFmtId="0" fontId="5" fillId="0" borderId="0" xfId="30" applyFont="1" applyProtection="1">
      <alignment/>
      <protection/>
    </xf>
    <xf numFmtId="0" fontId="5" fillId="0" borderId="0" xfId="29" applyFont="1" applyBorder="1" applyProtection="1">
      <alignment/>
      <protection/>
    </xf>
    <xf numFmtId="0" fontId="5" fillId="0" borderId="2" xfId="30" applyFont="1" applyBorder="1" applyProtection="1">
      <alignment/>
      <protection/>
    </xf>
    <xf numFmtId="0" fontId="5" fillId="0" borderId="2" xfId="29" applyFont="1" applyBorder="1" applyProtection="1">
      <alignment/>
      <protection/>
    </xf>
    <xf numFmtId="0" fontId="5" fillId="0" borderId="0" xfId="30" applyFont="1" applyBorder="1" applyProtection="1">
      <alignment/>
      <protection/>
    </xf>
    <xf numFmtId="0" fontId="5" fillId="0" borderId="0" xfId="29" applyFont="1" applyProtection="1">
      <alignment/>
      <protection/>
    </xf>
    <xf numFmtId="14" fontId="5" fillId="0" borderId="0" xfId="29" applyNumberFormat="1" applyFont="1" applyProtection="1" quotePrefix="1">
      <alignment/>
      <protection/>
    </xf>
    <xf numFmtId="0" fontId="6" fillId="0" borderId="0" xfId="29" applyFont="1" applyProtection="1">
      <alignment/>
      <protection/>
    </xf>
    <xf numFmtId="0" fontId="5" fillId="0" borderId="0" xfId="29" applyFont="1" applyAlignment="1" applyProtection="1">
      <alignment horizontal="right"/>
      <protection/>
    </xf>
    <xf numFmtId="0" fontId="5" fillId="0" borderId="0" xfId="29" applyFont="1" applyAlignment="1" applyProtection="1" quotePrefix="1">
      <alignment horizontal="left"/>
      <protection/>
    </xf>
    <xf numFmtId="0" fontId="5" fillId="0" borderId="0" xfId="29" applyFont="1" applyAlignment="1" applyProtection="1">
      <alignment horizontal="left"/>
      <protection/>
    </xf>
    <xf numFmtId="0" fontId="18" fillId="0" borderId="0" xfId="29" applyFont="1" applyProtection="1">
      <alignment/>
      <protection/>
    </xf>
    <xf numFmtId="0" fontId="19" fillId="0" borderId="0" xfId="29" applyFont="1" applyAlignment="1" applyProtection="1">
      <alignment horizontal="left"/>
      <protection/>
    </xf>
    <xf numFmtId="0" fontId="11" fillId="0" borderId="0" xfId="29" applyFont="1" applyProtection="1">
      <alignment/>
      <protection/>
    </xf>
    <xf numFmtId="14" fontId="11" fillId="0" borderId="0" xfId="29" applyNumberFormat="1" applyFont="1" applyProtection="1" quotePrefix="1">
      <alignment/>
      <protection/>
    </xf>
    <xf numFmtId="0" fontId="11" fillId="0" borderId="0" xfId="30" applyFont="1" applyProtection="1">
      <alignment/>
      <protection/>
    </xf>
    <xf numFmtId="0" fontId="6" fillId="0" borderId="0" xfId="29" applyFont="1" applyAlignment="1" applyProtection="1">
      <alignment horizontal="right"/>
      <protection/>
    </xf>
    <xf numFmtId="0" fontId="4" fillId="0" borderId="0" xfId="33" applyFont="1">
      <alignment/>
      <protection/>
    </xf>
    <xf numFmtId="0" fontId="4" fillId="0" borderId="0" xfId="33" applyFont="1" applyAlignment="1">
      <alignment textRotation="90"/>
      <protection/>
    </xf>
    <xf numFmtId="0" fontId="4" fillId="0" borderId="0" xfId="33" applyNumberFormat="1" applyFont="1" applyBorder="1" applyAlignment="1">
      <alignment horizontal="center"/>
      <protection/>
    </xf>
    <xf numFmtId="164" fontId="21" fillId="0" borderId="0" xfId="0" applyFont="1" applyAlignment="1">
      <alignment horizontal="center"/>
    </xf>
    <xf numFmtId="164" fontId="22" fillId="0" borderId="0" xfId="0" applyFont="1" applyAlignment="1">
      <alignment horizontal="center"/>
    </xf>
    <xf numFmtId="164" fontId="24" fillId="0" borderId="0" xfId="26" applyFont="1" applyAlignment="1">
      <alignment horizontal="right"/>
    </xf>
    <xf numFmtId="164" fontId="25" fillId="0" borderId="0" xfId="0" applyFont="1" applyAlignment="1">
      <alignment horizontal="center"/>
    </xf>
    <xf numFmtId="164" fontId="23" fillId="0" borderId="0" xfId="0" applyFont="1" applyAlignment="1">
      <alignment horizontal="center"/>
    </xf>
    <xf numFmtId="164" fontId="0" fillId="0" borderId="3" xfId="0" applyBorder="1" applyAlignment="1">
      <alignment/>
    </xf>
    <xf numFmtId="164" fontId="5" fillId="0" borderId="0" xfId="0" applyFont="1" applyAlignment="1">
      <alignment/>
    </xf>
    <xf numFmtId="164" fontId="0" fillId="0" borderId="4" xfId="0" applyBorder="1" applyAlignment="1">
      <alignment/>
    </xf>
    <xf numFmtId="164" fontId="0" fillId="0" borderId="5" xfId="0" applyBorder="1" applyAlignment="1">
      <alignment/>
    </xf>
    <xf numFmtId="164" fontId="0" fillId="0" borderId="5" xfId="0" applyBorder="1" applyAlignment="1">
      <alignment horizontal="right"/>
    </xf>
    <xf numFmtId="164" fontId="0" fillId="0" borderId="2" xfId="0" applyBorder="1" applyAlignment="1">
      <alignment/>
    </xf>
    <xf numFmtId="164" fontId="0" fillId="0" borderId="2" xfId="0" applyBorder="1" applyAlignment="1">
      <alignment horizontal="right"/>
    </xf>
    <xf numFmtId="0" fontId="5" fillId="0" borderId="2" xfId="28" applyFont="1" applyBorder="1" applyProtection="1">
      <alignment/>
      <protection/>
    </xf>
    <xf numFmtId="0" fontId="28" fillId="2" borderId="6" xfId="27" applyFont="1" applyFill="1" applyBorder="1" applyAlignment="1">
      <alignment horizontal="center" vertical="center"/>
      <protection/>
    </xf>
    <xf numFmtId="164" fontId="28" fillId="2" borderId="6" xfId="33" applyNumberFormat="1" applyFont="1" applyFill="1" applyBorder="1" applyAlignment="1" applyProtection="1">
      <alignment horizontal="center" vertical="center"/>
      <protection/>
    </xf>
    <xf numFmtId="0" fontId="28" fillId="2" borderId="6" xfId="33" applyFont="1" applyFill="1" applyBorder="1" applyAlignment="1">
      <alignment horizontal="center" vertical="center"/>
      <protection/>
    </xf>
    <xf numFmtId="0" fontId="28" fillId="2" borderId="6" xfId="27" applyFont="1" applyFill="1" applyBorder="1" applyAlignment="1">
      <alignment horizontal="left" vertical="center"/>
      <protection/>
    </xf>
    <xf numFmtId="0" fontId="28" fillId="2" borderId="7" xfId="27" applyFont="1" applyFill="1" applyBorder="1" applyAlignment="1">
      <alignment horizontal="left" vertical="center"/>
      <protection/>
    </xf>
    <xf numFmtId="0" fontId="28" fillId="2" borderId="8" xfId="27" applyFont="1" applyFill="1" applyBorder="1" applyAlignment="1">
      <alignment horizontal="left" vertical="center"/>
      <protection/>
    </xf>
    <xf numFmtId="164" fontId="33" fillId="2" borderId="6" xfId="0" applyFont="1" applyFill="1" applyBorder="1" applyAlignment="1" applyProtection="1">
      <alignment horizontal="center" vertical="center"/>
      <protection locked="0"/>
    </xf>
    <xf numFmtId="0" fontId="4" fillId="0" borderId="9" xfId="28" applyBorder="1" applyProtection="1">
      <alignment/>
      <protection/>
    </xf>
    <xf numFmtId="0" fontId="35" fillId="0" borderId="0" xfId="33" applyFont="1">
      <alignment/>
      <protection/>
    </xf>
    <xf numFmtId="164" fontId="0" fillId="0" borderId="10" xfId="0" applyBorder="1" applyAlignment="1">
      <alignment/>
    </xf>
    <xf numFmtId="164" fontId="0" fillId="0" borderId="10" xfId="0" applyBorder="1" applyAlignment="1">
      <alignment horizontal="right"/>
    </xf>
    <xf numFmtId="164" fontId="6" fillId="0" borderId="0" xfId="0" applyFont="1" applyAlignment="1">
      <alignment/>
    </xf>
    <xf numFmtId="164" fontId="12" fillId="0" borderId="0" xfId="0" applyFont="1" applyAlignment="1">
      <alignment/>
    </xf>
    <xf numFmtId="164" fontId="10" fillId="0" borderId="3" xfId="0" applyFont="1" applyBorder="1" applyAlignment="1">
      <alignment/>
    </xf>
    <xf numFmtId="170" fontId="41" fillId="0" borderId="4" xfId="0" applyNumberFormat="1" applyFont="1" applyBorder="1" applyAlignment="1">
      <alignment horizontal="left"/>
    </xf>
    <xf numFmtId="170" fontId="41" fillId="0" borderId="4" xfId="0" applyNumberFormat="1" applyFont="1" applyBorder="1" applyAlignment="1">
      <alignment horizontal="right"/>
    </xf>
    <xf numFmtId="164" fontId="19" fillId="0" borderId="5" xfId="0" applyFont="1" applyBorder="1" applyAlignment="1">
      <alignment/>
    </xf>
    <xf numFmtId="164" fontId="6" fillId="0" borderId="0" xfId="0" applyFont="1" applyAlignment="1">
      <alignment horizontal="left"/>
    </xf>
    <xf numFmtId="164" fontId="19" fillId="0" borderId="2" xfId="0" applyFont="1" applyBorder="1" applyAlignment="1">
      <alignment/>
    </xf>
    <xf numFmtId="164" fontId="42" fillId="0" borderId="11" xfId="0" applyFont="1" applyBorder="1" applyAlignment="1">
      <alignment horizontal="center" vertical="center" wrapText="1"/>
    </xf>
    <xf numFmtId="164" fontId="6" fillId="0" borderId="6" xfId="0" applyFont="1" applyBorder="1" applyAlignment="1">
      <alignment horizontal="center" vertical="center"/>
    </xf>
    <xf numFmtId="164" fontId="42" fillId="0" borderId="10" xfId="0" applyFont="1" applyBorder="1" applyAlignment="1">
      <alignment/>
    </xf>
    <xf numFmtId="0" fontId="30" fillId="3" borderId="12" xfId="28" applyFont="1" applyFill="1" applyBorder="1" applyAlignment="1" applyProtection="1">
      <alignment horizontal="right" indent="1"/>
      <protection/>
    </xf>
    <xf numFmtId="0" fontId="30" fillId="3" borderId="13" xfId="28" applyFont="1" applyFill="1" applyBorder="1" applyAlignment="1" applyProtection="1">
      <alignment horizontal="right" indent="1"/>
      <protection/>
    </xf>
    <xf numFmtId="164" fontId="33" fillId="3" borderId="6" xfId="0" applyFont="1" applyFill="1" applyBorder="1" applyAlignment="1" applyProtection="1">
      <alignment horizontal="center" vertical="center"/>
      <protection/>
    </xf>
    <xf numFmtId="164" fontId="6" fillId="0" borderId="0" xfId="0" applyFont="1" applyAlignment="1">
      <alignment vertical="center"/>
    </xf>
    <xf numFmtId="164" fontId="5" fillId="0" borderId="0" xfId="0" applyFont="1" applyAlignment="1">
      <alignment vertical="center"/>
    </xf>
    <xf numFmtId="164" fontId="6" fillId="0" borderId="0" xfId="0" applyFont="1" applyAlignment="1">
      <alignment horizontal="right" vertical="center"/>
    </xf>
    <xf numFmtId="164" fontId="6" fillId="0" borderId="0" xfId="0" applyFont="1" applyAlignment="1">
      <alignment horizontal="center" vertical="center"/>
    </xf>
    <xf numFmtId="0" fontId="27" fillId="0" borderId="2" xfId="28" applyFont="1" applyBorder="1" applyAlignment="1" applyProtection="1">
      <alignment vertical="center"/>
      <protection/>
    </xf>
    <xf numFmtId="164" fontId="6" fillId="0" borderId="10" xfId="0" applyFont="1" applyBorder="1" applyAlignment="1">
      <alignment/>
    </xf>
    <xf numFmtId="164" fontId="42" fillId="0" borderId="8" xfId="0" applyFont="1" applyBorder="1" applyAlignment="1">
      <alignment horizontal="left" indent="1"/>
    </xf>
    <xf numFmtId="164" fontId="42" fillId="0" borderId="10" xfId="0" applyFont="1" applyBorder="1" applyAlignment="1">
      <alignment/>
    </xf>
    <xf numFmtId="164" fontId="5" fillId="0" borderId="0" xfId="0" applyFont="1" applyBorder="1" applyAlignment="1">
      <alignment/>
    </xf>
    <xf numFmtId="164" fontId="6" fillId="0" borderId="0" xfId="0" applyFont="1" applyBorder="1" applyAlignment="1">
      <alignment horizontal="left" wrapText="1" indent="1"/>
    </xf>
    <xf numFmtId="0" fontId="27" fillId="0" borderId="2" xfId="29" applyFont="1" applyBorder="1" applyProtection="1">
      <alignment/>
      <protection/>
    </xf>
    <xf numFmtId="164" fontId="5" fillId="0" borderId="10" xfId="0" applyFont="1" applyBorder="1" applyAlignment="1">
      <alignment horizontal="left" indent="1"/>
    </xf>
    <xf numFmtId="164" fontId="6" fillId="0" borderId="9" xfId="0" applyFont="1" applyBorder="1" applyAlignment="1">
      <alignment horizontal="left" wrapText="1" indent="1"/>
    </xf>
    <xf numFmtId="14" fontId="6" fillId="0" borderId="9" xfId="0" applyNumberFormat="1" applyFont="1" applyBorder="1" applyAlignment="1">
      <alignment horizontal="left" wrapText="1" indent="1"/>
    </xf>
    <xf numFmtId="164" fontId="8" fillId="0" borderId="0" xfId="0" applyFont="1" applyAlignment="1" applyProtection="1">
      <alignment/>
      <protection/>
    </xf>
    <xf numFmtId="164" fontId="8" fillId="0" borderId="0" xfId="0" applyFont="1" applyFill="1" applyAlignment="1" applyProtection="1">
      <alignment/>
      <protection/>
    </xf>
    <xf numFmtId="0" fontId="28" fillId="0" borderId="0" xfId="29" applyFont="1" applyBorder="1" applyAlignment="1" applyProtection="1">
      <alignment horizontal="left" indent="1"/>
      <protection/>
    </xf>
    <xf numFmtId="0" fontId="48" fillId="0" borderId="0" xfId="29" applyFont="1" applyBorder="1" applyAlignment="1" applyProtection="1">
      <alignment horizontal="right" vertical="top"/>
      <protection/>
    </xf>
    <xf numFmtId="0" fontId="33" fillId="3" borderId="11" xfId="28" applyNumberFormat="1" applyFont="1" applyFill="1" applyBorder="1" applyAlignment="1" applyProtection="1">
      <alignment horizontal="center" vertical="center"/>
      <protection/>
    </xf>
    <xf numFmtId="0" fontId="33" fillId="3" borderId="8" xfId="28" applyNumberFormat="1" applyFont="1" applyFill="1" applyBorder="1" applyAlignment="1" applyProtection="1">
      <alignment horizontal="center" vertical="center"/>
      <protection/>
    </xf>
    <xf numFmtId="164" fontId="6" fillId="0" borderId="9" xfId="0" applyFont="1" applyBorder="1" applyAlignment="1">
      <alignment wrapText="1"/>
    </xf>
    <xf numFmtId="164" fontId="6" fillId="0" borderId="0" xfId="0" applyFont="1" applyBorder="1" applyAlignment="1">
      <alignment wrapText="1"/>
    </xf>
    <xf numFmtId="0" fontId="5" fillId="0" borderId="2" xfId="32" applyBorder="1" applyProtection="1">
      <alignment/>
      <protection/>
    </xf>
    <xf numFmtId="0" fontId="5" fillId="0" borderId="0" xfId="32" applyFill="1" applyProtection="1">
      <alignment/>
      <protection/>
    </xf>
    <xf numFmtId="0" fontId="5" fillId="0" borderId="2" xfId="28" applyFont="1" applyBorder="1" applyAlignment="1" applyProtection="1">
      <alignment vertical="center"/>
      <protection/>
    </xf>
    <xf numFmtId="0" fontId="5" fillId="0" borderId="2" xfId="32" applyBorder="1" applyAlignment="1" applyProtection="1">
      <alignment vertical="center"/>
      <protection/>
    </xf>
    <xf numFmtId="0" fontId="30" fillId="3" borderId="6" xfId="32" applyFont="1" applyFill="1" applyBorder="1" applyAlignment="1" applyProtection="1">
      <alignment horizontal="center" vertical="center"/>
      <protection/>
    </xf>
    <xf numFmtId="171" fontId="51" fillId="0" borderId="0" xfId="32" applyNumberFormat="1" applyFont="1" applyFill="1" applyBorder="1" applyAlignment="1" applyProtection="1">
      <alignment vertical="center"/>
      <protection/>
    </xf>
    <xf numFmtId="0" fontId="52" fillId="0" borderId="0" xfId="32" applyFont="1" applyFill="1" applyBorder="1" applyAlignment="1" applyProtection="1">
      <alignment vertical="center" wrapText="1"/>
      <protection/>
    </xf>
    <xf numFmtId="0" fontId="33" fillId="0" borderId="0" xfId="32" applyFont="1" applyFill="1" applyBorder="1" applyAlignment="1" applyProtection="1">
      <alignment vertical="center" wrapText="1"/>
      <protection/>
    </xf>
    <xf numFmtId="164" fontId="33" fillId="2" borderId="8" xfId="0" applyFont="1" applyFill="1" applyBorder="1" applyAlignment="1" applyProtection="1">
      <alignment horizontal="center" vertical="center"/>
      <protection locked="0"/>
    </xf>
    <xf numFmtId="164" fontId="30" fillId="3" borderId="8" xfId="0" applyFont="1" applyFill="1" applyBorder="1" applyAlignment="1" applyProtection="1">
      <alignment horizontal="center" vertical="center" wrapText="1"/>
      <protection/>
    </xf>
    <xf numFmtId="164" fontId="0" fillId="0" borderId="0" xfId="0" applyFont="1" applyFill="1" applyAlignment="1">
      <alignment vertical="center"/>
    </xf>
    <xf numFmtId="164" fontId="0" fillId="0" borderId="0" xfId="0" applyFill="1" applyAlignment="1">
      <alignment/>
    </xf>
    <xf numFmtId="164" fontId="61" fillId="0" borderId="14" xfId="0" applyFont="1" applyBorder="1" applyAlignment="1" applyProtection="1">
      <alignment/>
      <protection/>
    </xf>
    <xf numFmtId="0" fontId="62" fillId="0" borderId="14" xfId="28" applyFont="1" applyBorder="1" applyProtection="1">
      <alignment/>
      <protection/>
    </xf>
    <xf numFmtId="164" fontId="62" fillId="0" borderId="0" xfId="0" applyFont="1" applyAlignment="1" applyProtection="1">
      <alignment/>
      <protection/>
    </xf>
    <xf numFmtId="164" fontId="61" fillId="0" borderId="2" xfId="0" applyFont="1" applyBorder="1" applyAlignment="1" applyProtection="1">
      <alignment/>
      <protection/>
    </xf>
    <xf numFmtId="0" fontId="62" fillId="0" borderId="2" xfId="28" applyFont="1" applyBorder="1" applyProtection="1">
      <alignment/>
      <protection/>
    </xf>
    <xf numFmtId="0" fontId="6" fillId="0" borderId="0" xfId="32" applyFont="1" applyProtection="1">
      <alignment/>
      <protection/>
    </xf>
    <xf numFmtId="164" fontId="5" fillId="0" borderId="0" xfId="0" applyFont="1" applyBorder="1" applyAlignment="1">
      <alignment/>
    </xf>
    <xf numFmtId="164" fontId="9" fillId="0" borderId="0" xfId="0" applyFont="1" applyBorder="1" applyAlignment="1">
      <alignment horizontal="center" vertical="center" wrapText="1"/>
    </xf>
    <xf numFmtId="164" fontId="6" fillId="0" borderId="0" xfId="0" applyFont="1" applyBorder="1" applyAlignment="1">
      <alignment horizontal="left" vertical="center" wrapText="1" indent="1"/>
    </xf>
    <xf numFmtId="164" fontId="6" fillId="0" borderId="0" xfId="0" applyFont="1" applyBorder="1" applyAlignment="1">
      <alignment vertical="center" wrapText="1"/>
    </xf>
    <xf numFmtId="164" fontId="6" fillId="0" borderId="9" xfId="0" applyFont="1" applyBorder="1" applyAlignment="1">
      <alignment vertical="center" wrapText="1"/>
    </xf>
    <xf numFmtId="164" fontId="6" fillId="0" borderId="9" xfId="0" applyFont="1" applyBorder="1" applyAlignment="1">
      <alignment horizontal="left" vertical="center" wrapText="1" indent="1"/>
    </xf>
    <xf numFmtId="14" fontId="6" fillId="0" borderId="9" xfId="0" applyNumberFormat="1" applyFont="1" applyBorder="1" applyAlignment="1">
      <alignment horizontal="left" vertical="center" wrapText="1" indent="1"/>
    </xf>
    <xf numFmtId="14" fontId="6" fillId="0" borderId="0" xfId="0" applyNumberFormat="1" applyFont="1" applyBorder="1" applyAlignment="1">
      <alignment horizontal="left" vertical="center" wrapText="1" indent="1"/>
    </xf>
    <xf numFmtId="164" fontId="42" fillId="0" borderId="8" xfId="0" applyFont="1" applyBorder="1" applyAlignment="1">
      <alignment/>
    </xf>
    <xf numFmtId="164" fontId="30" fillId="3" borderId="6" xfId="0" applyFont="1" applyFill="1" applyBorder="1" applyAlignment="1" applyProtection="1">
      <alignment horizontal="center" vertical="center"/>
      <protection/>
    </xf>
    <xf numFmtId="164" fontId="30" fillId="3" borderId="13" xfId="0" applyFont="1" applyFill="1" applyBorder="1" applyAlignment="1" applyProtection="1">
      <alignment horizontal="center" vertical="center"/>
      <protection/>
    </xf>
    <xf numFmtId="164" fontId="33" fillId="2" borderId="15" xfId="0" applyFont="1" applyFill="1" applyBorder="1" applyAlignment="1" applyProtection="1">
      <alignment horizontal="center" vertical="center"/>
      <protection locked="0"/>
    </xf>
    <xf numFmtId="0" fontId="4" fillId="0" borderId="0" xfId="27" applyProtection="1">
      <alignment/>
      <protection/>
    </xf>
    <xf numFmtId="166" fontId="5" fillId="0" borderId="0" xfId="27" applyNumberFormat="1" applyFont="1" applyProtection="1">
      <alignment/>
      <protection/>
    </xf>
    <xf numFmtId="0" fontId="5" fillId="0" borderId="0" xfId="27" applyFont="1" applyProtection="1">
      <alignment/>
      <protection/>
    </xf>
    <xf numFmtId="0" fontId="30" fillId="0" borderId="0" xfId="27" applyFont="1" applyBorder="1" applyAlignment="1" applyProtection="1">
      <alignment horizontal="right" vertical="center"/>
      <protection/>
    </xf>
    <xf numFmtId="0" fontId="2" fillId="0" borderId="0" xfId="27" applyFont="1" applyProtection="1">
      <alignment/>
      <protection/>
    </xf>
    <xf numFmtId="0" fontId="30" fillId="0" borderId="16" xfId="27" applyFont="1" applyFill="1" applyBorder="1" applyAlignment="1" applyProtection="1">
      <alignment horizontal="center" vertical="center"/>
      <protection/>
    </xf>
    <xf numFmtId="0" fontId="2" fillId="0" borderId="0" xfId="27" applyFont="1" applyProtection="1">
      <alignment/>
      <protection/>
    </xf>
    <xf numFmtId="0" fontId="27" fillId="0" borderId="2" xfId="27" applyFont="1" applyBorder="1" applyAlignment="1" applyProtection="1" quotePrefix="1">
      <alignment horizontal="left"/>
      <protection/>
    </xf>
    <xf numFmtId="0" fontId="5" fillId="0" borderId="2" xfId="27" applyFont="1" applyBorder="1" applyAlignment="1" applyProtection="1" quotePrefix="1">
      <alignment horizontal="right"/>
      <protection/>
    </xf>
    <xf numFmtId="165" fontId="5" fillId="0" borderId="2" xfId="27" applyNumberFormat="1" applyFont="1" applyBorder="1" applyProtection="1">
      <alignment/>
      <protection/>
    </xf>
    <xf numFmtId="0" fontId="5" fillId="0" borderId="2" xfId="27" applyFont="1" applyBorder="1" applyAlignment="1" applyProtection="1" quotePrefix="1">
      <alignment horizontal="left"/>
      <protection/>
    </xf>
    <xf numFmtId="0" fontId="5" fillId="0" borderId="2" xfId="27" applyFont="1" applyBorder="1" applyProtection="1">
      <alignment/>
      <protection/>
    </xf>
    <xf numFmtId="0" fontId="4" fillId="0" borderId="2" xfId="27" applyBorder="1" applyProtection="1">
      <alignment/>
      <protection/>
    </xf>
    <xf numFmtId="0" fontId="4" fillId="0" borderId="0" xfId="27" applyBorder="1" applyProtection="1">
      <alignment/>
      <protection/>
    </xf>
    <xf numFmtId="166" fontId="30" fillId="0" borderId="0" xfId="27" applyNumberFormat="1" applyFont="1" applyAlignment="1" applyProtection="1">
      <alignment vertical="center"/>
      <protection/>
    </xf>
    <xf numFmtId="0" fontId="30" fillId="0" borderId="0" xfId="27" applyFont="1" applyBorder="1" applyAlignment="1" applyProtection="1">
      <alignment horizontal="left" vertical="center"/>
      <protection/>
    </xf>
    <xf numFmtId="0" fontId="5" fillId="0" borderId="0" xfId="27" applyFont="1" applyBorder="1" applyProtection="1">
      <alignment/>
      <protection/>
    </xf>
    <xf numFmtId="0" fontId="27" fillId="0" borderId="2" xfId="27" applyFont="1" applyBorder="1" applyAlignment="1" applyProtection="1">
      <alignment horizontal="left"/>
      <protection/>
    </xf>
    <xf numFmtId="171" fontId="33" fillId="0" borderId="2" xfId="27" applyNumberFormat="1" applyFont="1" applyBorder="1" applyAlignment="1" applyProtection="1">
      <alignment vertical="center"/>
      <protection/>
    </xf>
    <xf numFmtId="166" fontId="4" fillId="0" borderId="2" xfId="27" applyNumberFormat="1" applyBorder="1" applyProtection="1">
      <alignment/>
      <protection/>
    </xf>
    <xf numFmtId="0" fontId="4" fillId="0" borderId="17" xfId="27" applyBorder="1" applyProtection="1">
      <alignment/>
      <protection/>
    </xf>
    <xf numFmtId="0" fontId="5" fillId="0" borderId="17" xfId="27" applyFont="1" applyBorder="1" applyProtection="1">
      <alignment/>
      <protection/>
    </xf>
    <xf numFmtId="0" fontId="49" fillId="0" borderId="0" xfId="29" applyFont="1" applyBorder="1" applyAlignment="1" applyProtection="1">
      <alignment horizontal="left" vertical="center"/>
      <protection/>
    </xf>
    <xf numFmtId="0" fontId="30" fillId="0" borderId="0" xfId="29" applyFont="1" applyBorder="1" applyAlignment="1" applyProtection="1">
      <alignment vertical="center"/>
      <protection/>
    </xf>
    <xf numFmtId="0" fontId="5" fillId="0" borderId="0" xfId="29" applyFont="1" applyBorder="1" applyAlignment="1" applyProtection="1">
      <alignment vertical="center"/>
      <protection/>
    </xf>
    <xf numFmtId="0" fontId="5" fillId="0" borderId="0" xfId="30" applyFont="1" applyAlignment="1" applyProtection="1">
      <alignment vertical="center"/>
      <protection/>
    </xf>
    <xf numFmtId="164" fontId="62" fillId="0" borderId="0" xfId="0" applyFont="1" applyBorder="1" applyAlignment="1" applyProtection="1">
      <alignment/>
      <protection/>
    </xf>
    <xf numFmtId="179" fontId="6" fillId="0" borderId="0" xfId="0" applyNumberFormat="1" applyFont="1" applyAlignment="1">
      <alignment/>
    </xf>
    <xf numFmtId="164" fontId="25" fillId="0" borderId="0" xfId="0" applyFont="1" applyAlignment="1">
      <alignment vertical="top"/>
    </xf>
    <xf numFmtId="164" fontId="5" fillId="0" borderId="0" xfId="0" applyFont="1" applyAlignment="1">
      <alignment/>
    </xf>
    <xf numFmtId="0" fontId="30" fillId="0" borderId="0" xfId="29" applyFont="1" applyBorder="1" applyAlignment="1" applyProtection="1">
      <alignment/>
      <protection/>
    </xf>
    <xf numFmtId="164" fontId="30" fillId="0" borderId="0" xfId="0" applyFont="1" applyBorder="1" applyAlignment="1" applyProtection="1">
      <alignment vertical="center"/>
      <protection/>
    </xf>
    <xf numFmtId="0" fontId="30" fillId="0" borderId="17" xfId="27" applyFont="1" applyBorder="1" applyAlignment="1" applyProtection="1">
      <alignment horizontal="right" vertical="center"/>
      <protection/>
    </xf>
    <xf numFmtId="164" fontId="65" fillId="0" borderId="0" xfId="0" applyFont="1" applyAlignment="1">
      <alignment/>
    </xf>
    <xf numFmtId="0" fontId="29" fillId="3" borderId="6" xfId="28" applyFont="1" applyFill="1" applyBorder="1" applyAlignment="1" applyProtection="1">
      <alignment horizontal="center" vertical="center" wrapText="1"/>
      <protection/>
    </xf>
    <xf numFmtId="164" fontId="65" fillId="0" borderId="2" xfId="0" applyFont="1" applyBorder="1" applyAlignment="1">
      <alignment/>
    </xf>
    <xf numFmtId="0" fontId="4" fillId="0" borderId="2" xfId="33" applyFont="1" applyBorder="1">
      <alignment/>
      <protection/>
    </xf>
    <xf numFmtId="0" fontId="27" fillId="0" borderId="2" xfId="27" applyFont="1" applyBorder="1" applyAlignment="1">
      <alignment horizontal="right" vertical="center"/>
      <protection/>
    </xf>
    <xf numFmtId="164" fontId="65" fillId="0" borderId="2" xfId="0" applyFont="1" applyBorder="1" applyAlignment="1" applyProtection="1">
      <alignment/>
      <protection/>
    </xf>
    <xf numFmtId="164" fontId="8" fillId="0" borderId="2" xfId="0" applyFont="1" applyBorder="1" applyAlignment="1" applyProtection="1">
      <alignment/>
      <protection/>
    </xf>
    <xf numFmtId="0" fontId="28" fillId="0" borderId="2" xfId="27" applyFont="1" applyBorder="1" applyAlignment="1" quotePrefix="1">
      <alignment horizontal="right" vertical="center"/>
      <protection/>
    </xf>
    <xf numFmtId="0" fontId="65" fillId="0" borderId="2" xfId="30" applyFont="1" applyBorder="1" applyProtection="1">
      <alignment/>
      <protection/>
    </xf>
    <xf numFmtId="0" fontId="30" fillId="0" borderId="8" xfId="27" applyFont="1" applyFill="1" applyBorder="1" applyAlignment="1" applyProtection="1">
      <alignment horizontal="center" vertical="center" wrapText="1"/>
      <protection/>
    </xf>
    <xf numFmtId="164" fontId="30" fillId="0" borderId="18" xfId="0" applyFont="1" applyBorder="1" applyAlignment="1" applyProtection="1">
      <alignment vertical="center"/>
      <protection/>
    </xf>
    <xf numFmtId="0" fontId="30" fillId="0" borderId="0" xfId="27" applyFont="1" applyBorder="1" applyAlignment="1" applyProtection="1">
      <alignment vertical="center"/>
      <protection/>
    </xf>
    <xf numFmtId="0" fontId="30" fillId="0" borderId="19" xfId="27" applyFont="1" applyBorder="1" applyAlignment="1" applyProtection="1">
      <alignment vertical="center"/>
      <protection/>
    </xf>
    <xf numFmtId="0" fontId="30" fillId="0" borderId="19" xfId="27" applyFont="1" applyBorder="1" applyAlignment="1" applyProtection="1">
      <alignment horizontal="right" vertical="center"/>
      <protection/>
    </xf>
    <xf numFmtId="0" fontId="30" fillId="0" borderId="17" xfId="27" applyFont="1" applyBorder="1" applyAlignment="1" applyProtection="1">
      <alignment vertical="center"/>
      <protection/>
    </xf>
    <xf numFmtId="0" fontId="30" fillId="0" borderId="20" xfId="27" applyFont="1" applyFill="1" applyBorder="1" applyAlignment="1" applyProtection="1">
      <alignment horizontal="center" vertical="center" wrapText="1"/>
      <protection/>
    </xf>
    <xf numFmtId="0" fontId="30" fillId="0" borderId="21" xfId="27" applyFont="1" applyFill="1" applyBorder="1" applyAlignment="1" applyProtection="1">
      <alignment horizontal="center" vertical="center" wrapText="1"/>
      <protection/>
    </xf>
    <xf numFmtId="164" fontId="0" fillId="0" borderId="22" xfId="0" applyBorder="1" applyAlignment="1" applyProtection="1">
      <alignment/>
      <protection/>
    </xf>
    <xf numFmtId="164" fontId="30" fillId="0" borderId="22" xfId="0" applyFont="1" applyBorder="1" applyAlignment="1" applyProtection="1">
      <alignment vertical="center"/>
      <protection/>
    </xf>
    <xf numFmtId="166" fontId="30" fillId="0" borderId="22" xfId="27" applyNumberFormat="1" applyFont="1" applyBorder="1" applyAlignment="1" applyProtection="1">
      <alignment vertical="center"/>
      <protection/>
    </xf>
    <xf numFmtId="0" fontId="4" fillId="0" borderId="22" xfId="27" applyBorder="1" applyProtection="1">
      <alignment/>
      <protection/>
    </xf>
    <xf numFmtId="0" fontId="30" fillId="0" borderId="23" xfId="27" applyFont="1" applyFill="1" applyBorder="1" applyAlignment="1" applyProtection="1">
      <alignment horizontal="center" vertical="center"/>
      <protection/>
    </xf>
    <xf numFmtId="0" fontId="65" fillId="0" borderId="2" xfId="32" applyFont="1" applyBorder="1" applyAlignment="1" applyProtection="1">
      <alignment/>
      <protection/>
    </xf>
    <xf numFmtId="0" fontId="33" fillId="0" borderId="0" xfId="32" applyNumberFormat="1" applyFont="1" applyFill="1" applyBorder="1" applyAlignment="1" applyProtection="1">
      <alignment vertical="center"/>
      <protection/>
    </xf>
    <xf numFmtId="164" fontId="33" fillId="2" borderId="24" xfId="0" applyFont="1" applyFill="1" applyBorder="1" applyAlignment="1" applyProtection="1">
      <alignment horizontal="center" vertical="center"/>
      <protection locked="0"/>
    </xf>
    <xf numFmtId="164" fontId="0" fillId="0" borderId="17" xfId="0" applyBorder="1" applyAlignment="1" applyProtection="1">
      <alignment/>
      <protection/>
    </xf>
    <xf numFmtId="164" fontId="66" fillId="0" borderId="14" xfId="0" applyFont="1" applyBorder="1" applyAlignment="1" applyProtection="1">
      <alignment/>
      <protection/>
    </xf>
    <xf numFmtId="164" fontId="66" fillId="0" borderId="2" xfId="0" applyFont="1" applyBorder="1" applyAlignment="1" applyProtection="1">
      <alignment/>
      <protection/>
    </xf>
    <xf numFmtId="14" fontId="6" fillId="0" borderId="0" xfId="0" applyNumberFormat="1" applyFont="1" applyBorder="1" applyAlignment="1">
      <alignment horizontal="left" wrapText="1" indent="1"/>
    </xf>
    <xf numFmtId="164" fontId="30" fillId="3" borderId="25" xfId="0" applyFont="1" applyFill="1" applyBorder="1" applyAlignment="1" applyProtection="1">
      <alignment horizontal="center" vertical="center" wrapText="1"/>
      <protection/>
    </xf>
    <xf numFmtId="164" fontId="30" fillId="3" borderId="25" xfId="0" applyFont="1" applyFill="1" applyBorder="1" applyAlignment="1" applyProtection="1">
      <alignment horizontal="center" vertical="center"/>
      <protection/>
    </xf>
    <xf numFmtId="0" fontId="33" fillId="2" borderId="6" xfId="28" applyFont="1" applyFill="1" applyBorder="1" applyAlignment="1" applyProtection="1">
      <alignment horizontal="left" vertical="center" indent="1"/>
      <protection locked="0"/>
    </xf>
    <xf numFmtId="0" fontId="33" fillId="2" borderId="6" xfId="28" applyNumberFormat="1" applyFont="1" applyFill="1" applyBorder="1" applyAlignment="1" applyProtection="1">
      <alignment horizontal="left" vertical="center" indent="1"/>
      <protection locked="0"/>
    </xf>
    <xf numFmtId="164" fontId="65" fillId="0" borderId="2" xfId="0" applyFont="1" applyBorder="1" applyAlignment="1">
      <alignment vertical="center"/>
    </xf>
    <xf numFmtId="164" fontId="0" fillId="0" borderId="2" xfId="0" applyBorder="1" applyAlignment="1">
      <alignment vertical="center"/>
    </xf>
    <xf numFmtId="0" fontId="27" fillId="0" borderId="2" xfId="28" applyFont="1" applyBorder="1" applyAlignment="1" applyProtection="1" quotePrefix="1">
      <alignment horizontal="right" vertical="center"/>
      <protection/>
    </xf>
    <xf numFmtId="164" fontId="0" fillId="0" borderId="0" xfId="0" applyAlignment="1">
      <alignment vertical="center"/>
    </xf>
    <xf numFmtId="0" fontId="4" fillId="0" borderId="0" xfId="28" applyAlignment="1" applyProtection="1">
      <alignment vertical="center"/>
      <protection/>
    </xf>
    <xf numFmtId="0" fontId="4" fillId="0" borderId="0" xfId="28" applyAlignment="1" applyProtection="1">
      <alignment horizontal="centerContinuous" vertical="center"/>
      <protection/>
    </xf>
    <xf numFmtId="0" fontId="4" fillId="0" borderId="9" xfId="28" applyBorder="1" applyAlignment="1" applyProtection="1">
      <alignment vertical="center"/>
      <protection/>
    </xf>
    <xf numFmtId="0" fontId="5" fillId="0" borderId="0" xfId="28" applyFont="1" applyBorder="1" applyAlignment="1" applyProtection="1">
      <alignment horizontal="centerContinuous" vertical="center"/>
      <protection/>
    </xf>
    <xf numFmtId="0" fontId="4" fillId="0" borderId="0" xfId="28" applyAlignment="1" applyProtection="1">
      <alignment vertical="center" wrapText="1"/>
      <protection/>
    </xf>
    <xf numFmtId="164" fontId="5" fillId="0" borderId="0" xfId="0" applyFont="1" applyAlignment="1" applyProtection="1">
      <alignment vertical="center"/>
      <protection/>
    </xf>
    <xf numFmtId="164" fontId="0" fillId="0" borderId="0" xfId="0" applyAlignment="1" applyProtection="1">
      <alignment vertical="center"/>
      <protection/>
    </xf>
    <xf numFmtId="0" fontId="6" fillId="0" borderId="0" xfId="28" applyFont="1" applyAlignment="1" applyProtection="1">
      <alignment vertical="center"/>
      <protection/>
    </xf>
    <xf numFmtId="0" fontId="30" fillId="3" borderId="12" xfId="28" applyFont="1" applyFill="1" applyBorder="1" applyAlignment="1" applyProtection="1">
      <alignment horizontal="right" vertical="center" indent="1"/>
      <protection/>
    </xf>
    <xf numFmtId="0" fontId="30" fillId="3" borderId="13" xfId="28" applyFont="1" applyFill="1" applyBorder="1" applyAlignment="1" applyProtection="1">
      <alignment horizontal="right" vertical="center" indent="1"/>
      <protection/>
    </xf>
    <xf numFmtId="164" fontId="33" fillId="2" borderId="26" xfId="0" applyFont="1" applyFill="1" applyBorder="1" applyAlignment="1" applyProtection="1">
      <alignment horizontal="center" vertical="center"/>
      <protection locked="0"/>
    </xf>
    <xf numFmtId="164" fontId="33" fillId="3" borderId="15" xfId="0" applyFont="1" applyFill="1" applyBorder="1" applyAlignment="1" applyProtection="1">
      <alignment horizontal="center" vertical="center"/>
      <protection/>
    </xf>
    <xf numFmtId="0" fontId="48" fillId="0" borderId="0" xfId="29" applyFont="1" applyBorder="1" applyAlignment="1" applyProtection="1">
      <alignment horizontal="right" vertical="center"/>
      <protection/>
    </xf>
    <xf numFmtId="164" fontId="40" fillId="0" borderId="3" xfId="0" applyFont="1" applyBorder="1" applyAlignment="1">
      <alignment horizontal="center"/>
    </xf>
    <xf numFmtId="0" fontId="27" fillId="3" borderId="6" xfId="33" applyFont="1" applyFill="1" applyBorder="1">
      <alignment/>
      <protection/>
    </xf>
    <xf numFmtId="0" fontId="27" fillId="3" borderId="6" xfId="33" applyFont="1" applyFill="1" applyBorder="1" applyAlignment="1">
      <alignment horizontal="center"/>
      <protection/>
    </xf>
    <xf numFmtId="164" fontId="33" fillId="2" borderId="7" xfId="0" applyFont="1" applyFill="1" applyBorder="1" applyAlignment="1" applyProtection="1">
      <alignment horizontal="left" vertical="center" indent="1"/>
      <protection locked="0"/>
    </xf>
    <xf numFmtId="0" fontId="33" fillId="2" borderId="7" xfId="28" applyFont="1" applyFill="1" applyBorder="1" applyAlignment="1" applyProtection="1">
      <alignment horizontal="left" vertical="center" indent="1"/>
      <protection locked="0"/>
    </xf>
    <xf numFmtId="164" fontId="0" fillId="0" borderId="0" xfId="0" applyBorder="1" applyAlignment="1" applyProtection="1">
      <alignment/>
      <protection/>
    </xf>
    <xf numFmtId="166" fontId="30" fillId="0" borderId="0" xfId="27" applyNumberFormat="1" applyFont="1" applyBorder="1" applyAlignment="1" applyProtection="1">
      <alignment vertical="center"/>
      <protection/>
    </xf>
    <xf numFmtId="0" fontId="4" fillId="0" borderId="0" xfId="27" applyNumberFormat="1" applyBorder="1" applyProtection="1">
      <alignment/>
      <protection/>
    </xf>
    <xf numFmtId="166" fontId="30" fillId="0" borderId="19" xfId="27" applyNumberFormat="1" applyFont="1" applyBorder="1" applyAlignment="1" applyProtection="1">
      <alignment vertical="center"/>
      <protection/>
    </xf>
    <xf numFmtId="0" fontId="27" fillId="0" borderId="2" xfId="27" applyFont="1" applyBorder="1" applyAlignment="1" quotePrefix="1">
      <alignment vertical="center"/>
      <protection/>
    </xf>
    <xf numFmtId="0" fontId="4" fillId="0" borderId="0" xfId="27">
      <alignment/>
      <protection/>
    </xf>
    <xf numFmtId="0" fontId="30" fillId="0" borderId="0" xfId="27" applyFont="1" applyAlignment="1">
      <alignment horizontal="right" vertical="center"/>
      <protection/>
    </xf>
    <xf numFmtId="185" fontId="33" fillId="0" borderId="0" xfId="27" applyNumberFormat="1" applyFont="1" applyBorder="1" applyAlignment="1">
      <alignment horizontal="right" vertical="center"/>
      <protection/>
    </xf>
    <xf numFmtId="0" fontId="30" fillId="0" borderId="0" xfId="27" applyFont="1" applyAlignment="1">
      <alignment vertical="center"/>
      <protection/>
    </xf>
    <xf numFmtId="0" fontId="30" fillId="0" borderId="0" xfId="27" applyFont="1" applyAlignment="1">
      <alignment horizontal="left" vertical="center"/>
      <protection/>
    </xf>
    <xf numFmtId="0" fontId="4" fillId="0" borderId="0" xfId="27" applyAlignment="1">
      <alignment vertical="center"/>
      <protection/>
    </xf>
    <xf numFmtId="0" fontId="28" fillId="2" borderId="27" xfId="27" applyFont="1" applyFill="1" applyBorder="1" applyAlignment="1">
      <alignment horizontal="left" vertical="center"/>
      <protection/>
    </xf>
    <xf numFmtId="164" fontId="30" fillId="3" borderId="28" xfId="0" applyFont="1" applyFill="1" applyBorder="1" applyAlignment="1" applyProtection="1">
      <alignment horizontal="center" vertical="center" wrapText="1"/>
      <protection/>
    </xf>
    <xf numFmtId="164" fontId="30" fillId="3" borderId="28" xfId="0" applyFont="1" applyFill="1" applyBorder="1" applyAlignment="1" applyProtection="1">
      <alignment horizontal="center" vertical="center"/>
      <protection/>
    </xf>
    <xf numFmtId="184" fontId="39" fillId="0" borderId="5" xfId="27" applyNumberFormat="1" applyFont="1" applyFill="1" applyBorder="1" applyAlignment="1" applyProtection="1">
      <alignment horizontal="left" vertical="center"/>
      <protection/>
    </xf>
    <xf numFmtId="0" fontId="27" fillId="0" borderId="0" xfId="27" applyFont="1" applyBorder="1" applyAlignment="1">
      <alignment horizontal="left" vertical="center"/>
      <protection/>
    </xf>
    <xf numFmtId="0" fontId="5" fillId="0" borderId="0" xfId="27" applyFont="1" applyBorder="1" applyAlignment="1" quotePrefix="1">
      <alignment horizontal="right"/>
      <protection/>
    </xf>
    <xf numFmtId="165" fontId="5" fillId="0" borderId="0" xfId="27" applyNumberFormat="1" applyFont="1" applyBorder="1">
      <alignment/>
      <protection/>
    </xf>
    <xf numFmtId="0" fontId="5" fillId="0" borderId="0" xfId="27" applyFont="1" applyBorder="1">
      <alignment/>
      <protection/>
    </xf>
    <xf numFmtId="0" fontId="5" fillId="0" borderId="0" xfId="27" applyFont="1" applyBorder="1" applyAlignment="1" quotePrefix="1">
      <alignment horizontal="left"/>
      <protection/>
    </xf>
    <xf numFmtId="164" fontId="0" fillId="0" borderId="0" xfId="0" applyBorder="1" applyAlignment="1">
      <alignment/>
    </xf>
    <xf numFmtId="0" fontId="30" fillId="0" borderId="26" xfId="27" applyFont="1" applyFill="1" applyBorder="1" applyAlignment="1" applyProtection="1">
      <alignment horizontal="center" vertical="center" wrapText="1"/>
      <protection/>
    </xf>
    <xf numFmtId="184" fontId="39" fillId="0" borderId="29" xfId="27" applyNumberFormat="1" applyFont="1" applyFill="1" applyBorder="1" applyAlignment="1" applyProtection="1">
      <alignment horizontal="left" vertical="center"/>
      <protection/>
    </xf>
    <xf numFmtId="164" fontId="30" fillId="0" borderId="0" xfId="0" applyFont="1" applyBorder="1" applyAlignment="1">
      <alignment/>
    </xf>
    <xf numFmtId="164" fontId="47" fillId="0" borderId="0" xfId="0" applyFont="1" applyBorder="1" applyAlignment="1">
      <alignment horizontal="center" vertical="center" wrapText="1"/>
    </xf>
    <xf numFmtId="0" fontId="30" fillId="0" borderId="0" xfId="30" applyFont="1" applyProtection="1">
      <alignment/>
      <protection/>
    </xf>
    <xf numFmtId="164" fontId="70" fillId="0" borderId="0" xfId="0" applyFont="1" applyBorder="1" applyAlignment="1">
      <alignment vertical="top"/>
    </xf>
    <xf numFmtId="164" fontId="30" fillId="0" borderId="0" xfId="0" applyFont="1" applyBorder="1" applyAlignment="1">
      <alignment vertical="top"/>
    </xf>
    <xf numFmtId="164" fontId="71" fillId="0" borderId="0" xfId="0" applyFont="1" applyBorder="1" applyAlignment="1">
      <alignment horizontal="center" vertical="top" wrapText="1"/>
    </xf>
    <xf numFmtId="164" fontId="47" fillId="0" borderId="0" xfId="0" applyFont="1" applyBorder="1" applyAlignment="1">
      <alignment horizontal="center" vertical="top" wrapText="1"/>
    </xf>
    <xf numFmtId="164" fontId="30" fillId="0" borderId="0" xfId="0" applyFont="1" applyBorder="1" applyAlignment="1">
      <alignment horizontal="left" vertical="top" wrapText="1"/>
    </xf>
    <xf numFmtId="177" fontId="39" fillId="3" borderId="30" xfId="28" applyNumberFormat="1" applyFont="1" applyFill="1" applyBorder="1" applyAlignment="1" applyProtection="1">
      <alignment vertical="center"/>
      <protection/>
    </xf>
    <xf numFmtId="177" fontId="39" fillId="3" borderId="31" xfId="28" applyNumberFormat="1" applyFont="1" applyFill="1" applyBorder="1" applyAlignment="1" applyProtection="1">
      <alignment vertical="center"/>
      <protection/>
    </xf>
    <xf numFmtId="164" fontId="30" fillId="3" borderId="32" xfId="0" applyFont="1" applyFill="1" applyBorder="1" applyAlignment="1" applyProtection="1">
      <alignment horizontal="center" vertical="center" wrapText="1"/>
      <protection/>
    </xf>
    <xf numFmtId="0" fontId="11" fillId="0" borderId="0" xfId="30" applyFont="1">
      <alignment/>
      <protection/>
    </xf>
    <xf numFmtId="186" fontId="74" fillId="4" borderId="6" xfId="0" applyNumberFormat="1" applyFont="1" applyFill="1" applyBorder="1" applyAlignment="1">
      <alignment horizontal="center" vertical="center" wrapText="1"/>
    </xf>
    <xf numFmtId="186" fontId="71" fillId="0" borderId="6" xfId="0" applyNumberFormat="1" applyFont="1" applyBorder="1" applyAlignment="1">
      <alignment horizontal="center" vertical="center" wrapText="1"/>
    </xf>
    <xf numFmtId="164" fontId="72" fillId="0" borderId="6" xfId="0" applyFont="1" applyFill="1" applyBorder="1" applyAlignment="1">
      <alignment horizontal="center" vertical="center" wrapText="1"/>
    </xf>
    <xf numFmtId="164" fontId="71" fillId="0" borderId="6" xfId="0" applyFont="1" applyBorder="1" applyAlignment="1">
      <alignment horizontal="center" vertical="center" wrapText="1"/>
    </xf>
    <xf numFmtId="186" fontId="33" fillId="5" borderId="8" xfId="0" applyNumberFormat="1" applyFont="1" applyFill="1" applyBorder="1" applyAlignment="1">
      <alignment horizontal="center" vertical="center" wrapText="1"/>
    </xf>
    <xf numFmtId="177" fontId="75" fillId="0" borderId="6" xfId="0" applyNumberFormat="1" applyFont="1" applyBorder="1" applyAlignment="1">
      <alignment horizontal="center" vertical="center" wrapText="1"/>
    </xf>
    <xf numFmtId="164" fontId="73" fillId="6" borderId="15" xfId="0" applyFont="1" applyFill="1" applyBorder="1" applyAlignment="1">
      <alignment horizontal="center" vertical="center" wrapText="1"/>
    </xf>
    <xf numFmtId="187" fontId="1" fillId="6" borderId="6" xfId="31" applyNumberFormat="1" applyFont="1" applyFill="1" applyBorder="1" applyAlignment="1">
      <alignment horizontal="center" vertical="center"/>
      <protection/>
    </xf>
    <xf numFmtId="2" fontId="4" fillId="6" borderId="6" xfId="31" applyNumberFormat="1" applyFont="1" applyFill="1" applyBorder="1" applyAlignment="1">
      <alignment horizontal="right" vertical="center"/>
      <protection/>
    </xf>
    <xf numFmtId="2" fontId="4" fillId="6" borderId="6" xfId="31" applyNumberFormat="1" applyFont="1" applyFill="1" applyBorder="1" applyAlignment="1">
      <alignment vertical="center"/>
      <protection/>
    </xf>
    <xf numFmtId="187" fontId="4" fillId="7" borderId="0" xfId="31" applyNumberFormat="1" applyFont="1" applyFill="1">
      <alignment/>
      <protection/>
    </xf>
    <xf numFmtId="0" fontId="27" fillId="0" borderId="0" xfId="29" applyFont="1" applyBorder="1">
      <alignment/>
      <protection/>
    </xf>
    <xf numFmtId="0" fontId="30" fillId="0" borderId="0" xfId="29" applyFont="1" applyBorder="1">
      <alignment/>
      <protection/>
    </xf>
    <xf numFmtId="0" fontId="30" fillId="0" borderId="0" xfId="30" applyFont="1" applyBorder="1">
      <alignment/>
      <protection/>
    </xf>
    <xf numFmtId="0" fontId="4" fillId="0" borderId="0" xfId="30">
      <alignment/>
      <protection/>
    </xf>
    <xf numFmtId="0" fontId="27" fillId="0" borderId="2" xfId="29" applyFont="1" applyBorder="1" applyAlignment="1">
      <alignment/>
      <protection/>
    </xf>
    <xf numFmtId="0" fontId="27" fillId="0" borderId="0" xfId="29" applyFont="1" applyBorder="1" applyAlignment="1">
      <alignment/>
      <protection/>
    </xf>
    <xf numFmtId="164" fontId="27" fillId="0" borderId="2" xfId="0" applyFont="1" applyBorder="1" applyAlignment="1">
      <alignment/>
    </xf>
    <xf numFmtId="164" fontId="30" fillId="0" borderId="2" xfId="0" applyFont="1" applyBorder="1" applyAlignment="1">
      <alignment/>
    </xf>
    <xf numFmtId="164" fontId="47" fillId="0" borderId="2" xfId="0" applyFont="1" applyBorder="1" applyAlignment="1">
      <alignment horizontal="center" vertical="center" wrapText="1"/>
    </xf>
    <xf numFmtId="0" fontId="30" fillId="0" borderId="2" xfId="30" applyFont="1" applyBorder="1" applyProtection="1">
      <alignment/>
      <protection/>
    </xf>
    <xf numFmtId="164" fontId="5" fillId="0" borderId="2" xfId="0" applyFont="1" applyBorder="1" applyAlignment="1" applyProtection="1">
      <alignment vertical="center"/>
      <protection/>
    </xf>
    <xf numFmtId="164" fontId="39" fillId="2" borderId="8" xfId="0" applyFont="1" applyFill="1" applyBorder="1" applyAlignment="1" applyProtection="1">
      <alignment horizontal="center" vertical="center"/>
      <protection locked="0"/>
    </xf>
    <xf numFmtId="0" fontId="39" fillId="2" borderId="6" xfId="28" applyNumberFormat="1" applyFont="1" applyFill="1" applyBorder="1" applyAlignment="1" applyProtection="1">
      <alignment horizontal="center" vertical="center"/>
      <protection locked="0"/>
    </xf>
    <xf numFmtId="186" fontId="39" fillId="3" borderId="33" xfId="28" applyNumberFormat="1" applyFont="1" applyFill="1" applyBorder="1" applyAlignment="1" applyProtection="1">
      <alignment vertical="center"/>
      <protection/>
    </xf>
    <xf numFmtId="186" fontId="39" fillId="3" borderId="6" xfId="28" applyNumberFormat="1" applyFont="1" applyFill="1" applyBorder="1" applyAlignment="1" applyProtection="1">
      <alignment vertical="center"/>
      <protection/>
    </xf>
    <xf numFmtId="0" fontId="30" fillId="0" borderId="0" xfId="28" applyFont="1" applyFill="1" applyBorder="1" applyAlignment="1" applyProtection="1">
      <alignment vertical="center" wrapText="1"/>
      <protection/>
    </xf>
    <xf numFmtId="0" fontId="65" fillId="0" borderId="2" xfId="30" applyFont="1" applyBorder="1" applyAlignment="1" applyProtection="1">
      <alignment horizontal="right"/>
      <protection/>
    </xf>
    <xf numFmtId="187" fontId="30" fillId="5" borderId="6" xfId="31" applyNumberFormat="1" applyFont="1" applyFill="1" applyBorder="1" applyAlignment="1">
      <alignment horizontal="center" vertical="center"/>
      <protection/>
    </xf>
    <xf numFmtId="187" fontId="30" fillId="5" borderId="6" xfId="31" applyNumberFormat="1" applyFont="1" applyFill="1" applyBorder="1" applyAlignment="1">
      <alignment horizontal="center" vertical="center" wrapText="1"/>
      <protection/>
    </xf>
    <xf numFmtId="186" fontId="39" fillId="5" borderId="6" xfId="31" applyNumberFormat="1" applyFont="1" applyFill="1" applyBorder="1" applyAlignment="1">
      <alignment vertical="center"/>
      <protection/>
    </xf>
    <xf numFmtId="191" fontId="80" fillId="4" borderId="6" xfId="31" applyNumberFormat="1" applyFont="1" applyFill="1" applyBorder="1" applyAlignment="1">
      <alignment vertical="center" wrapText="1"/>
      <protection/>
    </xf>
    <xf numFmtId="191" fontId="39" fillId="8" borderId="6" xfId="31" applyNumberFormat="1" applyFont="1" applyFill="1" applyBorder="1" applyAlignment="1">
      <alignment vertical="center"/>
      <protection/>
    </xf>
    <xf numFmtId="191" fontId="39" fillId="7" borderId="6" xfId="31" applyNumberFormat="1" applyFont="1" applyFill="1" applyBorder="1" applyAlignment="1">
      <alignment vertical="center"/>
      <protection/>
    </xf>
    <xf numFmtId="191" fontId="39" fillId="0" borderId="6" xfId="31" applyNumberFormat="1" applyFont="1" applyFill="1" applyBorder="1" applyAlignment="1">
      <alignment vertical="center"/>
      <protection/>
    </xf>
    <xf numFmtId="191" fontId="39" fillId="7" borderId="6" xfId="31" applyNumberFormat="1" applyFont="1" applyFill="1" applyBorder="1" applyAlignment="1">
      <alignment vertical="center" wrapText="1"/>
      <protection/>
    </xf>
    <xf numFmtId="191" fontId="39" fillId="8" borderId="6" xfId="31" applyNumberFormat="1" applyFont="1" applyFill="1" applyBorder="1" applyAlignment="1">
      <alignment vertical="center" wrapText="1"/>
      <protection/>
    </xf>
    <xf numFmtId="191" fontId="39" fillId="9" borderId="6" xfId="31" applyNumberFormat="1" applyFont="1" applyFill="1" applyBorder="1" applyAlignment="1">
      <alignment vertical="center"/>
      <protection/>
    </xf>
    <xf numFmtId="191" fontId="39" fillId="10" borderId="6" xfId="0" applyNumberFormat="1" applyFont="1" applyFill="1" applyBorder="1" applyAlignment="1">
      <alignment vertical="center"/>
    </xf>
    <xf numFmtId="191" fontId="39" fillId="6" borderId="6" xfId="31" applyNumberFormat="1" applyFont="1" applyFill="1" applyBorder="1" applyAlignment="1">
      <alignment vertical="center"/>
      <protection/>
    </xf>
    <xf numFmtId="190" fontId="81" fillId="7" borderId="6" xfId="34" applyNumberFormat="1" applyFont="1" applyFill="1" applyBorder="1" applyAlignment="1">
      <alignment horizontal="right" vertical="center"/>
    </xf>
    <xf numFmtId="186" fontId="82" fillId="7" borderId="6" xfId="31" applyNumberFormat="1" applyFont="1" applyFill="1" applyBorder="1" applyAlignment="1">
      <alignment horizontal="right" vertical="center" indent="1"/>
      <protection/>
    </xf>
    <xf numFmtId="186" fontId="82" fillId="7" borderId="6" xfId="31" applyNumberFormat="1" applyFont="1" applyFill="1" applyBorder="1" applyAlignment="1">
      <alignment vertical="center"/>
      <protection/>
    </xf>
    <xf numFmtId="191" fontId="39" fillId="7" borderId="31" xfId="31" applyNumberFormat="1" applyFont="1" applyFill="1" applyBorder="1" applyAlignment="1">
      <alignment vertical="center"/>
      <protection/>
    </xf>
    <xf numFmtId="188" fontId="30" fillId="7" borderId="13" xfId="31" applyNumberFormat="1" applyFont="1" applyFill="1" applyBorder="1" applyAlignment="1">
      <alignment vertical="center"/>
      <protection/>
    </xf>
    <xf numFmtId="187" fontId="83" fillId="7" borderId="6" xfId="31" applyNumberFormat="1" applyFont="1" applyFill="1" applyBorder="1" applyAlignment="1">
      <alignment horizontal="center" vertical="center" wrapText="1"/>
      <protection/>
    </xf>
    <xf numFmtId="187" fontId="85" fillId="7" borderId="6" xfId="31" applyNumberFormat="1" applyFont="1" applyFill="1" applyBorder="1" applyAlignment="1">
      <alignment horizontal="center" vertical="center" wrapText="1"/>
      <protection/>
    </xf>
    <xf numFmtId="189" fontId="67" fillId="7" borderId="6" xfId="34" applyNumberFormat="1" applyFont="1" applyFill="1" applyBorder="1" applyAlignment="1">
      <alignment vertical="center"/>
    </xf>
    <xf numFmtId="187" fontId="90" fillId="7" borderId="6" xfId="31" applyNumberFormat="1" applyFont="1" applyFill="1" applyBorder="1" applyAlignment="1">
      <alignment horizontal="center" vertical="center" wrapText="1"/>
      <protection/>
    </xf>
    <xf numFmtId="189" fontId="81" fillId="7" borderId="6" xfId="34" applyNumberFormat="1" applyFont="1" applyFill="1" applyBorder="1" applyAlignment="1">
      <alignment vertical="center"/>
    </xf>
    <xf numFmtId="187" fontId="67" fillId="7" borderId="6" xfId="31" applyNumberFormat="1" applyFont="1" applyFill="1" applyBorder="1" applyAlignment="1">
      <alignment horizontal="center"/>
      <protection/>
    </xf>
    <xf numFmtId="187" fontId="49" fillId="7" borderId="13" xfId="31" applyNumberFormat="1" applyFont="1" applyFill="1" applyBorder="1" applyAlignment="1">
      <alignment vertical="center"/>
      <protection/>
    </xf>
    <xf numFmtId="186" fontId="74" fillId="4" borderId="8" xfId="0" applyNumberFormat="1" applyFont="1" applyFill="1" applyBorder="1" applyAlignment="1">
      <alignment horizontal="center" vertical="center" wrapText="1"/>
    </xf>
    <xf numFmtId="186" fontId="71" fillId="0" borderId="8" xfId="0" applyNumberFormat="1" applyFont="1" applyBorder="1" applyAlignment="1">
      <alignment horizontal="center" vertical="center" wrapText="1"/>
    </xf>
    <xf numFmtId="164" fontId="72" fillId="0" borderId="8" xfId="0" applyFont="1" applyFill="1" applyBorder="1" applyAlignment="1">
      <alignment horizontal="center" vertical="center" wrapText="1"/>
    </xf>
    <xf numFmtId="164" fontId="71" fillId="0" borderId="8" xfId="0" applyFont="1" applyBorder="1" applyAlignment="1">
      <alignment horizontal="center" vertical="center" wrapText="1"/>
    </xf>
    <xf numFmtId="177" fontId="75" fillId="0" borderId="8" xfId="0" applyNumberFormat="1" applyFont="1" applyBorder="1" applyAlignment="1">
      <alignment horizontal="center" vertical="center" wrapText="1"/>
    </xf>
    <xf numFmtId="164" fontId="73" fillId="6" borderId="26" xfId="0" applyFont="1" applyFill="1" applyBorder="1" applyAlignment="1">
      <alignment horizontal="center" vertical="center" wrapText="1"/>
    </xf>
    <xf numFmtId="164" fontId="73" fillId="6" borderId="34" xfId="0" applyFont="1" applyFill="1" applyBorder="1" applyAlignment="1">
      <alignment horizontal="center" vertical="center" wrapText="1"/>
    </xf>
    <xf numFmtId="164" fontId="67" fillId="4" borderId="8" xfId="0" applyFont="1" applyFill="1" applyBorder="1" applyAlignment="1">
      <alignment horizontal="center" vertical="center" wrapText="1"/>
    </xf>
    <xf numFmtId="164" fontId="67" fillId="4" borderId="6" xfId="0" applyFont="1" applyFill="1" applyBorder="1" applyAlignment="1">
      <alignment horizontal="center" vertical="center" wrapText="1"/>
    </xf>
    <xf numFmtId="164" fontId="69" fillId="7" borderId="8" xfId="0" applyFont="1" applyFill="1" applyBorder="1" applyAlignment="1">
      <alignment horizontal="center" vertical="center" wrapText="1"/>
    </xf>
    <xf numFmtId="164" fontId="31" fillId="10" borderId="6" xfId="0" applyFont="1" applyFill="1" applyBorder="1" applyAlignment="1">
      <alignment horizontal="right" vertical="center"/>
    </xf>
    <xf numFmtId="187" fontId="94" fillId="4" borderId="6" xfId="31" applyNumberFormat="1" applyFont="1" applyFill="1" applyBorder="1" applyAlignment="1">
      <alignment horizontal="center" vertical="center" wrapText="1"/>
      <protection/>
    </xf>
    <xf numFmtId="164" fontId="93" fillId="0" borderId="35" xfId="0" applyFont="1" applyBorder="1" applyAlignment="1">
      <alignment horizontal="center" vertical="center" wrapText="1"/>
    </xf>
    <xf numFmtId="164" fontId="94" fillId="4" borderId="35" xfId="0" applyFont="1" applyFill="1" applyBorder="1" applyAlignment="1">
      <alignment horizontal="center" vertical="center" wrapText="1"/>
    </xf>
    <xf numFmtId="164" fontId="95" fillId="4" borderId="35" xfId="0" applyFont="1" applyFill="1" applyBorder="1" applyAlignment="1">
      <alignment horizontal="center" vertical="center" wrapText="1"/>
    </xf>
    <xf numFmtId="164" fontId="93" fillId="0" borderId="35" xfId="0" applyFont="1" applyFill="1" applyBorder="1" applyAlignment="1">
      <alignment horizontal="center" vertical="center" wrapText="1"/>
    </xf>
    <xf numFmtId="164" fontId="31" fillId="5" borderId="35" xfId="0" applyFont="1" applyFill="1" applyBorder="1" applyAlignment="1">
      <alignment horizontal="center" vertical="center" wrapText="1"/>
    </xf>
    <xf numFmtId="187" fontId="95" fillId="4" borderId="6" xfId="31" applyNumberFormat="1" applyFont="1" applyFill="1" applyBorder="1" applyAlignment="1">
      <alignment horizontal="center" vertical="center" wrapText="1"/>
      <protection/>
    </xf>
    <xf numFmtId="187" fontId="46" fillId="7" borderId="6" xfId="31" applyNumberFormat="1" applyFont="1" applyFill="1" applyBorder="1" applyAlignment="1">
      <alignment horizontal="right" vertical="center"/>
      <protection/>
    </xf>
    <xf numFmtId="187" fontId="47" fillId="6" borderId="6" xfId="31" applyNumberFormat="1" applyFont="1" applyFill="1" applyBorder="1" applyAlignment="1">
      <alignment horizontal="right" vertical="center"/>
      <protection/>
    </xf>
    <xf numFmtId="187" fontId="49" fillId="7" borderId="6" xfId="31" applyNumberFormat="1" applyFont="1" applyFill="1" applyBorder="1" applyAlignment="1">
      <alignment horizontal="right" vertical="center"/>
      <protection/>
    </xf>
    <xf numFmtId="10" fontId="39" fillId="7" borderId="36" xfId="34" applyNumberFormat="1" applyFont="1" applyFill="1" applyBorder="1" applyAlignment="1">
      <alignment vertical="center"/>
    </xf>
    <xf numFmtId="187" fontId="30" fillId="9" borderId="6" xfId="31" applyNumberFormat="1" applyFont="1" applyFill="1" applyBorder="1" applyAlignment="1">
      <alignment horizontal="right" vertical="center"/>
      <protection/>
    </xf>
    <xf numFmtId="164" fontId="70" fillId="0" borderId="20" xfId="0" applyFont="1" applyBorder="1" applyAlignment="1">
      <alignment vertical="top"/>
    </xf>
    <xf numFmtId="164" fontId="70" fillId="3" borderId="31" xfId="0" applyFont="1" applyFill="1" applyBorder="1" applyAlignment="1">
      <alignment vertical="top"/>
    </xf>
    <xf numFmtId="164" fontId="70" fillId="0" borderId="31" xfId="0" applyFont="1" applyBorder="1" applyAlignment="1">
      <alignment vertical="top"/>
    </xf>
    <xf numFmtId="164" fontId="30" fillId="0" borderId="37" xfId="0" applyFont="1" applyBorder="1" applyAlignment="1">
      <alignment vertical="top"/>
    </xf>
    <xf numFmtId="164" fontId="30" fillId="3" borderId="36" xfId="0" applyFont="1" applyFill="1" applyBorder="1" applyAlignment="1">
      <alignment vertical="top"/>
    </xf>
    <xf numFmtId="164" fontId="30" fillId="0" borderId="36" xfId="0" applyFont="1" applyBorder="1" applyAlignment="1">
      <alignment vertical="top"/>
    </xf>
    <xf numFmtId="164" fontId="71" fillId="3" borderId="36" xfId="0" applyFont="1" applyFill="1" applyBorder="1" applyAlignment="1">
      <alignment horizontal="center" vertical="top" wrapText="1"/>
    </xf>
    <xf numFmtId="186" fontId="50" fillId="4" borderId="38" xfId="29" applyNumberFormat="1" applyFont="1" applyFill="1" applyBorder="1">
      <alignment/>
      <protection/>
    </xf>
    <xf numFmtId="0" fontId="30" fillId="4" borderId="12" xfId="30" applyFont="1" applyFill="1" applyBorder="1">
      <alignment/>
      <protection/>
    </xf>
    <xf numFmtId="186" fontId="50" fillId="2" borderId="36" xfId="29" applyNumberFormat="1" applyFont="1" applyFill="1" applyBorder="1">
      <alignment/>
      <protection/>
    </xf>
    <xf numFmtId="0" fontId="30" fillId="2" borderId="13" xfId="30" applyFont="1" applyFill="1" applyBorder="1">
      <alignment/>
      <protection/>
    </xf>
    <xf numFmtId="186" fontId="50" fillId="5" borderId="36" xfId="29" applyNumberFormat="1" applyFont="1" applyFill="1" applyBorder="1">
      <alignment/>
      <protection/>
    </xf>
    <xf numFmtId="0" fontId="30" fillId="5" borderId="13" xfId="30" applyFont="1" applyFill="1" applyBorder="1">
      <alignment/>
      <protection/>
    </xf>
    <xf numFmtId="0" fontId="101" fillId="0" borderId="0" xfId="29" applyFont="1" applyBorder="1" applyAlignment="1" applyProtection="1">
      <alignment horizontal="left" indent="1"/>
      <protection/>
    </xf>
    <xf numFmtId="0" fontId="30" fillId="0" borderId="39" xfId="27" applyFont="1" applyBorder="1" applyAlignment="1" applyProtection="1">
      <alignment horizontal="right" vertical="center"/>
      <protection/>
    </xf>
    <xf numFmtId="0" fontId="30" fillId="0" borderId="24" xfId="27" applyFont="1" applyFill="1" applyBorder="1" applyAlignment="1" applyProtection="1">
      <alignment horizontal="center" vertical="center" wrapText="1"/>
      <protection/>
    </xf>
    <xf numFmtId="177" fontId="70" fillId="0" borderId="31" xfId="0" applyNumberFormat="1" applyFont="1" applyBorder="1" applyAlignment="1">
      <alignment vertical="top"/>
    </xf>
    <xf numFmtId="177" fontId="70" fillId="3" borderId="31" xfId="0" applyNumberFormat="1" applyFont="1" applyFill="1" applyBorder="1" applyAlignment="1">
      <alignment vertical="top"/>
    </xf>
    <xf numFmtId="173" fontId="71" fillId="0" borderId="39" xfId="0" applyNumberFormat="1" applyFont="1" applyBorder="1" applyAlignment="1">
      <alignment horizontal="center" vertical="top" wrapText="1"/>
    </xf>
    <xf numFmtId="173" fontId="71" fillId="3" borderId="36" xfId="0" applyNumberFormat="1" applyFont="1" applyFill="1" applyBorder="1" applyAlignment="1">
      <alignment horizontal="center" vertical="top" wrapText="1"/>
    </xf>
    <xf numFmtId="173" fontId="71" fillId="0" borderId="36" xfId="0" applyNumberFormat="1" applyFont="1" applyBorder="1" applyAlignment="1">
      <alignment horizontal="center" vertical="top" wrapText="1"/>
    </xf>
    <xf numFmtId="193" fontId="30" fillId="0" borderId="13" xfId="27" applyNumberFormat="1" applyFont="1" applyFill="1" applyBorder="1" applyAlignment="1" applyProtection="1">
      <alignment horizontal="center" vertical="center"/>
      <protection/>
    </xf>
    <xf numFmtId="177" fontId="39" fillId="0" borderId="6" xfId="27" applyNumberFormat="1" applyFont="1" applyFill="1" applyBorder="1" applyAlignment="1" applyProtection="1">
      <alignment horizontal="center" vertical="center"/>
      <protection/>
    </xf>
    <xf numFmtId="173" fontId="39" fillId="0" borderId="6" xfId="27" applyNumberFormat="1" applyFont="1" applyFill="1" applyBorder="1" applyAlignment="1" applyProtection="1">
      <alignment horizontal="center" vertical="center"/>
      <protection/>
    </xf>
    <xf numFmtId="173" fontId="39" fillId="0" borderId="15" xfId="27" applyNumberFormat="1" applyFont="1" applyFill="1" applyBorder="1" applyAlignment="1" applyProtection="1">
      <alignment horizontal="center" vertical="center"/>
      <protection/>
    </xf>
    <xf numFmtId="0" fontId="39" fillId="2" borderId="33" xfId="28" applyNumberFormat="1" applyFont="1" applyFill="1" applyBorder="1" applyAlignment="1" applyProtection="1">
      <alignment horizontal="center" vertical="center"/>
      <protection locked="0"/>
    </xf>
    <xf numFmtId="164" fontId="39" fillId="3" borderId="33" xfId="0" applyFont="1" applyFill="1" applyBorder="1" applyAlignment="1" applyProtection="1">
      <alignment vertical="center"/>
      <protection/>
    </xf>
    <xf numFmtId="164" fontId="39" fillId="3" borderId="33" xfId="0" applyFont="1" applyFill="1" applyBorder="1" applyAlignment="1" applyProtection="1">
      <alignment horizontal="center" vertical="center"/>
      <protection/>
    </xf>
    <xf numFmtId="164" fontId="39" fillId="3" borderId="6" xfId="0" applyFont="1" applyFill="1" applyBorder="1" applyAlignment="1" applyProtection="1">
      <alignment vertical="center"/>
      <protection/>
    </xf>
    <xf numFmtId="164" fontId="39" fillId="3" borderId="6" xfId="0" applyFont="1" applyFill="1" applyBorder="1" applyAlignment="1" applyProtection="1">
      <alignment horizontal="center" vertical="center"/>
      <protection/>
    </xf>
    <xf numFmtId="164" fontId="30" fillId="3" borderId="8" xfId="0" applyFont="1" applyFill="1" applyBorder="1" applyAlignment="1" applyProtection="1">
      <alignment horizontal="center" vertical="center"/>
      <protection/>
    </xf>
    <xf numFmtId="164" fontId="33" fillId="3" borderId="8" xfId="0" applyFont="1" applyFill="1" applyBorder="1" applyAlignment="1" applyProtection="1">
      <alignment horizontal="center" vertical="center"/>
      <protection/>
    </xf>
    <xf numFmtId="164" fontId="30" fillId="3" borderId="24" xfId="0" applyFont="1" applyFill="1" applyBorder="1" applyAlignment="1" applyProtection="1">
      <alignment horizontal="center" vertical="center"/>
      <protection/>
    </xf>
    <xf numFmtId="164" fontId="30" fillId="3" borderId="40" xfId="0" applyFont="1" applyFill="1" applyBorder="1" applyAlignment="1" applyProtection="1">
      <alignment horizontal="center" vertical="center" wrapText="1"/>
      <protection/>
    </xf>
    <xf numFmtId="164" fontId="30" fillId="3" borderId="41" xfId="0" applyFont="1" applyFill="1" applyBorder="1" applyAlignment="1" applyProtection="1">
      <alignment horizontal="center" vertical="center" wrapText="1"/>
      <protection/>
    </xf>
    <xf numFmtId="164" fontId="30" fillId="3" borderId="42" xfId="0" applyFont="1" applyFill="1" applyBorder="1" applyAlignment="1" applyProtection="1">
      <alignment horizontal="center" vertical="center" wrapText="1"/>
      <protection/>
    </xf>
    <xf numFmtId="0" fontId="47" fillId="3" borderId="43" xfId="28" applyFont="1" applyFill="1" applyBorder="1" applyAlignment="1" applyProtection="1">
      <alignment horizontal="center" vertical="center" wrapText="1"/>
      <protection/>
    </xf>
    <xf numFmtId="164" fontId="47" fillId="3" borderId="43" xfId="0" applyFont="1" applyFill="1" applyBorder="1" applyAlignment="1" applyProtection="1">
      <alignment horizontal="center" vertical="center" wrapText="1"/>
      <protection/>
    </xf>
    <xf numFmtId="164" fontId="47" fillId="3" borderId="43" xfId="0" applyFont="1" applyFill="1" applyBorder="1" applyAlignment="1" applyProtection="1">
      <alignment horizontal="center" vertical="center"/>
      <protection/>
    </xf>
    <xf numFmtId="0" fontId="47" fillId="3" borderId="44" xfId="28" applyFont="1" applyFill="1" applyBorder="1" applyAlignment="1" applyProtection="1">
      <alignment horizontal="center" vertical="center" wrapText="1"/>
      <protection/>
    </xf>
    <xf numFmtId="164" fontId="47" fillId="3" borderId="44" xfId="0" applyFont="1" applyFill="1" applyBorder="1" applyAlignment="1" applyProtection="1">
      <alignment horizontal="center" vertical="center" wrapText="1"/>
      <protection/>
    </xf>
    <xf numFmtId="164" fontId="102" fillId="0" borderId="0" xfId="0" applyFont="1" applyAlignment="1" applyProtection="1">
      <alignment/>
      <protection/>
    </xf>
    <xf numFmtId="0" fontId="27" fillId="0" borderId="2" xfId="27" applyFont="1" applyBorder="1" applyAlignment="1" applyProtection="1">
      <alignment horizontal="right" vertical="center"/>
      <protection/>
    </xf>
    <xf numFmtId="0" fontId="28" fillId="0" borderId="2" xfId="27" applyFont="1" applyBorder="1" applyAlignment="1" applyProtection="1" quotePrefix="1">
      <alignment horizontal="right" vertical="center"/>
      <protection/>
    </xf>
    <xf numFmtId="164" fontId="65" fillId="0" borderId="0" xfId="0" applyFont="1" applyBorder="1" applyAlignment="1" applyProtection="1">
      <alignment/>
      <protection/>
    </xf>
    <xf numFmtId="164" fontId="8" fillId="0" borderId="0" xfId="0" applyFont="1" applyBorder="1" applyAlignment="1" applyProtection="1">
      <alignment/>
      <protection/>
    </xf>
    <xf numFmtId="0" fontId="27" fillId="0" borderId="0" xfId="27" applyFont="1" applyBorder="1" applyAlignment="1" applyProtection="1">
      <alignment horizontal="right" vertical="center"/>
      <protection/>
    </xf>
    <xf numFmtId="0" fontId="28" fillId="0" borderId="0" xfId="27" applyFont="1" applyBorder="1" applyAlignment="1" applyProtection="1" quotePrefix="1">
      <alignment horizontal="right" vertical="center"/>
      <protection/>
    </xf>
    <xf numFmtId="0" fontId="39" fillId="2" borderId="45" xfId="28" applyFont="1" applyFill="1" applyBorder="1" applyAlignment="1" applyProtection="1">
      <alignment horizontal="center" vertical="center" wrapText="1"/>
      <protection/>
    </xf>
    <xf numFmtId="14" fontId="39" fillId="2" borderId="45" xfId="28" applyNumberFormat="1" applyFont="1" applyFill="1" applyBorder="1" applyAlignment="1" applyProtection="1">
      <alignment horizontal="center" vertical="center" wrapText="1"/>
      <protection/>
    </xf>
    <xf numFmtId="0" fontId="30" fillId="4" borderId="24" xfId="28" applyFont="1" applyFill="1" applyBorder="1" applyAlignment="1" applyProtection="1">
      <alignment horizontal="center" vertical="center"/>
      <protection/>
    </xf>
    <xf numFmtId="164" fontId="30" fillId="3" borderId="46" xfId="0" applyFont="1" applyFill="1" applyBorder="1" applyAlignment="1" applyProtection="1">
      <alignment horizontal="center" vertical="center" wrapText="1"/>
      <protection/>
    </xf>
    <xf numFmtId="164" fontId="0" fillId="0" borderId="32" xfId="0" applyBorder="1" applyAlignment="1">
      <alignment vertical="center"/>
    </xf>
    <xf numFmtId="0" fontId="30" fillId="4" borderId="39" xfId="28" applyFont="1" applyFill="1" applyBorder="1" applyAlignment="1" applyProtection="1">
      <alignment horizontal="center" vertical="center"/>
      <protection/>
    </xf>
    <xf numFmtId="0" fontId="30" fillId="4" borderId="20" xfId="28" applyFont="1" applyFill="1" applyBorder="1" applyAlignment="1" applyProtection="1">
      <alignment horizontal="center" vertical="center"/>
      <protection/>
    </xf>
    <xf numFmtId="164" fontId="30" fillId="3" borderId="10" xfId="0" applyFont="1" applyFill="1" applyBorder="1" applyAlignment="1" applyProtection="1">
      <alignment horizontal="center" vertical="center" wrapText="1"/>
      <protection/>
    </xf>
    <xf numFmtId="164" fontId="20" fillId="0" borderId="0" xfId="0" applyFont="1" applyAlignment="1">
      <alignment horizontal="center" wrapText="1"/>
    </xf>
    <xf numFmtId="164" fontId="0" fillId="0" borderId="0" xfId="0" applyAlignment="1">
      <alignment horizontal="center" wrapText="1"/>
    </xf>
    <xf numFmtId="164" fontId="6" fillId="0" borderId="18" xfId="0" applyFont="1" applyBorder="1" applyAlignment="1">
      <alignment vertical="top" wrapText="1"/>
    </xf>
    <xf numFmtId="164" fontId="12" fillId="0" borderId="18" xfId="0" applyFont="1" applyBorder="1" applyAlignment="1">
      <alignment/>
    </xf>
    <xf numFmtId="164" fontId="12" fillId="0" borderId="0" xfId="0" applyFont="1" applyAlignment="1">
      <alignment/>
    </xf>
    <xf numFmtId="164" fontId="6" fillId="0" borderId="0" xfId="0" applyFont="1" applyAlignment="1">
      <alignment vertical="center" wrapText="1"/>
    </xf>
    <xf numFmtId="174" fontId="6" fillId="0" borderId="0" xfId="0" applyNumberFormat="1" applyFont="1" applyBorder="1" applyAlignment="1">
      <alignment horizontal="left" vertical="center"/>
    </xf>
    <xf numFmtId="180" fontId="6" fillId="0" borderId="0" xfId="0" applyNumberFormat="1" applyFont="1" applyAlignment="1">
      <alignment horizontal="left"/>
    </xf>
    <xf numFmtId="164" fontId="25" fillId="0" borderId="18" xfId="0" applyFont="1" applyBorder="1" applyAlignment="1">
      <alignment horizontal="left" vertical="top" wrapText="1"/>
    </xf>
    <xf numFmtId="164" fontId="6" fillId="0" borderId="18" xfId="0" applyFont="1" applyBorder="1" applyAlignment="1">
      <alignment horizontal="left" vertical="top" wrapText="1"/>
    </xf>
    <xf numFmtId="164" fontId="6" fillId="0" borderId="0" xfId="0" applyFont="1" applyAlignment="1">
      <alignment vertical="center"/>
    </xf>
    <xf numFmtId="164" fontId="25" fillId="0" borderId="0" xfId="0" applyFont="1" applyBorder="1" applyAlignment="1">
      <alignment vertical="top" wrapText="1"/>
    </xf>
    <xf numFmtId="164" fontId="26" fillId="0" borderId="0" xfId="0" applyFont="1" applyBorder="1" applyAlignment="1">
      <alignment vertical="top" wrapText="1"/>
    </xf>
    <xf numFmtId="0" fontId="33" fillId="2" borderId="31" xfId="34" applyNumberFormat="1" applyFont="1" applyFill="1" applyBorder="1" applyAlignment="1" applyProtection="1">
      <alignment horizontal="left" vertical="center" indent="1"/>
      <protection locked="0"/>
    </xf>
    <xf numFmtId="0" fontId="33" fillId="2" borderId="13" xfId="34" applyNumberFormat="1" applyFont="1" applyFill="1" applyBorder="1" applyAlignment="1" applyProtection="1">
      <alignment horizontal="left" vertical="center" indent="1"/>
      <protection locked="0"/>
    </xf>
    <xf numFmtId="164" fontId="39" fillId="3" borderId="31" xfId="0" applyFont="1" applyFill="1" applyBorder="1" applyAlignment="1" applyProtection="1">
      <alignment horizontal="center" vertical="center"/>
      <protection/>
    </xf>
    <xf numFmtId="164" fontId="39" fillId="3" borderId="13" xfId="0" applyFont="1" applyFill="1" applyBorder="1" applyAlignment="1" applyProtection="1">
      <alignment horizontal="center" vertical="center"/>
      <protection/>
    </xf>
    <xf numFmtId="164" fontId="33" fillId="2" borderId="31" xfId="0" applyFont="1" applyFill="1" applyBorder="1" applyAlignment="1" applyProtection="1">
      <alignment horizontal="left" vertical="center" indent="1"/>
      <protection locked="0"/>
    </xf>
    <xf numFmtId="164" fontId="33" fillId="2" borderId="13" xfId="0" applyFont="1" applyFill="1" applyBorder="1" applyAlignment="1" applyProtection="1">
      <alignment horizontal="left" vertical="center" indent="1"/>
      <protection locked="0"/>
    </xf>
    <xf numFmtId="164" fontId="39" fillId="3" borderId="30" xfId="0" applyFont="1" applyFill="1" applyBorder="1" applyAlignment="1" applyProtection="1">
      <alignment horizontal="center" vertical="center"/>
      <protection/>
    </xf>
    <xf numFmtId="164" fontId="39" fillId="3" borderId="47" xfId="0" applyFont="1" applyFill="1" applyBorder="1" applyAlignment="1" applyProtection="1">
      <alignment horizontal="center" vertical="center"/>
      <protection/>
    </xf>
    <xf numFmtId="0" fontId="30" fillId="3" borderId="6" xfId="28" applyFont="1" applyFill="1" applyBorder="1" applyAlignment="1" applyProtection="1">
      <alignment horizontal="right" vertical="center" indent="1"/>
      <protection/>
    </xf>
    <xf numFmtId="164" fontId="30" fillId="3" borderId="6" xfId="0" applyFont="1" applyFill="1" applyBorder="1" applyAlignment="1" applyProtection="1">
      <alignment horizontal="right" vertical="center" indent="1"/>
      <protection/>
    </xf>
    <xf numFmtId="14" fontId="33" fillId="2" borderId="6" xfId="28" applyNumberFormat="1" applyFont="1" applyFill="1" applyBorder="1" applyAlignment="1" applyProtection="1">
      <alignment horizontal="left" vertical="center" indent="1"/>
      <protection locked="0"/>
    </xf>
    <xf numFmtId="164" fontId="33" fillId="2" borderId="6" xfId="0" applyFont="1" applyFill="1" applyBorder="1" applyAlignment="1" applyProtection="1">
      <alignment horizontal="left" vertical="center" indent="1"/>
      <protection locked="0"/>
    </xf>
    <xf numFmtId="0" fontId="30" fillId="3" borderId="36" xfId="28" applyFont="1" applyFill="1" applyBorder="1" applyAlignment="1">
      <alignment horizontal="right" vertical="center" indent="1"/>
      <protection/>
    </xf>
    <xf numFmtId="0" fontId="30" fillId="3" borderId="13" xfId="28" applyFont="1" applyFill="1" applyBorder="1" applyAlignment="1">
      <alignment horizontal="right" vertical="center" indent="1"/>
      <protection/>
    </xf>
    <xf numFmtId="164" fontId="30" fillId="3" borderId="48" xfId="0" applyFont="1" applyFill="1" applyBorder="1" applyAlignment="1" applyProtection="1">
      <alignment horizontal="center" vertical="center" wrapText="1"/>
      <protection/>
    </xf>
    <xf numFmtId="14" fontId="33" fillId="2" borderId="6" xfId="28" applyNumberFormat="1" applyFont="1" applyFill="1" applyBorder="1" applyAlignment="1" applyProtection="1">
      <alignment horizontal="center" vertical="center"/>
      <protection locked="0"/>
    </xf>
    <xf numFmtId="177" fontId="39" fillId="3" borderId="30" xfId="28" applyNumberFormat="1" applyFont="1" applyFill="1" applyBorder="1" applyAlignment="1" applyProtection="1">
      <alignment horizontal="center" vertical="center"/>
      <protection/>
    </xf>
    <xf numFmtId="177" fontId="39" fillId="3" borderId="47" xfId="28" applyNumberFormat="1" applyFont="1" applyFill="1" applyBorder="1" applyAlignment="1" applyProtection="1">
      <alignment horizontal="center" vertical="center"/>
      <protection/>
    </xf>
    <xf numFmtId="14" fontId="33" fillId="2" borderId="49" xfId="28" applyNumberFormat="1" applyFont="1" applyFill="1" applyBorder="1" applyAlignment="1" applyProtection="1">
      <alignment horizontal="left" vertical="center" indent="1"/>
      <protection locked="0"/>
    </xf>
    <xf numFmtId="164" fontId="33" fillId="2" borderId="50" xfId="0" applyFont="1" applyFill="1" applyBorder="1" applyAlignment="1" applyProtection="1">
      <alignment horizontal="left" vertical="center" indent="1"/>
      <protection locked="0"/>
    </xf>
    <xf numFmtId="0" fontId="30" fillId="3" borderId="51" xfId="28" applyFont="1" applyFill="1" applyBorder="1" applyAlignment="1" applyProtection="1" quotePrefix="1">
      <alignment horizontal="right" vertical="center" indent="1"/>
      <protection/>
    </xf>
    <xf numFmtId="0" fontId="30" fillId="3" borderId="12" xfId="28" applyFont="1" applyFill="1" applyBorder="1" applyAlignment="1" applyProtection="1" quotePrefix="1">
      <alignment horizontal="right" vertical="center" indent="1"/>
      <protection/>
    </xf>
    <xf numFmtId="175" fontId="33" fillId="2" borderId="6" xfId="28" applyNumberFormat="1" applyFont="1" applyFill="1" applyBorder="1" applyAlignment="1" applyProtection="1">
      <alignment horizontal="left" vertical="center" indent="1"/>
      <protection locked="0"/>
    </xf>
    <xf numFmtId="0" fontId="33" fillId="2" borderId="6" xfId="28" applyFont="1" applyFill="1" applyBorder="1" applyAlignment="1" applyProtection="1">
      <alignment horizontal="left" vertical="center" indent="1"/>
      <protection locked="0"/>
    </xf>
    <xf numFmtId="0" fontId="30" fillId="3" borderId="31" xfId="28" applyFont="1" applyFill="1" applyBorder="1" applyAlignment="1" applyProtection="1">
      <alignment horizontal="right" vertical="center"/>
      <protection/>
    </xf>
    <xf numFmtId="0" fontId="30" fillId="3" borderId="36" xfId="28" applyFont="1" applyFill="1" applyBorder="1" applyAlignment="1" applyProtection="1">
      <alignment horizontal="right" vertical="center"/>
      <protection/>
    </xf>
    <xf numFmtId="0" fontId="33" fillId="2" borderId="31" xfId="28" applyFont="1" applyFill="1" applyBorder="1" applyAlignment="1" applyProtection="1">
      <alignment horizontal="left" vertical="center" indent="1"/>
      <protection locked="0"/>
    </xf>
    <xf numFmtId="0" fontId="33" fillId="2" borderId="13" xfId="28" applyFont="1" applyFill="1" applyBorder="1" applyAlignment="1" applyProtection="1">
      <alignment horizontal="left" vertical="center" indent="1"/>
      <protection locked="0"/>
    </xf>
    <xf numFmtId="177" fontId="33" fillId="3" borderId="36" xfId="28" applyNumberFormat="1" applyFont="1" applyFill="1" applyBorder="1" applyAlignment="1" applyProtection="1">
      <alignment horizontal="left" vertical="center"/>
      <protection/>
    </xf>
    <xf numFmtId="177" fontId="0" fillId="0" borderId="13" xfId="0" applyNumberFormat="1" applyBorder="1" applyAlignment="1">
      <alignment vertical="center"/>
    </xf>
    <xf numFmtId="164" fontId="33" fillId="2" borderId="36" xfId="0" applyFont="1" applyFill="1" applyBorder="1" applyAlignment="1" applyProtection="1">
      <alignment horizontal="left" vertical="center" indent="1"/>
      <protection locked="0"/>
    </xf>
    <xf numFmtId="0" fontId="33" fillId="2" borderId="36" xfId="28" applyFont="1" applyFill="1" applyBorder="1" applyAlignment="1" applyProtection="1">
      <alignment horizontal="left" vertical="center" indent="1"/>
      <protection locked="0"/>
    </xf>
    <xf numFmtId="164" fontId="0" fillId="0" borderId="13" xfId="0" applyBorder="1" applyAlignment="1" applyProtection="1">
      <alignment horizontal="left" vertical="center" indent="1"/>
      <protection locked="0"/>
    </xf>
    <xf numFmtId="0" fontId="30" fillId="2" borderId="31" xfId="28" applyFont="1" applyFill="1" applyBorder="1" applyAlignment="1" applyProtection="1">
      <alignment horizontal="right" vertical="center" indent="1"/>
      <protection locked="0"/>
    </xf>
    <xf numFmtId="0" fontId="30" fillId="2" borderId="36" xfId="28" applyFont="1" applyFill="1" applyBorder="1" applyAlignment="1" applyProtection="1">
      <alignment horizontal="right" vertical="center" indent="1"/>
      <protection locked="0"/>
    </xf>
    <xf numFmtId="0" fontId="30" fillId="2" borderId="13" xfId="28" applyFont="1" applyFill="1" applyBorder="1" applyAlignment="1" applyProtection="1">
      <alignment horizontal="right" vertical="center" indent="1"/>
      <protection locked="0"/>
    </xf>
    <xf numFmtId="0" fontId="30" fillId="3" borderId="6" xfId="28" applyFont="1" applyFill="1" applyBorder="1" applyAlignment="1" applyProtection="1">
      <alignment horizontal="center" vertical="center"/>
      <protection/>
    </xf>
    <xf numFmtId="0" fontId="30" fillId="3" borderId="52" xfId="28" applyFont="1" applyFill="1" applyBorder="1" applyAlignment="1" applyProtection="1">
      <alignment horizontal="center" vertical="center" wrapText="1"/>
      <protection/>
    </xf>
    <xf numFmtId="164" fontId="30" fillId="3" borderId="53" xfId="0" applyFont="1" applyFill="1" applyBorder="1" applyAlignment="1">
      <alignment horizontal="center" vertical="center" wrapText="1"/>
    </xf>
    <xf numFmtId="164" fontId="30" fillId="3" borderId="54" xfId="0" applyFont="1" applyFill="1" applyBorder="1" applyAlignment="1">
      <alignment horizontal="center" vertical="center" wrapText="1"/>
    </xf>
    <xf numFmtId="164" fontId="30" fillId="3" borderId="55" xfId="0" applyFont="1" applyFill="1" applyBorder="1" applyAlignment="1">
      <alignment horizontal="center" vertical="center" wrapText="1"/>
    </xf>
    <xf numFmtId="164" fontId="30" fillId="3" borderId="20" xfId="0" applyFont="1" applyFill="1" applyBorder="1" applyAlignment="1">
      <alignment horizontal="center" vertical="center" wrapText="1"/>
    </xf>
    <xf numFmtId="164" fontId="30" fillId="3" borderId="24" xfId="0" applyFont="1" applyFill="1" applyBorder="1" applyAlignment="1">
      <alignment horizontal="center" vertical="center" wrapText="1"/>
    </xf>
    <xf numFmtId="0" fontId="33" fillId="2" borderId="11" xfId="28" applyFont="1" applyFill="1" applyBorder="1" applyAlignment="1" applyProtection="1">
      <alignment horizontal="left" vertical="center" wrapText="1" indent="1"/>
      <protection locked="0"/>
    </xf>
    <xf numFmtId="164" fontId="33" fillId="2" borderId="11" xfId="0" applyFont="1" applyFill="1" applyBorder="1" applyAlignment="1" applyProtection="1">
      <alignment horizontal="left" vertical="center" wrapText="1" indent="1"/>
      <protection locked="0"/>
    </xf>
    <xf numFmtId="164" fontId="33" fillId="2" borderId="6" xfId="0" applyFont="1" applyFill="1" applyBorder="1" applyAlignment="1" applyProtection="1">
      <alignment horizontal="left" vertical="center" wrapText="1" indent="1"/>
      <protection locked="0"/>
    </xf>
    <xf numFmtId="0" fontId="33" fillId="2" borderId="11" xfId="28" applyFont="1" applyFill="1" applyBorder="1" applyAlignment="1" applyProtection="1">
      <alignment horizontal="left" vertical="center" indent="1"/>
      <protection locked="0"/>
    </xf>
    <xf numFmtId="0" fontId="30" fillId="3" borderId="11" xfId="28" applyFont="1" applyFill="1" applyBorder="1" applyAlignment="1" applyProtection="1" quotePrefix="1">
      <alignment horizontal="right" vertical="center" indent="1"/>
      <protection/>
    </xf>
    <xf numFmtId="164" fontId="30" fillId="3" borderId="11" xfId="0" applyFont="1" applyFill="1" applyBorder="1" applyAlignment="1" applyProtection="1">
      <alignment horizontal="right" vertical="center" indent="1"/>
      <protection/>
    </xf>
    <xf numFmtId="14" fontId="33" fillId="2" borderId="51" xfId="28" applyNumberFormat="1" applyFont="1" applyFill="1" applyBorder="1" applyAlignment="1" applyProtection="1">
      <alignment horizontal="left" vertical="center" indent="1"/>
      <protection locked="0"/>
    </xf>
    <xf numFmtId="14" fontId="33" fillId="2" borderId="12" xfId="28" applyNumberFormat="1" applyFont="1" applyFill="1" applyBorder="1" applyAlignment="1" applyProtection="1">
      <alignment horizontal="left" vertical="center" indent="1"/>
      <protection locked="0"/>
    </xf>
    <xf numFmtId="164" fontId="0" fillId="2" borderId="36" xfId="0" applyFill="1" applyBorder="1" applyAlignment="1" applyProtection="1">
      <alignment horizontal="right" vertical="center" indent="1"/>
      <protection locked="0"/>
    </xf>
    <xf numFmtId="164" fontId="0" fillId="2" borderId="13" xfId="0" applyFill="1" applyBorder="1" applyAlignment="1" applyProtection="1">
      <alignment horizontal="right" vertical="center" indent="1"/>
      <protection locked="0"/>
    </xf>
    <xf numFmtId="164" fontId="0" fillId="0" borderId="36" xfId="0" applyBorder="1" applyAlignment="1" applyProtection="1">
      <alignment horizontal="right" vertical="center" indent="1"/>
      <protection locked="0"/>
    </xf>
    <xf numFmtId="164" fontId="0" fillId="0" borderId="13" xfId="0" applyBorder="1" applyAlignment="1" applyProtection="1">
      <alignment horizontal="right" vertical="center" indent="1"/>
      <protection locked="0"/>
    </xf>
    <xf numFmtId="164" fontId="0" fillId="0" borderId="36" xfId="0" applyBorder="1" applyAlignment="1" applyProtection="1">
      <alignment horizontal="left" vertical="center" indent="1"/>
      <protection locked="0"/>
    </xf>
    <xf numFmtId="0" fontId="30" fillId="3" borderId="56" xfId="28" applyFont="1" applyFill="1" applyBorder="1" applyAlignment="1" applyProtection="1">
      <alignment horizontal="right" vertical="center" indent="1"/>
      <protection/>
    </xf>
    <xf numFmtId="164" fontId="0" fillId="0" borderId="9" xfId="0" applyBorder="1" applyAlignment="1">
      <alignment horizontal="right" vertical="center" indent="1"/>
    </xf>
    <xf numFmtId="164" fontId="0" fillId="0" borderId="57" xfId="0" applyBorder="1" applyAlignment="1">
      <alignment horizontal="right" vertical="center" indent="1"/>
    </xf>
    <xf numFmtId="164" fontId="31" fillId="3" borderId="6" xfId="0" applyFont="1" applyFill="1" applyBorder="1" applyAlignment="1" applyProtection="1">
      <alignment horizontal="right" vertical="center" indent="1"/>
      <protection/>
    </xf>
    <xf numFmtId="164" fontId="31" fillId="3" borderId="13" xfId="0" applyFont="1" applyFill="1" applyBorder="1" applyAlignment="1" applyProtection="1">
      <alignment horizontal="right" vertical="center" indent="1"/>
      <protection/>
    </xf>
    <xf numFmtId="173" fontId="33" fillId="2" borderId="6" xfId="0" applyNumberFormat="1" applyFont="1" applyFill="1" applyBorder="1" applyAlignment="1" applyProtection="1">
      <alignment horizontal="left" vertical="center" indent="1"/>
      <protection locked="0"/>
    </xf>
    <xf numFmtId="164" fontId="46" fillId="11" borderId="56" xfId="0" applyFont="1" applyFill="1" applyBorder="1" applyAlignment="1">
      <alignment horizontal="center" vertical="center" wrapText="1"/>
    </xf>
    <xf numFmtId="164" fontId="47" fillId="11" borderId="9" xfId="0" applyFont="1" applyFill="1" applyBorder="1" applyAlignment="1">
      <alignment horizontal="center" vertical="center" wrapText="1"/>
    </xf>
    <xf numFmtId="164" fontId="47" fillId="11" borderId="57" xfId="0" applyFont="1" applyFill="1" applyBorder="1" applyAlignment="1">
      <alignment horizontal="center" vertical="center" wrapText="1"/>
    </xf>
    <xf numFmtId="0" fontId="30" fillId="4" borderId="54" xfId="28" applyFont="1" applyFill="1" applyBorder="1" applyAlignment="1" applyProtection="1">
      <alignment horizontal="center" vertical="center" wrapText="1"/>
      <protection/>
    </xf>
    <xf numFmtId="0" fontId="30" fillId="4" borderId="55" xfId="28" applyFont="1" applyFill="1" applyBorder="1" applyAlignment="1" applyProtection="1">
      <alignment horizontal="center" vertical="center" wrapText="1"/>
      <protection/>
    </xf>
    <xf numFmtId="0" fontId="30" fillId="4" borderId="20" xfId="28" applyFont="1" applyFill="1" applyBorder="1" applyAlignment="1" applyProtection="1">
      <alignment horizontal="center" vertical="center" wrapText="1"/>
      <protection/>
    </xf>
    <xf numFmtId="0" fontId="30" fillId="4" borderId="24" xfId="28" applyFont="1" applyFill="1" applyBorder="1" applyAlignment="1" applyProtection="1">
      <alignment horizontal="center" vertical="center" wrapText="1"/>
      <protection/>
    </xf>
    <xf numFmtId="0" fontId="33" fillId="2" borderId="51" xfId="28" applyFont="1" applyFill="1" applyBorder="1" applyAlignment="1" applyProtection="1">
      <alignment horizontal="left" vertical="center" indent="1"/>
      <protection locked="0"/>
    </xf>
    <xf numFmtId="164" fontId="0" fillId="0" borderId="38" xfId="0" applyBorder="1" applyAlignment="1" applyProtection="1">
      <alignment/>
      <protection locked="0"/>
    </xf>
    <xf numFmtId="164" fontId="0" fillId="0" borderId="12" xfId="0" applyBorder="1" applyAlignment="1" applyProtection="1">
      <alignment/>
      <protection locked="0"/>
    </xf>
    <xf numFmtId="177" fontId="39" fillId="3" borderId="31" xfId="28" applyNumberFormat="1" applyFont="1" applyFill="1" applyBorder="1" applyAlignment="1" applyProtection="1">
      <alignment horizontal="center" vertical="center"/>
      <protection/>
    </xf>
    <xf numFmtId="177" fontId="39" fillId="3" borderId="13" xfId="28" applyNumberFormat="1" applyFont="1" applyFill="1" applyBorder="1" applyAlignment="1" applyProtection="1">
      <alignment horizontal="center" vertical="center"/>
      <protection/>
    </xf>
    <xf numFmtId="0" fontId="30" fillId="3" borderId="31" xfId="28" applyFont="1" applyFill="1" applyBorder="1" applyAlignment="1" applyProtection="1">
      <alignment horizontal="right" vertical="center" indent="1"/>
      <protection/>
    </xf>
    <xf numFmtId="0" fontId="30" fillId="3" borderId="36" xfId="28" applyFont="1" applyFill="1" applyBorder="1" applyAlignment="1" applyProtection="1">
      <alignment horizontal="right" vertical="center" indent="1"/>
      <protection/>
    </xf>
    <xf numFmtId="0" fontId="30" fillId="3" borderId="13" xfId="28" applyFont="1" applyFill="1" applyBorder="1" applyAlignment="1" applyProtection="1">
      <alignment horizontal="right" vertical="center" indent="1"/>
      <protection/>
    </xf>
    <xf numFmtId="164" fontId="30" fillId="2" borderId="36" xfId="0" applyFont="1" applyFill="1" applyBorder="1" applyAlignment="1" applyProtection="1">
      <alignment horizontal="right" vertical="center" indent="1"/>
      <protection locked="0"/>
    </xf>
    <xf numFmtId="164" fontId="30" fillId="2" borderId="13" xfId="0" applyFont="1" applyFill="1" applyBorder="1" applyAlignment="1" applyProtection="1">
      <alignment horizontal="right" vertical="center" indent="1"/>
      <protection locked="0"/>
    </xf>
    <xf numFmtId="0" fontId="30" fillId="3" borderId="56" xfId="28" applyFont="1" applyFill="1" applyBorder="1" applyAlignment="1" applyProtection="1">
      <alignment horizontal="center" vertical="center"/>
      <protection/>
    </xf>
    <xf numFmtId="164" fontId="30" fillId="3" borderId="9" xfId="0" applyFont="1" applyFill="1" applyBorder="1" applyAlignment="1">
      <alignment horizontal="center" vertical="center"/>
    </xf>
    <xf numFmtId="164" fontId="30" fillId="3" borderId="57" xfId="0" applyFont="1" applyFill="1" applyBorder="1" applyAlignment="1">
      <alignment horizontal="center" vertical="center"/>
    </xf>
    <xf numFmtId="177" fontId="33" fillId="3" borderId="8" xfId="28" applyNumberFormat="1" applyFont="1" applyFill="1" applyBorder="1" applyAlignment="1" applyProtection="1">
      <alignment horizontal="center" vertical="center"/>
      <protection/>
    </xf>
    <xf numFmtId="164" fontId="46" fillId="5" borderId="31" xfId="0" applyFont="1" applyFill="1" applyBorder="1" applyAlignment="1" applyProtection="1">
      <alignment horizontal="center" vertical="center"/>
      <protection/>
    </xf>
    <xf numFmtId="164" fontId="46" fillId="5" borderId="36" xfId="0" applyFont="1" applyFill="1" applyBorder="1" applyAlignment="1">
      <alignment horizontal="center" vertical="center"/>
    </xf>
    <xf numFmtId="164" fontId="46" fillId="5" borderId="13" xfId="0" applyFont="1" applyFill="1" applyBorder="1" applyAlignment="1">
      <alignment horizontal="center" vertical="center"/>
    </xf>
    <xf numFmtId="177" fontId="33" fillId="3" borderId="6" xfId="28" applyNumberFormat="1" applyFont="1" applyFill="1" applyBorder="1" applyAlignment="1" applyProtection="1">
      <alignment horizontal="center" vertical="center"/>
      <protection/>
    </xf>
    <xf numFmtId="0" fontId="27" fillId="0" borderId="2" xfId="28" applyFont="1" applyBorder="1" applyAlignment="1" applyProtection="1">
      <alignment horizontal="left" vertical="center"/>
      <protection/>
    </xf>
    <xf numFmtId="164" fontId="31" fillId="3" borderId="31" xfId="0" applyFont="1" applyFill="1" applyBorder="1" applyAlignment="1" applyProtection="1">
      <alignment horizontal="right" vertical="center" indent="1"/>
      <protection/>
    </xf>
    <xf numFmtId="164" fontId="0" fillId="0" borderId="36" xfId="0" applyBorder="1" applyAlignment="1">
      <alignment horizontal="right" vertical="center" indent="1"/>
    </xf>
    <xf numFmtId="164" fontId="0" fillId="0" borderId="13" xfId="0" applyBorder="1" applyAlignment="1">
      <alignment horizontal="right" vertical="center" indent="1"/>
    </xf>
    <xf numFmtId="164" fontId="30" fillId="3" borderId="58" xfId="0" applyFont="1" applyFill="1" applyBorder="1" applyAlignment="1" applyProtection="1">
      <alignment horizontal="center" vertical="center"/>
      <protection/>
    </xf>
    <xf numFmtId="164" fontId="30" fillId="3" borderId="59" xfId="0" applyFont="1" applyFill="1" applyBorder="1" applyAlignment="1" applyProtection="1">
      <alignment horizontal="center" vertical="center"/>
      <protection/>
    </xf>
    <xf numFmtId="164" fontId="30" fillId="3" borderId="60" xfId="0" applyFont="1" applyFill="1" applyBorder="1" applyAlignment="1" applyProtection="1">
      <alignment vertical="center"/>
      <protection/>
    </xf>
    <xf numFmtId="0" fontId="33" fillId="2" borderId="6" xfId="28" applyNumberFormat="1" applyFont="1" applyFill="1" applyBorder="1" applyAlignment="1" applyProtection="1">
      <alignment horizontal="left" vertical="center" indent="1"/>
      <protection locked="0"/>
    </xf>
    <xf numFmtId="0" fontId="33" fillId="2" borderId="6" xfId="0" applyNumberFormat="1" applyFont="1" applyFill="1" applyBorder="1" applyAlignment="1" applyProtection="1">
      <alignment horizontal="left" vertical="center" indent="1"/>
      <protection locked="0"/>
    </xf>
    <xf numFmtId="164" fontId="31" fillId="3" borderId="8" xfId="0" applyFont="1" applyFill="1" applyBorder="1" applyAlignment="1" applyProtection="1">
      <alignment horizontal="right" vertical="center" indent="1"/>
      <protection/>
    </xf>
    <xf numFmtId="164" fontId="30" fillId="3" borderId="34" xfId="0" applyFont="1" applyFill="1" applyBorder="1" applyAlignment="1" applyProtection="1">
      <alignment horizontal="center" vertical="center"/>
      <protection/>
    </xf>
    <xf numFmtId="164" fontId="30" fillId="3" borderId="59" xfId="0" applyFont="1" applyFill="1" applyBorder="1" applyAlignment="1" applyProtection="1">
      <alignment vertical="center"/>
      <protection/>
    </xf>
    <xf numFmtId="164" fontId="31" fillId="3" borderId="35" xfId="0" applyFont="1" applyFill="1" applyBorder="1" applyAlignment="1" applyProtection="1">
      <alignment horizontal="center" vertical="center"/>
      <protection/>
    </xf>
    <xf numFmtId="164" fontId="31" fillId="3" borderId="34" xfId="0" applyFont="1" applyFill="1" applyBorder="1" applyAlignment="1" applyProtection="1">
      <alignment horizontal="center" vertical="center"/>
      <protection/>
    </xf>
    <xf numFmtId="164" fontId="31" fillId="3" borderId="61" xfId="0" applyFont="1" applyFill="1" applyBorder="1" applyAlignment="1" applyProtection="1">
      <alignment horizontal="center" vertical="center"/>
      <protection/>
    </xf>
    <xf numFmtId="164" fontId="31" fillId="3" borderId="62" xfId="0" applyFont="1" applyFill="1" applyBorder="1" applyAlignment="1" applyProtection="1">
      <alignment horizontal="right" vertical="center" indent="1"/>
      <protection/>
    </xf>
    <xf numFmtId="164" fontId="46" fillId="4" borderId="62" xfId="0" applyFont="1" applyFill="1" applyBorder="1" applyAlignment="1" applyProtection="1">
      <alignment horizontal="center" vertical="center" wrapText="1"/>
      <protection/>
    </xf>
    <xf numFmtId="164" fontId="46" fillId="4" borderId="36" xfId="0" applyFont="1" applyFill="1" applyBorder="1" applyAlignment="1" applyProtection="1">
      <alignment horizontal="center" vertical="center" wrapText="1"/>
      <protection/>
    </xf>
    <xf numFmtId="164" fontId="46" fillId="4" borderId="13" xfId="0" applyFont="1" applyFill="1" applyBorder="1" applyAlignment="1" applyProtection="1">
      <alignment horizontal="center" vertical="center" wrapText="1"/>
      <protection/>
    </xf>
    <xf numFmtId="164" fontId="31" fillId="3" borderId="24" xfId="0" applyFont="1" applyFill="1" applyBorder="1" applyAlignment="1" applyProtection="1">
      <alignment horizontal="right" vertical="center" indent="1"/>
      <protection/>
    </xf>
    <xf numFmtId="49" fontId="33" fillId="2" borderId="6" xfId="0" applyNumberFormat="1" applyFont="1" applyFill="1" applyBorder="1" applyAlignment="1" applyProtection="1">
      <alignment horizontal="center" vertical="center"/>
      <protection locked="0"/>
    </xf>
    <xf numFmtId="168" fontId="56" fillId="4" borderId="6" xfId="27" applyNumberFormat="1" applyFont="1" applyFill="1" applyBorder="1" applyAlignment="1" applyProtection="1">
      <alignment horizontal="center" vertical="center" wrapText="1"/>
      <protection/>
    </xf>
    <xf numFmtId="168" fontId="56" fillId="4" borderId="15" xfId="27" applyNumberFormat="1" applyFont="1" applyFill="1" applyBorder="1" applyAlignment="1" applyProtection="1">
      <alignment horizontal="center" vertical="center" wrapText="1"/>
      <protection/>
    </xf>
    <xf numFmtId="164" fontId="39" fillId="11" borderId="54" xfId="0" applyFont="1" applyFill="1" applyBorder="1" applyAlignment="1">
      <alignment horizontal="center" vertical="center" wrapText="1"/>
    </xf>
    <xf numFmtId="164" fontId="39" fillId="11" borderId="0" xfId="0" applyFont="1" applyFill="1" applyBorder="1" applyAlignment="1">
      <alignment horizontal="center" vertical="center" wrapText="1"/>
    </xf>
    <xf numFmtId="164" fontId="39" fillId="11" borderId="55" xfId="0" applyFont="1" applyFill="1" applyBorder="1" applyAlignment="1">
      <alignment horizontal="center" vertical="center" wrapText="1"/>
    </xf>
    <xf numFmtId="164" fontId="30" fillId="3" borderId="63" xfId="0" applyFont="1" applyFill="1" applyBorder="1" applyAlignment="1" applyProtection="1">
      <alignment horizontal="center" vertical="center" wrapText="1"/>
      <protection/>
    </xf>
    <xf numFmtId="164" fontId="30" fillId="3" borderId="25" xfId="0" applyFont="1" applyFill="1" applyBorder="1" applyAlignment="1" applyProtection="1">
      <alignment horizontal="center" vertical="center" wrapText="1"/>
      <protection/>
    </xf>
    <xf numFmtId="164" fontId="30" fillId="3" borderId="33" xfId="0" applyFont="1" applyFill="1" applyBorder="1" applyAlignment="1" applyProtection="1">
      <alignment horizontal="right" vertical="center" indent="1"/>
      <protection/>
    </xf>
    <xf numFmtId="164" fontId="60" fillId="4" borderId="6" xfId="0" applyFont="1" applyFill="1" applyBorder="1" applyAlignment="1" applyProtection="1">
      <alignment horizontal="center" vertical="center"/>
      <protection/>
    </xf>
    <xf numFmtId="0" fontId="33" fillId="2" borderId="8" xfId="32" applyFont="1" applyFill="1" applyBorder="1" applyAlignment="1" applyProtection="1">
      <alignment horizontal="center" vertical="center"/>
      <protection locked="0"/>
    </xf>
    <xf numFmtId="0" fontId="33" fillId="2" borderId="6" xfId="32" applyFont="1" applyFill="1" applyBorder="1" applyAlignment="1" applyProtection="1">
      <alignment horizontal="center" vertical="center"/>
      <protection locked="0"/>
    </xf>
    <xf numFmtId="0" fontId="30" fillId="3" borderId="8" xfId="32" applyFont="1" applyFill="1" applyBorder="1" applyAlignment="1" applyProtection="1">
      <alignment horizontal="center" vertical="center"/>
      <protection/>
    </xf>
    <xf numFmtId="0" fontId="30" fillId="3" borderId="8" xfId="32" applyFont="1" applyFill="1" applyBorder="1" applyAlignment="1" applyProtection="1">
      <alignment vertical="center"/>
      <protection/>
    </xf>
    <xf numFmtId="0" fontId="33" fillId="2" borderId="6" xfId="32" applyFont="1" applyFill="1" applyBorder="1" applyAlignment="1" applyProtection="1">
      <alignment vertical="center"/>
      <protection locked="0"/>
    </xf>
    <xf numFmtId="0" fontId="33" fillId="3" borderId="6" xfId="32" applyFont="1" applyFill="1" applyBorder="1" applyAlignment="1" applyProtection="1">
      <alignment horizontal="center" vertical="center"/>
      <protection/>
    </xf>
    <xf numFmtId="0" fontId="33" fillId="3" borderId="6" xfId="32" applyFont="1" applyFill="1" applyBorder="1" applyAlignment="1" applyProtection="1">
      <alignment vertical="center"/>
      <protection/>
    </xf>
    <xf numFmtId="0" fontId="31" fillId="0" borderId="52" xfId="32" applyFont="1" applyFill="1" applyBorder="1" applyAlignment="1" applyProtection="1">
      <alignment horizontal="distributed" vertical="center" wrapText="1" indent="2"/>
      <protection/>
    </xf>
    <xf numFmtId="0" fontId="31" fillId="0" borderId="18" xfId="32" applyFont="1" applyFill="1" applyBorder="1" applyAlignment="1" applyProtection="1">
      <alignment horizontal="distributed" vertical="center" wrapText="1" indent="2"/>
      <protection/>
    </xf>
    <xf numFmtId="0" fontId="31" fillId="0" borderId="53" xfId="32" applyFont="1" applyFill="1" applyBorder="1" applyAlignment="1" applyProtection="1">
      <alignment horizontal="distributed" vertical="center" wrapText="1" indent="2"/>
      <protection/>
    </xf>
    <xf numFmtId="0" fontId="31" fillId="0" borderId="20" xfId="32" applyFont="1" applyFill="1" applyBorder="1" applyAlignment="1" applyProtection="1">
      <alignment horizontal="distributed" vertical="center" wrapText="1" indent="2"/>
      <protection/>
    </xf>
    <xf numFmtId="0" fontId="31" fillId="0" borderId="39" xfId="32" applyFont="1" applyFill="1" applyBorder="1" applyAlignment="1" applyProtection="1">
      <alignment horizontal="distributed" vertical="center" wrapText="1" indent="2"/>
      <protection/>
    </xf>
    <xf numFmtId="0" fontId="31" fillId="0" borderId="24" xfId="32" applyFont="1" applyFill="1" applyBorder="1" applyAlignment="1" applyProtection="1">
      <alignment horizontal="distributed" vertical="center" wrapText="1" indent="2"/>
      <protection/>
    </xf>
    <xf numFmtId="0" fontId="5" fillId="4" borderId="8" xfId="32" applyFill="1" applyBorder="1" applyAlignment="1" applyProtection="1">
      <alignment/>
      <protection/>
    </xf>
    <xf numFmtId="0" fontId="5" fillId="4" borderId="6" xfId="32" applyFill="1" applyBorder="1" applyAlignment="1" applyProtection="1">
      <alignment/>
      <protection/>
    </xf>
    <xf numFmtId="0" fontId="53" fillId="4" borderId="52" xfId="32" applyFont="1" applyFill="1" applyBorder="1" applyAlignment="1" applyProtection="1">
      <alignment horizontal="left" vertical="center" wrapText="1" indent="5"/>
      <protection/>
    </xf>
    <xf numFmtId="164" fontId="55" fillId="4" borderId="18" xfId="0" applyFont="1" applyFill="1" applyBorder="1" applyAlignment="1">
      <alignment horizontal="left" vertical="center" wrapText="1" indent="5"/>
    </xf>
    <xf numFmtId="164" fontId="55" fillId="4" borderId="53" xfId="0" applyFont="1" applyFill="1" applyBorder="1" applyAlignment="1">
      <alignment horizontal="left" vertical="center" wrapText="1" indent="5"/>
    </xf>
    <xf numFmtId="164" fontId="55" fillId="4" borderId="54" xfId="0" applyFont="1" applyFill="1" applyBorder="1" applyAlignment="1">
      <alignment horizontal="left" vertical="center" wrapText="1" indent="5"/>
    </xf>
    <xf numFmtId="164" fontId="55" fillId="4" borderId="0" xfId="0" applyFont="1" applyFill="1" applyBorder="1" applyAlignment="1">
      <alignment horizontal="left" vertical="center" wrapText="1" indent="5"/>
    </xf>
    <xf numFmtId="164" fontId="55" fillId="4" borderId="55" xfId="0" applyFont="1" applyFill="1" applyBorder="1" applyAlignment="1">
      <alignment horizontal="left" vertical="center" wrapText="1" indent="5"/>
    </xf>
    <xf numFmtId="164" fontId="55" fillId="4" borderId="20" xfId="0" applyFont="1" applyFill="1" applyBorder="1" applyAlignment="1">
      <alignment horizontal="left" vertical="center" wrapText="1" indent="5"/>
    </xf>
    <xf numFmtId="164" fontId="55" fillId="4" borderId="39" xfId="0" applyFont="1" applyFill="1" applyBorder="1" applyAlignment="1">
      <alignment horizontal="left" vertical="center" wrapText="1" indent="5"/>
    </xf>
    <xf numFmtId="164" fontId="55" fillId="4" borderId="24" xfId="0" applyFont="1" applyFill="1" applyBorder="1" applyAlignment="1">
      <alignment horizontal="left" vertical="center" wrapText="1" indent="5"/>
    </xf>
    <xf numFmtId="0" fontId="30" fillId="3" borderId="11" xfId="32" applyFont="1" applyFill="1" applyBorder="1" applyAlignment="1" applyProtection="1">
      <alignment horizontal="center" vertical="center" wrapText="1"/>
      <protection/>
    </xf>
    <xf numFmtId="173" fontId="33" fillId="3" borderId="6" xfId="32" applyNumberFormat="1" applyFont="1" applyFill="1" applyBorder="1" applyAlignment="1" applyProtection="1">
      <alignment horizontal="center" vertical="center"/>
      <protection/>
    </xf>
    <xf numFmtId="178" fontId="33" fillId="3" borderId="6" xfId="32" applyNumberFormat="1" applyFont="1" applyFill="1" applyBorder="1" applyAlignment="1" applyProtection="1">
      <alignment horizontal="center" vertical="center"/>
      <protection/>
    </xf>
    <xf numFmtId="0" fontId="30" fillId="3" borderId="6" xfId="32" applyFont="1" applyFill="1" applyBorder="1" applyAlignment="1" applyProtection="1">
      <alignment horizontal="right" vertical="center"/>
      <protection/>
    </xf>
    <xf numFmtId="164" fontId="0" fillId="3" borderId="36" xfId="0" applyFill="1" applyBorder="1" applyAlignment="1" applyProtection="1">
      <alignment horizontal="right" vertical="center" indent="1"/>
      <protection/>
    </xf>
    <xf numFmtId="164" fontId="0" fillId="3" borderId="13" xfId="0" applyFill="1" applyBorder="1" applyAlignment="1" applyProtection="1">
      <alignment horizontal="right" vertical="center" indent="1"/>
      <protection/>
    </xf>
    <xf numFmtId="0" fontId="30" fillId="3" borderId="38" xfId="28" applyFont="1" applyFill="1" applyBorder="1" applyAlignment="1" applyProtection="1">
      <alignment horizontal="right" vertical="center" indent="1"/>
      <protection/>
    </xf>
    <xf numFmtId="164" fontId="0" fillId="3" borderId="38" xfId="0" applyFill="1" applyBorder="1" applyAlignment="1">
      <alignment horizontal="right" vertical="center" indent="1"/>
    </xf>
    <xf numFmtId="164" fontId="0" fillId="3" borderId="12" xfId="0" applyFill="1" applyBorder="1" applyAlignment="1">
      <alignment horizontal="right" vertical="center" indent="1"/>
    </xf>
    <xf numFmtId="0" fontId="33" fillId="3" borderId="51" xfId="28" applyFont="1" applyFill="1" applyBorder="1" applyAlignment="1" applyProtection="1">
      <alignment horizontal="left" vertical="center" indent="1"/>
      <protection/>
    </xf>
    <xf numFmtId="164" fontId="0" fillId="3" borderId="38" xfId="0" applyFill="1" applyBorder="1" applyAlignment="1" applyProtection="1">
      <alignment horizontal="left" vertical="center" indent="1"/>
      <protection/>
    </xf>
    <xf numFmtId="164" fontId="0" fillId="3" borderId="12" xfId="0" applyFill="1" applyBorder="1" applyAlignment="1" applyProtection="1">
      <alignment horizontal="left" indent="1"/>
      <protection/>
    </xf>
    <xf numFmtId="0" fontId="30" fillId="3" borderId="8" xfId="28" applyFont="1" applyFill="1" applyBorder="1" applyAlignment="1" applyProtection="1" quotePrefix="1">
      <alignment horizontal="right" vertical="center"/>
      <protection/>
    </xf>
    <xf numFmtId="0" fontId="30" fillId="3" borderId="6" xfId="28" applyFont="1" applyFill="1" applyBorder="1" applyAlignment="1" applyProtection="1" quotePrefix="1">
      <alignment horizontal="right" vertical="center"/>
      <protection/>
    </xf>
    <xf numFmtId="0" fontId="33" fillId="3" borderId="11" xfId="28" applyFont="1" applyFill="1" applyBorder="1" applyAlignment="1" applyProtection="1">
      <alignment horizontal="left" vertical="center" indent="1"/>
      <protection/>
    </xf>
    <xf numFmtId="0" fontId="33" fillId="3" borderId="6" xfId="28" applyFont="1" applyFill="1" applyBorder="1" applyAlignment="1" applyProtection="1">
      <alignment horizontal="left" vertical="center" indent="1"/>
      <protection/>
    </xf>
    <xf numFmtId="164" fontId="33" fillId="3" borderId="6" xfId="0" applyFont="1" applyFill="1" applyBorder="1" applyAlignment="1" applyProtection="1">
      <alignment horizontal="left" vertical="center" indent="1"/>
      <protection/>
    </xf>
    <xf numFmtId="0" fontId="30" fillId="4" borderId="54" xfId="28" applyFont="1" applyFill="1" applyBorder="1" applyAlignment="1" applyProtection="1">
      <alignment horizontal="left" vertical="center" wrapText="1" indent="1"/>
      <protection/>
    </xf>
    <xf numFmtId="0" fontId="30" fillId="4" borderId="0" xfId="28" applyFont="1" applyFill="1" applyBorder="1" applyAlignment="1" applyProtection="1">
      <alignment horizontal="left" vertical="center" wrapText="1" indent="1"/>
      <protection/>
    </xf>
    <xf numFmtId="0" fontId="30" fillId="4" borderId="55" xfId="28" applyFont="1" applyFill="1" applyBorder="1" applyAlignment="1" applyProtection="1">
      <alignment horizontal="left" vertical="center" wrapText="1" indent="1"/>
      <protection/>
    </xf>
    <xf numFmtId="0" fontId="30" fillId="4" borderId="20" xfId="28" applyFont="1" applyFill="1" applyBorder="1" applyAlignment="1" applyProtection="1">
      <alignment horizontal="left" vertical="center" wrapText="1" indent="1"/>
      <protection/>
    </xf>
    <xf numFmtId="0" fontId="30" fillId="4" borderId="39" xfId="28" applyFont="1" applyFill="1" applyBorder="1" applyAlignment="1" applyProtection="1">
      <alignment horizontal="left" vertical="center" wrapText="1" indent="1"/>
      <protection/>
    </xf>
    <xf numFmtId="0" fontId="30" fillId="4" borderId="24" xfId="28" applyFont="1" applyFill="1" applyBorder="1" applyAlignment="1" applyProtection="1">
      <alignment horizontal="left" vertical="center" wrapText="1" indent="1"/>
      <protection/>
    </xf>
    <xf numFmtId="0" fontId="30" fillId="3" borderId="11" xfId="28" applyFont="1" applyFill="1" applyBorder="1" applyAlignment="1" applyProtection="1">
      <alignment horizontal="left" vertical="center" wrapText="1" indent="1"/>
      <protection/>
    </xf>
    <xf numFmtId="164" fontId="30" fillId="3" borderId="11" xfId="0" applyFont="1" applyFill="1" applyBorder="1" applyAlignment="1">
      <alignment horizontal="left" vertical="center" wrapText="1" indent="1"/>
    </xf>
    <xf numFmtId="164" fontId="30" fillId="3" borderId="6" xfId="0" applyFont="1" applyFill="1" applyBorder="1" applyAlignment="1">
      <alignment horizontal="left" vertical="center" wrapText="1" indent="1"/>
    </xf>
    <xf numFmtId="0" fontId="33" fillId="3" borderId="11" xfId="28" applyFont="1" applyFill="1" applyBorder="1" applyAlignment="1" applyProtection="1">
      <alignment horizontal="left" vertical="center" wrapText="1" indent="1"/>
      <protection/>
    </xf>
    <xf numFmtId="164" fontId="33" fillId="3" borderId="11" xfId="0" applyFont="1" applyFill="1" applyBorder="1" applyAlignment="1" applyProtection="1">
      <alignment horizontal="left" vertical="center" wrapText="1" indent="1"/>
      <protection/>
    </xf>
    <xf numFmtId="164" fontId="33" fillId="3" borderId="6" xfId="0" applyFont="1" applyFill="1" applyBorder="1" applyAlignment="1" applyProtection="1">
      <alignment horizontal="left" vertical="center" wrapText="1" indent="1"/>
      <protection/>
    </xf>
    <xf numFmtId="0" fontId="33" fillId="3" borderId="31" xfId="28" applyFont="1" applyFill="1" applyBorder="1" applyAlignment="1" applyProtection="1">
      <alignment horizontal="left" vertical="center" indent="1"/>
      <protection/>
    </xf>
    <xf numFmtId="164" fontId="0" fillId="3" borderId="36" xfId="0" applyFill="1" applyBorder="1" applyAlignment="1" applyProtection="1">
      <alignment horizontal="left" vertical="center" indent="1"/>
      <protection/>
    </xf>
    <xf numFmtId="164" fontId="0" fillId="3" borderId="13" xfId="0" applyFill="1" applyBorder="1" applyAlignment="1" applyProtection="1">
      <alignment horizontal="left" indent="1"/>
      <protection/>
    </xf>
    <xf numFmtId="164" fontId="30" fillId="3" borderId="20" xfId="0" applyFont="1" applyFill="1" applyBorder="1" applyAlignment="1" applyProtection="1">
      <alignment horizontal="center" vertical="center" wrapText="1"/>
      <protection/>
    </xf>
    <xf numFmtId="164" fontId="30" fillId="3" borderId="39" xfId="0" applyFont="1" applyFill="1" applyBorder="1" applyAlignment="1" applyProtection="1">
      <alignment horizontal="center" vertical="center" wrapText="1"/>
      <protection/>
    </xf>
    <xf numFmtId="164" fontId="30" fillId="3" borderId="24" xfId="0" applyFont="1" applyFill="1" applyBorder="1" applyAlignment="1" applyProtection="1">
      <alignment horizontal="center" vertical="center" wrapText="1"/>
      <protection/>
    </xf>
    <xf numFmtId="164" fontId="33" fillId="3" borderId="31" xfId="0" applyFont="1" applyFill="1" applyBorder="1" applyAlignment="1" applyProtection="1">
      <alignment horizontal="center" vertical="center"/>
      <protection/>
    </xf>
    <xf numFmtId="164" fontId="33" fillId="3" borderId="36" xfId="0" applyFont="1" applyFill="1" applyBorder="1" applyAlignment="1" applyProtection="1">
      <alignment horizontal="center" vertical="center"/>
      <protection/>
    </xf>
    <xf numFmtId="0" fontId="33" fillId="3" borderId="31" xfId="28" applyNumberFormat="1" applyFont="1" applyFill="1" applyBorder="1" applyAlignment="1" applyProtection="1">
      <alignment horizontal="center" vertical="center"/>
      <protection/>
    </xf>
    <xf numFmtId="164" fontId="0" fillId="0" borderId="13" xfId="0" applyBorder="1" applyAlignment="1">
      <alignment vertical="center"/>
    </xf>
    <xf numFmtId="173" fontId="33" fillId="0" borderId="0" xfId="27" applyNumberFormat="1" applyFont="1" applyAlignment="1" applyProtection="1">
      <alignment horizontal="right" vertical="center" indent="1"/>
      <protection/>
    </xf>
    <xf numFmtId="0" fontId="33" fillId="0" borderId="17" xfId="27" applyNumberFormat="1" applyFont="1" applyFill="1" applyBorder="1" applyAlignment="1" applyProtection="1">
      <alignment horizontal="right" indent="1"/>
      <protection/>
    </xf>
    <xf numFmtId="0" fontId="33" fillId="0" borderId="19" xfId="27" applyNumberFormat="1" applyFont="1" applyBorder="1" applyAlignment="1" applyProtection="1">
      <alignment horizontal="right" vertical="center" indent="1"/>
      <protection/>
    </xf>
    <xf numFmtId="0" fontId="33" fillId="0" borderId="0" xfId="27" applyNumberFormat="1" applyFont="1" applyAlignment="1" applyProtection="1">
      <alignment horizontal="right" vertical="center" indent="1"/>
      <protection/>
    </xf>
    <xf numFmtId="0" fontId="37" fillId="0" borderId="0" xfId="27" applyFont="1" applyAlignment="1">
      <alignment horizontal="center" vertical="center"/>
      <protection/>
    </xf>
    <xf numFmtId="167" fontId="37" fillId="0" borderId="0" xfId="27" applyNumberFormat="1" applyFont="1" applyFill="1" applyBorder="1" applyAlignment="1" applyProtection="1">
      <alignment horizontal="center" vertical="center" wrapText="1"/>
      <protection/>
    </xf>
    <xf numFmtId="173" fontId="33" fillId="0" borderId="0" xfId="27" applyNumberFormat="1" applyFont="1" applyBorder="1" applyAlignment="1" applyProtection="1">
      <alignment horizontal="right" vertical="center" indent="1"/>
      <protection/>
    </xf>
    <xf numFmtId="0" fontId="31" fillId="3" borderId="18" xfId="27" applyFont="1" applyFill="1" applyBorder="1" applyAlignment="1">
      <alignment horizontal="center" vertical="center" wrapText="1"/>
      <protection/>
    </xf>
    <xf numFmtId="185" fontId="33" fillId="0" borderId="0" xfId="27" applyNumberFormat="1" applyFont="1" applyBorder="1" applyAlignment="1">
      <alignment horizontal="right" vertical="center" indent="1"/>
      <protection/>
    </xf>
    <xf numFmtId="173" fontId="33" fillId="0" borderId="18" xfId="27" applyNumberFormat="1" applyFont="1" applyBorder="1" applyAlignment="1" applyProtection="1">
      <alignment horizontal="right" vertical="center" indent="1"/>
      <protection/>
    </xf>
    <xf numFmtId="173" fontId="33" fillId="0" borderId="64" xfId="27" applyNumberFormat="1" applyFont="1" applyBorder="1" applyAlignment="1" applyProtection="1">
      <alignment horizontal="right" vertical="center" indent="1"/>
      <protection/>
    </xf>
    <xf numFmtId="173" fontId="33" fillId="0" borderId="65" xfId="27" applyNumberFormat="1" applyFont="1" applyBorder="1" applyAlignment="1" applyProtection="1">
      <alignment horizontal="right" vertical="center" indent="1"/>
      <protection/>
    </xf>
    <xf numFmtId="0" fontId="30" fillId="0" borderId="66" xfId="27" applyFont="1" applyFill="1" applyBorder="1" applyAlignment="1" applyProtection="1">
      <alignment horizontal="right" vertical="center" shrinkToFit="1"/>
      <protection/>
    </xf>
    <xf numFmtId="0" fontId="30" fillId="0" borderId="37" xfId="27" applyFont="1" applyFill="1" applyBorder="1" applyAlignment="1" applyProtection="1">
      <alignment horizontal="right" vertical="center" shrinkToFit="1"/>
      <protection/>
    </xf>
    <xf numFmtId="0" fontId="30" fillId="0" borderId="67" xfId="27" applyFont="1" applyFill="1" applyBorder="1" applyAlignment="1" applyProtection="1">
      <alignment horizontal="right" vertical="center"/>
      <protection/>
    </xf>
    <xf numFmtId="0" fontId="30" fillId="0" borderId="68" xfId="27" applyFont="1" applyFill="1" applyBorder="1" applyAlignment="1" applyProtection="1">
      <alignment horizontal="right" vertical="center"/>
      <protection/>
    </xf>
    <xf numFmtId="177" fontId="33" fillId="0" borderId="39" xfId="27" applyNumberFormat="1" applyFont="1" applyFill="1" applyBorder="1" applyAlignment="1" applyProtection="1">
      <alignment horizontal="left" vertical="center"/>
      <protection/>
    </xf>
    <xf numFmtId="177" fontId="33" fillId="0" borderId="10" xfId="27" applyNumberFormat="1" applyFont="1" applyFill="1" applyBorder="1" applyAlignment="1" applyProtection="1">
      <alignment horizontal="left" vertical="center"/>
      <protection/>
    </xf>
    <xf numFmtId="177" fontId="33" fillId="0" borderId="69" xfId="27" applyNumberFormat="1" applyFont="1" applyFill="1" applyBorder="1" applyAlignment="1" applyProtection="1">
      <alignment horizontal="left" vertical="center"/>
      <protection/>
    </xf>
    <xf numFmtId="177" fontId="33" fillId="0" borderId="70" xfId="27" applyNumberFormat="1" applyFont="1" applyFill="1" applyBorder="1" applyAlignment="1" applyProtection="1">
      <alignment horizontal="left" vertical="center"/>
      <protection/>
    </xf>
    <xf numFmtId="0" fontId="47" fillId="0" borderId="59" xfId="27" applyFont="1" applyFill="1" applyBorder="1" applyAlignment="1" applyProtection="1">
      <alignment horizontal="center" vertical="center"/>
      <protection/>
    </xf>
    <xf numFmtId="0" fontId="47" fillId="0" borderId="71" xfId="27" applyFont="1" applyFill="1" applyBorder="1" applyAlignment="1" applyProtection="1">
      <alignment horizontal="center" vertical="center"/>
      <protection/>
    </xf>
    <xf numFmtId="0" fontId="47" fillId="0" borderId="72" xfId="27" applyFont="1" applyFill="1" applyBorder="1" applyAlignment="1" applyProtection="1">
      <alignment horizontal="center" vertical="center"/>
      <protection/>
    </xf>
    <xf numFmtId="0" fontId="47" fillId="0" borderId="73" xfId="27" applyFont="1" applyFill="1" applyBorder="1" applyAlignment="1" applyProtection="1">
      <alignment horizontal="center" vertical="center"/>
      <protection/>
    </xf>
    <xf numFmtId="0" fontId="30" fillId="0" borderId="74" xfId="27" applyFont="1" applyFill="1" applyBorder="1" applyAlignment="1" applyProtection="1">
      <alignment horizontal="right" vertical="center"/>
      <protection/>
    </xf>
    <xf numFmtId="0" fontId="30" fillId="0" borderId="5" xfId="27" applyFont="1" applyFill="1" applyBorder="1" applyAlignment="1" applyProtection="1">
      <alignment horizontal="right" vertical="center"/>
      <protection/>
    </xf>
    <xf numFmtId="187" fontId="4" fillId="3" borderId="31" xfId="31" applyNumberFormat="1" applyFont="1" applyFill="1" applyBorder="1" applyAlignment="1">
      <alignment horizontal="center" vertical="center"/>
      <protection/>
    </xf>
    <xf numFmtId="187" fontId="4" fillId="3" borderId="6" xfId="31" applyNumberFormat="1" applyFont="1" applyFill="1" applyBorder="1" applyAlignment="1">
      <alignment horizontal="center" vertical="center"/>
      <protection/>
    </xf>
    <xf numFmtId="187" fontId="4" fillId="3" borderId="13" xfId="31" applyNumberFormat="1" applyFont="1" applyFill="1" applyBorder="1" applyAlignment="1">
      <alignment horizontal="center" vertical="center"/>
      <protection/>
    </xf>
    <xf numFmtId="0" fontId="30" fillId="2" borderId="31" xfId="29" applyFont="1" applyFill="1" applyBorder="1" applyAlignment="1">
      <alignment horizontal="right" vertical="top" indent="1"/>
      <protection/>
    </xf>
    <xf numFmtId="0" fontId="30" fillId="2" borderId="36" xfId="29" applyFont="1" applyFill="1" applyBorder="1" applyAlignment="1">
      <alignment horizontal="right" vertical="top" indent="1"/>
      <protection/>
    </xf>
    <xf numFmtId="0" fontId="30" fillId="5" borderId="31" xfId="29" applyFont="1" applyFill="1" applyBorder="1" applyAlignment="1">
      <alignment horizontal="right" vertical="top" indent="1"/>
      <protection/>
    </xf>
    <xf numFmtId="0" fontId="30" fillId="5" borderId="36" xfId="29" applyFont="1" applyFill="1" applyBorder="1" applyAlignment="1">
      <alignment horizontal="right" vertical="top" indent="1"/>
      <protection/>
    </xf>
    <xf numFmtId="0" fontId="27" fillId="0" borderId="2" xfId="29" applyFont="1" applyBorder="1" applyAlignment="1">
      <alignment horizontal="left"/>
      <protection/>
    </xf>
    <xf numFmtId="0" fontId="30" fillId="4" borderId="51" xfId="29" applyFont="1" applyFill="1" applyBorder="1" applyAlignment="1">
      <alignment horizontal="right" vertical="top" indent="1"/>
      <protection/>
    </xf>
    <xf numFmtId="0" fontId="30" fillId="4" borderId="38" xfId="29" applyFont="1" applyFill="1" applyBorder="1" applyAlignment="1">
      <alignment horizontal="right" vertical="top" indent="1"/>
      <protection/>
    </xf>
    <xf numFmtId="187" fontId="77" fillId="3" borderId="6" xfId="31" applyNumberFormat="1" applyFont="1" applyFill="1" applyBorder="1" applyAlignment="1">
      <alignment horizontal="center" vertical="center" wrapText="1"/>
      <protection/>
    </xf>
    <xf numFmtId="164" fontId="30" fillId="3" borderId="13" xfId="0" applyFont="1" applyFill="1" applyBorder="1" applyAlignment="1">
      <alignment horizontal="left" vertical="top" wrapText="1"/>
    </xf>
    <xf numFmtId="164" fontId="30" fillId="3" borderId="6" xfId="0" applyFont="1" applyFill="1" applyBorder="1" applyAlignment="1">
      <alignment horizontal="left" vertical="top" wrapText="1"/>
    </xf>
    <xf numFmtId="164" fontId="30" fillId="3" borderId="13" xfId="0" applyFont="1" applyFill="1" applyBorder="1" applyAlignment="1">
      <alignment vertical="top" wrapText="1"/>
    </xf>
    <xf numFmtId="164" fontId="30" fillId="3" borderId="6" xfId="0" applyFont="1" applyFill="1" applyBorder="1" applyAlignment="1">
      <alignment vertical="top" wrapText="1"/>
    </xf>
    <xf numFmtId="164" fontId="30" fillId="3" borderId="15" xfId="0" applyFont="1" applyFill="1" applyBorder="1" applyAlignment="1">
      <alignment vertical="top" wrapText="1"/>
    </xf>
    <xf numFmtId="187" fontId="1" fillId="12" borderId="6" xfId="31" applyNumberFormat="1" applyFont="1" applyFill="1" applyBorder="1" applyAlignment="1">
      <alignment horizontal="center" vertical="center" wrapText="1"/>
      <protection/>
    </xf>
    <xf numFmtId="187" fontId="1" fillId="12" borderId="31" xfId="31" applyNumberFormat="1" applyFont="1" applyFill="1" applyBorder="1" applyAlignment="1">
      <alignment horizontal="center" vertical="center" wrapText="1"/>
      <protection/>
    </xf>
    <xf numFmtId="164" fontId="72" fillId="0" borderId="16" xfId="0" applyFont="1" applyBorder="1" applyAlignment="1">
      <alignment horizontal="center" vertical="center" wrapText="1"/>
    </xf>
    <xf numFmtId="164" fontId="72" fillId="0" borderId="6" xfId="0" applyFont="1" applyBorder="1" applyAlignment="1">
      <alignment horizontal="center" vertical="center" wrapText="1"/>
    </xf>
    <xf numFmtId="164" fontId="72" fillId="0" borderId="21" xfId="0" applyFont="1" applyBorder="1" applyAlignment="1">
      <alignment horizontal="center" vertical="center" wrapText="1"/>
    </xf>
    <xf numFmtId="164" fontId="72" fillId="0" borderId="8" xfId="0" applyFont="1" applyBorder="1" applyAlignment="1">
      <alignment horizontal="center" vertical="center" wrapText="1"/>
    </xf>
    <xf numFmtId="164" fontId="93" fillId="0" borderId="60" xfId="0" applyFont="1" applyBorder="1" applyAlignment="1">
      <alignment horizontal="center" vertical="center" wrapText="1"/>
    </xf>
    <xf numFmtId="164" fontId="93" fillId="0" borderId="35" xfId="0" applyFont="1" applyBorder="1" applyAlignment="1">
      <alignment horizontal="center" vertical="center" wrapText="1"/>
    </xf>
    <xf numFmtId="164" fontId="30" fillId="0" borderId="36" xfId="0" applyFont="1" applyBorder="1" applyAlignment="1">
      <alignment vertical="top" wrapText="1"/>
    </xf>
    <xf numFmtId="164" fontId="30" fillId="0" borderId="75" xfId="0" applyFont="1" applyBorder="1" applyAlignment="1">
      <alignment vertical="top" wrapText="1"/>
    </xf>
    <xf numFmtId="164" fontId="30" fillId="0" borderId="13" xfId="0" applyFont="1" applyBorder="1" applyAlignment="1">
      <alignment horizontal="left" vertical="top" wrapText="1"/>
    </xf>
    <xf numFmtId="164" fontId="30" fillId="0" borderId="6" xfId="0" applyFont="1" applyBorder="1" applyAlignment="1">
      <alignment horizontal="left" vertical="top" wrapText="1"/>
    </xf>
    <xf numFmtId="164" fontId="30" fillId="0" borderId="36" xfId="0" applyFont="1" applyBorder="1" applyAlignment="1">
      <alignment horizontal="left" vertical="top"/>
    </xf>
    <xf numFmtId="164" fontId="30" fillId="0" borderId="75" xfId="0" applyFont="1" applyBorder="1" applyAlignment="1">
      <alignment horizontal="left" vertical="top"/>
    </xf>
    <xf numFmtId="0" fontId="30" fillId="0" borderId="0" xfId="30" applyFont="1" applyAlignment="1" applyProtection="1">
      <alignment horizontal="left" vertical="top" wrapText="1"/>
      <protection/>
    </xf>
    <xf numFmtId="164" fontId="69" fillId="0" borderId="35" xfId="0" applyFont="1" applyFill="1" applyBorder="1" applyAlignment="1">
      <alignment/>
    </xf>
    <xf numFmtId="164" fontId="69" fillId="0" borderId="34" xfId="0" applyFont="1" applyFill="1" applyBorder="1" applyAlignment="1">
      <alignment/>
    </xf>
    <xf numFmtId="164" fontId="30" fillId="0" borderId="24" xfId="0" applyFont="1" applyBorder="1" applyAlignment="1">
      <alignment vertical="top" wrapText="1"/>
    </xf>
    <xf numFmtId="164" fontId="30" fillId="0" borderId="8" xfId="0" applyFont="1" applyBorder="1" applyAlignment="1">
      <alignment vertical="top" wrapText="1"/>
    </xf>
    <xf numFmtId="164" fontId="30" fillId="0" borderId="26" xfId="0" applyFont="1" applyBorder="1" applyAlignment="1">
      <alignment vertical="top" wrapText="1"/>
    </xf>
    <xf numFmtId="0" fontId="72" fillId="0" borderId="10" xfId="0" applyNumberFormat="1" applyFont="1" applyBorder="1" applyAlignment="1">
      <alignment horizontal="left" vertical="center"/>
    </xf>
    <xf numFmtId="0" fontId="72" fillId="0" borderId="63" xfId="0" applyNumberFormat="1" applyFont="1" applyBorder="1" applyAlignment="1">
      <alignment horizontal="left" vertical="center"/>
    </xf>
    <xf numFmtId="164" fontId="30" fillId="0" borderId="24" xfId="0" applyFont="1" applyBorder="1" applyAlignment="1">
      <alignment horizontal="left" vertical="top" wrapText="1"/>
    </xf>
    <xf numFmtId="164" fontId="30" fillId="0" borderId="8" xfId="0" applyFont="1" applyBorder="1" applyAlignment="1">
      <alignment horizontal="left" vertical="top" wrapText="1"/>
    </xf>
    <xf numFmtId="164" fontId="28" fillId="2" borderId="31" xfId="0" applyFont="1" applyFill="1" applyBorder="1" applyAlignment="1">
      <alignment horizontal="left" vertical="center" wrapText="1"/>
    </xf>
    <xf numFmtId="164" fontId="28" fillId="2" borderId="36" xfId="0" applyFont="1" applyFill="1" applyBorder="1" applyAlignment="1">
      <alignment horizontal="left" vertical="center" wrapText="1"/>
    </xf>
    <xf numFmtId="164" fontId="28" fillId="2" borderId="13" xfId="0" applyFont="1" applyFill="1" applyBorder="1" applyAlignment="1">
      <alignment horizontal="left" vertical="center" wrapText="1"/>
    </xf>
    <xf numFmtId="0" fontId="29" fillId="3" borderId="6" xfId="33" applyFont="1" applyFill="1" applyBorder="1" applyAlignment="1">
      <alignment horizontal="center" vertical="center" wrapText="1"/>
      <protection/>
    </xf>
    <xf numFmtId="164" fontId="34" fillId="3" borderId="6" xfId="0" applyFont="1" applyFill="1" applyBorder="1" applyAlignment="1">
      <alignment horizontal="center" vertical="center" wrapText="1"/>
    </xf>
    <xf numFmtId="0" fontId="29" fillId="3" borderId="54" xfId="33" applyFont="1" applyFill="1" applyBorder="1" applyAlignment="1">
      <alignment horizontal="center" vertical="center" wrapText="1"/>
      <protection/>
    </xf>
    <xf numFmtId="0" fontId="29" fillId="3" borderId="0" xfId="33" applyFont="1" applyFill="1" applyBorder="1" applyAlignment="1">
      <alignment horizontal="center" vertical="center" wrapText="1"/>
      <protection/>
    </xf>
    <xf numFmtId="164" fontId="29" fillId="3" borderId="31" xfId="0" applyFont="1" applyFill="1" applyBorder="1" applyAlignment="1">
      <alignment horizontal="center" vertical="center"/>
    </xf>
    <xf numFmtId="164" fontId="29" fillId="3" borderId="36" xfId="0" applyFont="1" applyFill="1" applyBorder="1" applyAlignment="1">
      <alignment horizontal="center" vertical="center"/>
    </xf>
    <xf numFmtId="164" fontId="29" fillId="3" borderId="13" xfId="0" applyFont="1" applyFill="1" applyBorder="1" applyAlignment="1">
      <alignment horizontal="center" vertical="center"/>
    </xf>
  </cellXfs>
  <cellStyles count="22">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alculations" xfId="27"/>
    <cellStyle name="Normal_Data Entry Sheet" xfId="28"/>
    <cellStyle name="Normal_GravCal" xfId="29"/>
    <cellStyle name="Normal_Gravimetric Uncertainty Analysis" xfId="30"/>
    <cellStyle name="Normal_kragten2298" xfId="31"/>
    <cellStyle name="Normal_Prover Neck Verification" xfId="32"/>
    <cellStyle name="Normal_UncRounding_GH" xfId="33"/>
    <cellStyle name="Percent" xfId="34"/>
    <cellStyle name="Total" xfId="35"/>
  </cellStyles>
  <dxfs count="7">
    <dxf>
      <font>
        <b/>
        <i val="0"/>
      </font>
      <border/>
    </dxf>
    <dxf>
      <font>
        <color rgb="FFFFFFFF"/>
      </font>
      <fill>
        <patternFill>
          <bgColor rgb="FFFF0000"/>
        </patternFill>
      </fill>
      <border/>
    </dxf>
    <dxf>
      <font>
        <b/>
        <i/>
        <color rgb="FFFFFFFF"/>
      </font>
      <fill>
        <patternFill>
          <bgColor rgb="FFFF0000"/>
        </patternFill>
      </fill>
      <border/>
    </dxf>
    <dxf>
      <font>
        <b/>
        <i/>
        <color rgb="FFFFFFFF"/>
      </font>
      <fill>
        <patternFill>
          <bgColor rgb="FF008000"/>
        </patternFill>
      </fill>
      <border/>
    </dxf>
    <dxf>
      <fill>
        <patternFill>
          <bgColor rgb="FFEAEAEA"/>
        </patternFill>
      </fill>
      <border/>
    </dxf>
    <dxf>
      <font>
        <color rgb="FFFFFFFF"/>
      </font>
      <fill>
        <patternFill patternType="none">
          <bgColor indexed="65"/>
        </patternFill>
      </fill>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4025"/>
          <c:w val="0.9695"/>
          <c:h val="0.9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'Uncertainty Analysis'!$C$49:$K$49</c:f>
              <c:strCache>
                <c:ptCount val="9"/>
                <c:pt idx="0">
                  <c:v>u(VStrefS)</c:v>
                </c:pt>
                <c:pt idx="1">
                  <c:v>u(Δ (sp))</c:v>
                </c:pt>
                <c:pt idx="2">
                  <c:v>u(α)</c:v>
                </c:pt>
                <c:pt idx="3">
                  <c:v>u(β)</c:v>
                </c:pt>
                <c:pt idx="4">
                  <c:v>u(tS)</c:v>
                </c:pt>
                <c:pt idx="5">
                  <c:v>u(tX)</c:v>
                </c:pt>
                <c:pt idx="6">
                  <c:v>u(ρwS)</c:v>
                </c:pt>
                <c:pt idx="7">
                  <c:v>u(ρwX)</c:v>
                </c:pt>
                <c:pt idx="8">
                  <c:v>u(Sr)</c:v>
                </c:pt>
              </c:strCache>
            </c:strRef>
          </c:cat>
          <c:val>
            <c:numRef>
              <c:f>'Uncertainty Analysis'!$C$66:$K$66</c:f>
              <c:numCache>
                <c:ptCount val="9"/>
                <c:pt idx="0">
                  <c:v>0</c:v>
                </c:pt>
                <c:pt idx="1">
                  <c:v>0</c:v>
                </c:pt>
                <c:pt idx="2">
                  <c:v>0</c:v>
                </c:pt>
                <c:pt idx="3">
                  <c:v>0</c:v>
                </c:pt>
                <c:pt idx="4">
                  <c:v>0</c:v>
                </c:pt>
                <c:pt idx="5">
                  <c:v>0</c:v>
                </c:pt>
                <c:pt idx="6">
                  <c:v>0</c:v>
                </c:pt>
                <c:pt idx="7">
                  <c:v>0</c:v>
                </c:pt>
                <c:pt idx="8">
                  <c:v>0</c:v>
                </c:pt>
              </c:numCache>
            </c:numRef>
          </c:val>
        </c:ser>
        <c:axId val="13893488"/>
        <c:axId val="57932529"/>
      </c:barChart>
      <c:catAx>
        <c:axId val="13893488"/>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57932529"/>
        <c:crosses val="autoZero"/>
        <c:auto val="1"/>
        <c:lblOffset val="100"/>
        <c:noMultiLvlLbl val="0"/>
      </c:catAx>
      <c:valAx>
        <c:axId val="57932529"/>
        <c:scaling>
          <c:orientation val="minMax"/>
          <c:max val="1"/>
        </c:scaling>
        <c:axPos val="l"/>
        <c:majorGridlines/>
        <c:delete val="0"/>
        <c:numFmt formatCode="General" sourceLinked="1"/>
        <c:majorTickMark val="out"/>
        <c:minorTickMark val="none"/>
        <c:tickLblPos val="nextTo"/>
        <c:txPr>
          <a:bodyPr/>
          <a:lstStyle/>
          <a:p>
            <a:pPr>
              <a:defRPr lang="en-US" cap="none" sz="1200" b="0" i="0" u="none" baseline="0"/>
            </a:pPr>
          </a:p>
        </c:txPr>
        <c:crossAx val="13893488"/>
        <c:crossesAt val="1"/>
        <c:crossBetween val="between"/>
        <c:dispUnits/>
        <c:minorUnit val="0.02"/>
      </c:valAx>
      <c:spPr>
        <a:solidFill>
          <a:srgbClr val="EAEAEA"/>
        </a:solidFill>
        <a:ln w="12700">
          <a:solidFill>
            <a:srgbClr val="808080"/>
          </a:solidFill>
        </a:ln>
      </c:spPr>
    </c:plotArea>
    <c:plotVisOnly val="1"/>
    <c:dispBlanksAs val="gap"/>
    <c:showDLblsOverMax val="0"/>
  </c:chart>
  <c:txPr>
    <a:bodyPr vert="horz" rot="0"/>
    <a:lstStyle/>
    <a:p>
      <a:pPr>
        <a:defRPr lang="en-US" cap="none" sz="1425" b="0" i="0" u="none" baseline="0"/>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47625</xdr:rowOff>
    </xdr:from>
    <xdr:ext cx="6286500" cy="1247775"/>
    <xdr:sp>
      <xdr:nvSpPr>
        <xdr:cNvPr id="1" name="Rectangle 9"/>
        <xdr:cNvSpPr>
          <a:spLocks/>
        </xdr:cNvSpPr>
      </xdr:nvSpPr>
      <xdr:spPr>
        <a:xfrm>
          <a:off x="85725" y="495300"/>
          <a:ext cx="6286500" cy="12477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This workbook was developed by Dan Wright, Washington State Department of Agriculture Metrology Laboratory, and updated February 2007. It follows the procedure documented in NIST HB 145, SOP 19 and the Tolerances in NIST HB 105-3.</a:t>
          </a:r>
        </a:p>
      </xdr:txBody>
    </xdr:sp>
    <xdr:clientData/>
  </xdr:oneCellAnchor>
  <xdr:oneCellAnchor>
    <xdr:from>
      <xdr:col>0</xdr:col>
      <xdr:colOff>85725</xdr:colOff>
      <xdr:row>4</xdr:row>
      <xdr:rowOff>47625</xdr:rowOff>
    </xdr:from>
    <xdr:ext cx="6286500" cy="904875"/>
    <xdr:sp>
      <xdr:nvSpPr>
        <xdr:cNvPr id="2" name="Rectangle 10"/>
        <xdr:cNvSpPr>
          <a:spLocks/>
        </xdr:cNvSpPr>
      </xdr:nvSpPr>
      <xdr:spPr>
        <a:xfrm>
          <a:off x="85725" y="2028825"/>
          <a:ext cx="6286500" cy="9048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You can modify this workbook for your own laboratory. However, insure you verify and validate in-accordance-with your quality system requirements.</a:t>
          </a:r>
        </a:p>
      </xdr:txBody>
    </xdr:sp>
    <xdr:clientData/>
  </xdr:oneCellAnchor>
  <xdr:oneCellAnchor>
    <xdr:from>
      <xdr:col>0</xdr:col>
      <xdr:colOff>85725</xdr:colOff>
      <xdr:row>6</xdr:row>
      <xdr:rowOff>47625</xdr:rowOff>
    </xdr:from>
    <xdr:ext cx="6286500" cy="1200150"/>
    <xdr:sp>
      <xdr:nvSpPr>
        <xdr:cNvPr id="3" name="Rectangle 11"/>
        <xdr:cNvSpPr>
          <a:spLocks/>
        </xdr:cNvSpPr>
      </xdr:nvSpPr>
      <xdr:spPr>
        <a:xfrm>
          <a:off x="85725" y="3219450"/>
          <a:ext cx="6286500" cy="12001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The workbook and all individual worksheets are password protected. The default password is </a:t>
          </a:r>
          <a:r>
            <a:rPr lang="en-US" cap="none" sz="1400" b="1" i="1" u="none" baseline="0">
              <a:solidFill>
                <a:srgbClr val="FF0000"/>
              </a:solidFill>
            </a:rPr>
            <a:t>metrology</a:t>
          </a:r>
          <a:r>
            <a:rPr lang="en-US" cap="none" sz="1400" b="1" i="0" u="none" baseline="0"/>
            <a:t>. After you modify any of the worksheets, be sure to apply a password to all worksheets and the workbook. </a:t>
          </a:r>
          <a:r>
            <a:rPr lang="en-US" cap="none" sz="1400" b="1" i="1" u="none" baseline="0">
              <a:solidFill>
                <a:srgbClr val="993300"/>
              </a:solidFill>
            </a:rPr>
            <a:t>(Don’t forget your password!)</a:t>
          </a:r>
        </a:p>
      </xdr:txBody>
    </xdr:sp>
    <xdr:clientData/>
  </xdr:oneCellAnchor>
  <xdr:oneCellAnchor>
    <xdr:from>
      <xdr:col>0</xdr:col>
      <xdr:colOff>85725</xdr:colOff>
      <xdr:row>10</xdr:row>
      <xdr:rowOff>47625</xdr:rowOff>
    </xdr:from>
    <xdr:ext cx="6286500" cy="714375"/>
    <xdr:sp>
      <xdr:nvSpPr>
        <xdr:cNvPr id="4" name="Rectangle 12"/>
        <xdr:cNvSpPr>
          <a:spLocks/>
        </xdr:cNvSpPr>
      </xdr:nvSpPr>
      <xdr:spPr>
        <a:xfrm>
          <a:off x="85725" y="5667375"/>
          <a:ext cx="6286500" cy="7143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solidFill>
                <a:srgbClr val="333399"/>
              </a:solidFill>
            </a:rPr>
            <a:t>        </a:t>
          </a:r>
          <a:r>
            <a:rPr lang="en-US" cap="none" sz="1400" b="1" i="0" u="none" baseline="0"/>
            <a:t>Please contact me if you need help, have any recommends or find  any suspected errors at: </a:t>
          </a:r>
          <a:r>
            <a:rPr lang="en-US" cap="none" sz="1400" b="1" i="1" u="none" baseline="0">
              <a:solidFill>
                <a:srgbClr val="333399"/>
              </a:solidFill>
            </a:rPr>
            <a:t>dwright@agr.wa.gov</a:t>
          </a:r>
        </a:p>
      </xdr:txBody>
    </xdr:sp>
    <xdr:clientData/>
  </xdr:oneCellAnchor>
  <xdr:oneCellAnchor>
    <xdr:from>
      <xdr:col>0</xdr:col>
      <xdr:colOff>85725</xdr:colOff>
      <xdr:row>8</xdr:row>
      <xdr:rowOff>47625</xdr:rowOff>
    </xdr:from>
    <xdr:ext cx="6286500" cy="666750"/>
    <xdr:sp>
      <xdr:nvSpPr>
        <xdr:cNvPr id="5" name="Rectangle 13"/>
        <xdr:cNvSpPr>
          <a:spLocks/>
        </xdr:cNvSpPr>
      </xdr:nvSpPr>
      <xdr:spPr>
        <a:xfrm>
          <a:off x="85725" y="4714875"/>
          <a:ext cx="6286500" cy="6667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t>        Follow the instructions on the </a:t>
          </a:r>
          <a:r>
            <a:rPr lang="en-US" cap="none" sz="1400" b="1" i="1" u="none" baseline="0">
              <a:solidFill>
                <a:srgbClr val="993300"/>
              </a:solidFill>
            </a:rPr>
            <a:t>Standards</a:t>
          </a:r>
          <a:r>
            <a:rPr lang="en-US" cap="none" sz="1400" b="1" i="0" u="none" baseline="0"/>
            <a:t> worksheet to input your standards information.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190500</xdr:rowOff>
    </xdr:from>
    <xdr:to>
      <xdr:col>1</xdr:col>
      <xdr:colOff>428625</xdr:colOff>
      <xdr:row>53</xdr:row>
      <xdr:rowOff>190500</xdr:rowOff>
    </xdr:to>
    <xdr:sp>
      <xdr:nvSpPr>
        <xdr:cNvPr id="1" name="Line 8"/>
        <xdr:cNvSpPr>
          <a:spLocks/>
        </xdr:cNvSpPr>
      </xdr:nvSpPr>
      <xdr:spPr>
        <a:xfrm>
          <a:off x="76200" y="155638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657225</xdr:colOff>
      <xdr:row>31</xdr:row>
      <xdr:rowOff>76200</xdr:rowOff>
    </xdr:from>
    <xdr:to>
      <xdr:col>7</xdr:col>
      <xdr:colOff>95250</xdr:colOff>
      <xdr:row>32</xdr:row>
      <xdr:rowOff>114300</xdr:rowOff>
    </xdr:to>
    <xdr:sp>
      <xdr:nvSpPr>
        <xdr:cNvPr id="1" name="Comment 156" hidden="1"/>
        <xdr:cNvSpPr>
          <a:spLocks/>
        </xdr:cNvSpPr>
      </xdr:nvSpPr>
      <xdr:spPr>
        <a:xfrm>
          <a:off x="2914650" y="6886575"/>
          <a:ext cx="2447925" cy="238125"/>
        </a:xfrm>
        <a:prstGeom prst="round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1" i="0" u="none" baseline="0">
              <a:solidFill>
                <a:srgbClr val="993366"/>
              </a:solidFill>
            </a:rPr>
            <a:t>T1 - Digital Thermometer SN: 86270053</a:t>
          </a:r>
        </a:p>
      </xdr:txBody>
    </xdr:sp>
    <xdr:clientData/>
  </xdr:twoCellAnchor>
  <xdr:oneCellAnchor>
    <xdr:from>
      <xdr:col>1</xdr:col>
      <xdr:colOff>142875</xdr:colOff>
      <xdr:row>22</xdr:row>
      <xdr:rowOff>104775</xdr:rowOff>
    </xdr:from>
    <xdr:ext cx="1819275" cy="1781175"/>
    <xdr:sp>
      <xdr:nvSpPr>
        <xdr:cNvPr id="2" name="Comment 208" hidden="1"/>
        <xdr:cNvSpPr>
          <a:spLocks/>
        </xdr:cNvSpPr>
      </xdr:nvSpPr>
      <xdr:spPr>
        <a:xfrm>
          <a:off x="895350" y="4400550"/>
          <a:ext cx="1819275" cy="1781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66"/>
              </a:solidFill>
            </a:rPr>
            <a:t>V1 - 200 gal Prover
V2 - 50 gal Prover
V3 - 5 gal Slicker Plate
V4 - 5 gal Test Measure
V5 - 1 gal Glass Flask
V6 - 1/2 gal Glass Flask
V7 - 1 qt Glass Flask
V8 - 1 gi Glass Flask</a:t>
          </a:r>
        </a:p>
      </xdr:txBody>
    </xdr:sp>
    <xdr:clientData/>
  </xdr:oneCellAnchor>
  <xdr:twoCellAnchor editAs="absolute">
    <xdr:from>
      <xdr:col>7</xdr:col>
      <xdr:colOff>180975</xdr:colOff>
      <xdr:row>13</xdr:row>
      <xdr:rowOff>104775</xdr:rowOff>
    </xdr:from>
    <xdr:to>
      <xdr:col>9</xdr:col>
      <xdr:colOff>219075</xdr:colOff>
      <xdr:row>14</xdr:row>
      <xdr:rowOff>152400</xdr:rowOff>
    </xdr:to>
    <xdr:sp>
      <xdr:nvSpPr>
        <xdr:cNvPr id="3" name="Comment 209" hidden="1"/>
        <xdr:cNvSpPr>
          <a:spLocks/>
        </xdr:cNvSpPr>
      </xdr:nvSpPr>
      <xdr:spPr>
        <a:xfrm>
          <a:off x="5448300" y="2657475"/>
          <a:ext cx="1543050" cy="24765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1000" b="1" i="0" u="none" baseline="0"/>
            <a:t> </a:t>
          </a:r>
          <a:r>
            <a:rPr lang="en-US" cap="none" sz="1000" b="0" i="0" u="none" baseline="0"/>
            <a:t>NIST HB 105-3 - 0.02 %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13</xdr:row>
      <xdr:rowOff>142875</xdr:rowOff>
    </xdr:from>
    <xdr:ext cx="3543300" cy="666750"/>
    <xdr:sp>
      <xdr:nvSpPr>
        <xdr:cNvPr id="1" name="Comment 8" hidden="1"/>
        <xdr:cNvSpPr>
          <a:spLocks/>
        </xdr:cNvSpPr>
      </xdr:nvSpPr>
      <xdr:spPr>
        <a:xfrm>
          <a:off x="838200" y="2752725"/>
          <a:ext cx="3543300" cy="6667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66"/>
              </a:solidFill>
            </a:rPr>
            <a:t>V4 - 5 gal Test Measure       VL4 - 1 L Glass Flask
V5 - 1 gal Glass Flask          VL5 - 500 mL Glass Flask
V6 - 1/2 gal Glass Flask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57150</xdr:rowOff>
    </xdr:from>
    <xdr:to>
      <xdr:col>10</xdr:col>
      <xdr:colOff>866775</xdr:colOff>
      <xdr:row>85</xdr:row>
      <xdr:rowOff>219075</xdr:rowOff>
    </xdr:to>
    <xdr:graphicFrame>
      <xdr:nvGraphicFramePr>
        <xdr:cNvPr id="1" name="Chart 15"/>
        <xdr:cNvGraphicFramePr/>
      </xdr:nvGraphicFramePr>
      <xdr:xfrm>
        <a:off x="0" y="19554825"/>
        <a:ext cx="987742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66675</xdr:rowOff>
    </xdr:from>
    <xdr:ext cx="10115550" cy="1895475"/>
    <xdr:sp>
      <xdr:nvSpPr>
        <xdr:cNvPr id="1" name="Rectangle 18"/>
        <xdr:cNvSpPr>
          <a:spLocks/>
        </xdr:cNvSpPr>
      </xdr:nvSpPr>
      <xdr:spPr>
        <a:xfrm>
          <a:off x="85725" y="466725"/>
          <a:ext cx="10115550" cy="1895475"/>
        </a:xfrm>
        <a:prstGeom prst="roundRect">
          <a:avLst/>
        </a:prstGeom>
        <a:solidFill>
          <a:srgbClr val="EAEAEA"/>
        </a:solidFill>
        <a:ln w="9525" cmpd="sng">
          <a:noFill/>
        </a:ln>
      </xdr:spPr>
      <xdr:txBody>
        <a:bodyPr vertOverflow="clip" wrap="square"/>
        <a:p>
          <a:pPr algn="l">
            <a:defRPr/>
          </a:pPr>
          <a:r>
            <a:rPr lang="en-US" cap="none" sz="1400" b="1" i="1" u="none" baseline="0"/>
            <a:t>To Change, Add, or Delete Information:</a:t>
          </a:r>
          <a:r>
            <a:rPr lang="en-US" cap="none" sz="1200" b="1" i="0" u="none" baseline="0"/>
            <a:t>
        a. Unprotect the worksheet (Select </a:t>
          </a:r>
          <a:r>
            <a:rPr lang="en-US" cap="none" sz="1200" b="1" i="1" u="none" baseline="0">
              <a:solidFill>
                <a:srgbClr val="FF0000"/>
              </a:solidFill>
            </a:rPr>
            <a:t>Tools,</a:t>
          </a:r>
          <a:r>
            <a:rPr lang="en-US" cap="none" sz="1200" b="1" i="0" u="none" baseline="0">
              <a:solidFill>
                <a:srgbClr val="FF0000"/>
              </a:solidFill>
            </a:rPr>
            <a:t> </a:t>
          </a:r>
          <a:r>
            <a:rPr lang="en-US" cap="none" sz="1200" b="1" i="1" u="none" baseline="0">
              <a:solidFill>
                <a:srgbClr val="FF0000"/>
              </a:solidFill>
            </a:rPr>
            <a:t>Protection,</a:t>
          </a:r>
          <a:r>
            <a:rPr lang="en-US" cap="none" sz="1200" b="1" i="0" u="none" baseline="0">
              <a:solidFill>
                <a:srgbClr val="FF0000"/>
              </a:solidFill>
            </a:rPr>
            <a:t> </a:t>
          </a:r>
          <a:r>
            <a:rPr lang="en-US" cap="none" sz="1200" b="1" i="1" u="none" baseline="0">
              <a:solidFill>
                <a:srgbClr val="FF0000"/>
              </a:solidFill>
            </a:rPr>
            <a:t>Unprotect sheet...</a:t>
          </a:r>
          <a:r>
            <a:rPr lang="en-US" cap="none" sz="1200" b="1" i="0" u="none" baseline="0">
              <a:solidFill>
                <a:srgbClr val="993300"/>
              </a:solidFill>
            </a:rPr>
            <a:t> </a:t>
          </a:r>
          <a:r>
            <a:rPr lang="en-US" cap="none" sz="1200" b="1" i="0" u="none" baseline="0"/>
            <a:t>enter password and select the </a:t>
          </a:r>
          <a:r>
            <a:rPr lang="en-US" cap="none" sz="1200" b="1" i="1" u="none" baseline="0">
              <a:solidFill>
                <a:srgbClr val="FF0000"/>
              </a:solidFill>
            </a:rPr>
            <a:t>OK</a:t>
          </a:r>
          <a:r>
            <a:rPr lang="en-US" cap="none" sz="1200" b="1" i="0" u="none" baseline="0"/>
            <a:t> button).
                1. To change a standards information place the curser anywhere in the desired standards list and make any necessary changes.
                2. To add a standard, place the curser anywhere in the desired standards list. Enter the new standard on the line with the </a:t>
          </a:r>
          <a:r>
            <a:rPr lang="en-US" cap="none" sz="1200" b="1" i="0" u="none" baseline="0">
              <a:solidFill>
                <a:srgbClr val="993366"/>
              </a:solidFill>
            </a:rPr>
            <a:t>*</a:t>
          </a:r>
          <a:r>
            <a:rPr lang="en-US" cap="none" sz="1200" b="1" i="0" u="none" baseline="0"/>
            <a:t>.
                3. To delete a standard just highlight the row that contains the standard and select </a:t>
          </a:r>
          <a:r>
            <a:rPr lang="en-US" cap="none" sz="1200" b="1" i="1" u="none" baseline="0">
              <a:solidFill>
                <a:srgbClr val="FF0000"/>
              </a:solidFill>
            </a:rPr>
            <a:t>Edit, Delete</a:t>
          </a:r>
          <a:r>
            <a:rPr lang="en-US" cap="none" sz="1200" b="1" i="0" u="none" baseline="0"/>
            <a:t>. 
                4. After entering or deleting standards, click on the arrow in the ID Code block and sort the list in ascending order.      
        </a:t>
          </a:r>
          <a:r>
            <a:rPr lang="en-US" cap="none" sz="1200" b="1" i="1" u="none" baseline="0">
              <a:solidFill>
                <a:srgbClr val="FF0000"/>
              </a:solidFill>
            </a:rPr>
            <a:t>Note: The tables must be sorted by the ID Code in ascending order for the vlookup function to work properly in the formulas!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ST%20HB%20145,%20SOP%2021%20-%20LPG%20Provers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wright\My%20Documents\WSDA%20Metrology%20Laboratory\Templates\WAMRF%20-%20Measurement%20Related\Volume%20Calibrations\Volume%20Workbook%20Templates\Uncertainties\Grav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45LPG"/>
      <sheetName val="Current"/>
      <sheetName val="Pcorr Table &amp; Chart"/>
    </sheetNames>
    <sheetDataSet>
      <sheetData sheetId="0">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tables/table1.xml><?xml version="1.0" encoding="utf-8"?>
<table xmlns="http://schemas.openxmlformats.org/spreadsheetml/2006/main" id="2" name="List1" displayName="List1" ref="A6:M7" totalsRowShown="0">
  <autoFilter ref="A6:M7"/>
  <tableColumns count="13">
    <tableColumn id="1" name="ID_x000A_Code"/>
    <tableColumn id="2" name="Description"/>
    <tableColumn id="3" name="Serial_x000A_Number"/>
    <tableColumn id="4" name="Volume (VS)_x000A_(gal)"/>
    <tableColumn id="5" name="Reference_x000A_Temperature_x000A_(trefS) (ºF)"/>
    <tableColumn id="6" name="Scale_x000A_Graduations_x000A_(in³)"/>
    <tableColumn id="7" name="Material"/>
    <tableColumn id="8" name="CCE / ºF"/>
    <tableColumn id="9" name="Unc_x000A_(gal)"/>
    <tableColumn id="10" name="k-factor"/>
    <tableColumn id="11" name="Report_x000A_#"/>
    <tableColumn id="12" name="Cal_x000A_Date"/>
    <tableColumn id="13" name="Due_x000A_Date"/>
  </tableColumns>
  <tableStyleInfo showFirstColumn="0" showLastColumn="0" showRowStripes="1" showColumnStripes="0"/>
</table>
</file>

<file path=xl/tables/table2.xml><?xml version="1.0" encoding="utf-8"?>
<table xmlns="http://schemas.openxmlformats.org/spreadsheetml/2006/main" id="3" name="List2" displayName="List2" ref="A10:M11" totalsRowShown="0">
  <autoFilter ref="A10:M11"/>
  <tableColumns count="13">
    <tableColumn id="1" name="ID_x000A_Code"/>
    <tableColumn id="2" name="Description"/>
    <tableColumn id="3" name="Serial_x000A_Number"/>
    <tableColumn id="4" name="Volume (VS)_x000A_(L)"/>
    <tableColumn id="5" name="Reference_x000A_Temperature_x000A_(trefS) (ºF)"/>
    <tableColumn id="6" name="Scale_x000A_Graduations_x000A_(mL)"/>
    <tableColumn id="7" name="Material"/>
    <tableColumn id="8" name="CCE / ºF"/>
    <tableColumn id="9" name="Unc_x000A_(L)"/>
    <tableColumn id="10" name="k-factor"/>
    <tableColumn id="11" name="Report_x000A_#"/>
    <tableColumn id="12" name="Cal_x000A_Date"/>
    <tableColumn id="13" name="Due_x000A_Date"/>
  </tableColumns>
  <tableStyleInfo showFirstColumn="0" showLastColumn="0" showRowStripes="1" showColumnStripes="0"/>
</table>
</file>

<file path=xl/tables/table3.xml><?xml version="1.0" encoding="utf-8"?>
<table xmlns="http://schemas.openxmlformats.org/spreadsheetml/2006/main" id="4" name="List3" displayName="List3" ref="A14:J15" totalsRowShown="0">
  <autoFilter ref="A14:J15"/>
  <tableColumns count="10">
    <tableColumn id="1" name="ID_x000A_Code"/>
    <tableColumn id="2" name="Description"/>
    <tableColumn id="3" name="Serial_x000A_Number"/>
    <tableColumn id="4" name="Correction_x000A_(ºC)"/>
    <tableColumn id="5" name="Manufacture_x000A_Stated_x000A_Accuracy_x000A_(ºC)"/>
    <tableColumn id="6" name="Unc_x000A_(ºC)"/>
    <tableColumn id="7" name="k-factor"/>
    <tableColumn id="8" name="Report_x000A_#"/>
    <tableColumn id="9" name="Cal_x000A_Date"/>
    <tableColumn id="10" name="Due_x000A_Da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sheetPr>
  <dimension ref="A1:H36"/>
  <sheetViews>
    <sheetView showGridLines="0" showZeros="0" showOutlineSymbols="0" zoomScale="91" zoomScaleNormal="91" workbookViewId="0" topLeftCell="A1">
      <selection activeCell="A1" sqref="A1"/>
    </sheetView>
  </sheetViews>
  <sheetFormatPr defaultColWidth="8.88671875" defaultRowHeight="15.75" zeroHeight="1"/>
  <cols>
    <col min="1" max="1" width="9.77734375" style="94" customWidth="1"/>
    <col min="2" max="8" width="9.77734375" style="0" customWidth="1"/>
    <col min="9" max="9" width="1.77734375" style="0" customWidth="1"/>
    <col min="10" max="16384" width="0" style="0" hidden="1" customWidth="1"/>
  </cols>
  <sheetData>
    <row r="1" spans="1:8" ht="19.5" thickBot="1">
      <c r="A1" s="148" t="s">
        <v>113</v>
      </c>
      <c r="B1" s="33"/>
      <c r="C1" s="33"/>
      <c r="D1" s="33"/>
      <c r="E1" s="33"/>
      <c r="F1" s="33"/>
      <c r="G1" s="33"/>
      <c r="H1" s="153">
        <f>IF(ISBLANK(RptNo),"","Report Number: "&amp;RptNo)</f>
      </c>
    </row>
    <row r="2" s="94" customFormat="1" ht="15.75" customHeight="1"/>
    <row r="3" ht="105" customHeight="1"/>
    <row r="4" ht="15.75"/>
    <row r="5" ht="78" customHeight="1"/>
    <row r="6" ht="15.75"/>
    <row r="7" ht="102" customHeight="1"/>
    <row r="8" ht="15.75"/>
    <row r="9" s="94" customFormat="1" ht="59.25" customHeight="1"/>
    <row r="10" ht="15.75"/>
    <row r="11" ht="63.75" customHeight="1"/>
    <row r="12" ht="15.75"/>
    <row r="13" ht="15.75" hidden="1"/>
    <row r="14" ht="15.75" hidden="1"/>
    <row r="15" ht="15.75" hidden="1"/>
    <row r="16" s="94" customFormat="1" ht="15.75" hidden="1"/>
    <row r="17" ht="15.75" hidden="1"/>
    <row r="18" ht="15.75" hidden="1"/>
    <row r="19" ht="15.75" hidden="1"/>
    <row r="20" ht="15.75" hidden="1"/>
    <row r="21" ht="15.75" hidden="1"/>
    <row r="22" ht="15.75" hidden="1"/>
    <row r="23" s="94" customFormat="1" ht="15.75" hidden="1"/>
    <row r="24" ht="15.75" hidden="1"/>
    <row r="25" ht="15.75" hidden="1"/>
    <row r="26" ht="15.75" hidden="1"/>
    <row r="27" ht="15.75" hidden="1"/>
    <row r="28" s="94" customFormat="1" ht="15.75" customHeight="1" hidden="1"/>
    <row r="29" ht="15.75" hidden="1"/>
    <row r="30" ht="15.75" hidden="1"/>
    <row r="31" ht="15.75" hidden="1"/>
    <row r="32" ht="15.75" hidden="1"/>
    <row r="33" s="94" customFormat="1" ht="15.75" customHeight="1" hidden="1"/>
    <row r="34" ht="15.75" hidden="1">
      <c r="A34" s="93"/>
    </row>
    <row r="35" ht="15.75" hidden="1">
      <c r="A35" s="93"/>
    </row>
    <row r="36" ht="15.75" hidden="1">
      <c r="A36" s="93"/>
    </row>
  </sheetData>
  <sheetProtection password="FFED" sheet="1" objects="1" scenarios="1" selectLockedCells="1" selectUnlockedCells="1"/>
  <printOptions horizontalCentered="1"/>
  <pageMargins left="0.5" right="0.5" top="1.25" bottom="0.75" header="0.75" footer="0.5"/>
  <pageSetup cellComments="asDisplayed" horizontalDpi="600" verticalDpi="600" orientation="portrait" r:id="rId2"/>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drawing r:id="rId1"/>
</worksheet>
</file>

<file path=xl/worksheets/sheet2.xml><?xml version="1.0" encoding="utf-8"?>
<worksheet xmlns="http://schemas.openxmlformats.org/spreadsheetml/2006/main" xmlns:r="http://schemas.openxmlformats.org/officeDocument/2006/relationships">
  <sheetPr>
    <tabColor indexed="34"/>
  </sheetPr>
  <dimension ref="A1:G57"/>
  <sheetViews>
    <sheetView showGridLines="0" workbookViewId="0" topLeftCell="A1">
      <selection activeCell="A1" sqref="A1"/>
    </sheetView>
  </sheetViews>
  <sheetFormatPr defaultColWidth="8.88671875" defaultRowHeight="15.75" zeroHeight="1"/>
  <cols>
    <col min="1" max="5" width="15.77734375" style="0" customWidth="1"/>
    <col min="6" max="6" width="2.4453125" style="0" customWidth="1"/>
    <col min="7" max="8" width="9.77734375" style="0" hidden="1" customWidth="1"/>
    <col min="9" max="16384" width="0" style="0" hidden="1" customWidth="1"/>
  </cols>
  <sheetData>
    <row r="1" ht="25.5" customHeight="1">
      <c r="C1" s="23" t="s">
        <v>269</v>
      </c>
    </row>
    <row r="2" ht="18.75">
      <c r="C2" s="24" t="s">
        <v>270</v>
      </c>
    </row>
    <row r="3" spans="3:5" ht="15.75">
      <c r="C3" s="26" t="s">
        <v>271</v>
      </c>
      <c r="E3" s="367"/>
    </row>
    <row r="4" spans="3:7" ht="15.75">
      <c r="C4" s="27" t="s">
        <v>272</v>
      </c>
      <c r="E4" s="368"/>
      <c r="G4" s="25"/>
    </row>
    <row r="5" ht="12" customHeight="1"/>
    <row r="6" spans="1:5" ht="16.5" thickBot="1">
      <c r="A6" s="28"/>
      <c r="B6" s="28"/>
      <c r="C6" s="196" t="str">
        <f>"Report of Calibration #: "&amp;RptNo</f>
        <v>Report of Calibration #: </v>
      </c>
      <c r="D6" s="49"/>
      <c r="E6" s="28"/>
    </row>
    <row r="7" spans="1:5" ht="24" customHeight="1" thickTop="1">
      <c r="A7" s="50" t="str">
        <f>IF(ISBLANK(Cal_Date),"Calibration Date","Calibration Date: "&amp;TEXT(Cal_Date,"mmmm d, yyyy"))</f>
        <v>Calibration Date</v>
      </c>
      <c r="B7" s="30"/>
      <c r="C7" s="30"/>
      <c r="D7" s="30"/>
      <c r="E7" s="51" t="str">
        <f>IF(ISBLANK(Cal_Date),"Calibration Due Date",IF(IntervalQ="yes","Calibration Due Date: "&amp;TEXT(DATE(YEAR(Cal_Date),MONTH(Cal_Date)+Interval,DAY(Cal_Date)),"mmmm d, yyyy"),""))</f>
        <v>Calibration Due Date</v>
      </c>
    </row>
    <row r="8" spans="1:5" ht="24" customHeight="1" thickBot="1">
      <c r="A8" s="52" t="s">
        <v>53</v>
      </c>
      <c r="B8" s="31"/>
      <c r="C8" s="31"/>
      <c r="D8" s="31"/>
      <c r="E8" s="32"/>
    </row>
    <row r="9" spans="1:4" s="48" customFormat="1" ht="12.75">
      <c r="A9" s="47" t="str">
        <f>IF(ISBLANK(Description),"Test Item…….:","Test Item…….:  "&amp;Description)</f>
        <v>Test Item…….:</v>
      </c>
      <c r="B9" s="47"/>
      <c r="C9" s="47"/>
      <c r="D9" s="53" t="str">
        <f>IF(ISBLANK(MFG),"Manufacture.:","Manufacture.:  "&amp;MFG)</f>
        <v>Manufacture.:</v>
      </c>
    </row>
    <row r="10" spans="1:4" s="48" customFormat="1" ht="12.75">
      <c r="A10" s="47" t="str">
        <f>IF(ISBLANK(Nom_Val),"Volume…........:",IF(NomValUnit="Nominal Volume (L)","Volume…........:  "&amp;Nom_Val&amp;" L","Volume…........:  "&amp;Nom_Val&amp;" gal"))</f>
        <v>Volume…........:</v>
      </c>
      <c r="B10" s="47"/>
      <c r="C10" s="47"/>
      <c r="D10" s="53" t="str">
        <f>IF(ISBLANK(Material),"Material…….:","Material…….:  "&amp;Material)</f>
        <v>Material…….:</v>
      </c>
    </row>
    <row r="11" spans="1:4" s="48" customFormat="1" ht="12.75">
      <c r="A11" s="47" t="str">
        <f>IF(ISBLANK(SN),"Serial Number.:","Serial Number.:  "&amp;SN)</f>
        <v>Serial Number.:</v>
      </c>
      <c r="B11" s="47"/>
      <c r="C11" s="47"/>
      <c r="D11" s="53" t="str">
        <f>"Specification:  "&amp;Specification</f>
        <v>Specification:  </v>
      </c>
    </row>
    <row r="12" spans="1:5" s="48" customFormat="1" ht="12.75">
      <c r="A12" s="47" t="str">
        <f>IF(ISBLANK(WODate),"Date Received:","Date Received:  "&amp;TEXT(WODate,"mmmm d, yyyy"))</f>
        <v>Date Received:</v>
      </c>
      <c r="B12" s="47"/>
      <c r="C12" s="47"/>
      <c r="D12" s="47"/>
      <c r="E12" s="47"/>
    </row>
    <row r="13" spans="1:5" ht="24" customHeight="1" thickBot="1">
      <c r="A13" s="54" t="s">
        <v>54</v>
      </c>
      <c r="B13" s="33"/>
      <c r="C13" s="33"/>
      <c r="D13" s="33"/>
      <c r="E13" s="34"/>
    </row>
    <row r="14" spans="1:5" s="48" customFormat="1" ht="12.75">
      <c r="A14" s="369" t="str">
        <f>IF(ISBLANK(Bus.Name),"Name &amp; Address:",Bus.Name)</f>
        <v>Name &amp; Address:</v>
      </c>
      <c r="B14" s="370"/>
      <c r="C14" s="370"/>
      <c r="D14" s="47" t="str">
        <f>IF(ISBLANK(PO.No),"Purchase Order #:","Purchase Order #:  "&amp;PO.No)</f>
        <v>Purchase Order #:</v>
      </c>
      <c r="E14" s="47"/>
    </row>
    <row r="15" spans="1:5" s="48" customFormat="1" ht="12.75">
      <c r="A15" s="371"/>
      <c r="B15" s="371"/>
      <c r="C15" s="371"/>
      <c r="D15" s="47" t="str">
        <f>IF(ISBLANK(POC.Name),"Point of Contact..:","Point of Contact..:  "&amp;POC.Name)</f>
        <v>Point of Contact..:</v>
      </c>
      <c r="E15" s="47"/>
    </row>
    <row r="16" spans="1:5" s="48" customFormat="1" ht="12.75">
      <c r="A16" s="371"/>
      <c r="B16" s="371"/>
      <c r="C16" s="371"/>
      <c r="D16" s="374">
        <f>IF(ISBLANK(POC.Phone),"",POC.Phone)</f>
      </c>
      <c r="E16" s="374"/>
    </row>
    <row r="17" spans="1:5" s="48" customFormat="1" ht="12.75">
      <c r="A17" s="371"/>
      <c r="B17" s="371"/>
      <c r="C17" s="371"/>
      <c r="D17" s="140"/>
      <c r="E17" s="47"/>
    </row>
    <row r="18" spans="1:5" ht="24" customHeight="1" thickBot="1">
      <c r="A18" s="54" t="s">
        <v>56</v>
      </c>
      <c r="B18" s="33"/>
      <c r="C18" s="33"/>
      <c r="D18" s="33"/>
      <c r="E18" s="34"/>
    </row>
    <row r="19" spans="1:5" s="48" customFormat="1" ht="51.75" customHeight="1">
      <c r="A19" s="55" t="str">
        <f>Description&amp;"
Nominal
Volume"</f>
        <v>
Nominal
Volume</v>
      </c>
      <c r="B19" s="55" t="str">
        <f>Description&amp;" Volume
As Found "&amp;IF(AND(RefTempUnit="Designated Reference Temperature For This Calibration (ºC)",NomValUnit="Nominal Volume (L)"),"@ "&amp;RefT&amp;" ºC
 (L)",IF(AND(RefTempUnit="Designated Reference Temperature For This Calibration (ºF)",NomValUnit="Nominal Volume (L)"),"@ "&amp;RefT&amp;" ºF
 (L)",IF(AND(RefTempUnit="Designated Reference Temperature For This Calibration (ºC)",NomValUnit="Nominal Volume (gal)"),"@ "&amp;RefT&amp;" ºC
 (gal)",IF(AND(RefTempUnit="Designated Reference Temperature For This Calibration (ºF)",NomValUnit="Nominal Volume (gal)"),"@ "&amp;RefT&amp;" ºF
 (gal)"))))</f>
        <v> Volume
As Found @  ºF
 (gal)</v>
      </c>
      <c r="C19" s="55" t="str">
        <f>Description&amp;" Volume
As Left "&amp;IF(AND(RefTempUnit="Designated Reference Temperature For This Calibration (ºC)",NomValUnit="Nominal Volume (L)"),"@ "&amp;RefT&amp;" ºC
 (L)",IF(AND(RefTempUnit="Designated Reference Temperature For This Calibration (ºF)",NomValUnit="Nominal Volume (L)"),"@ "&amp;RefT&amp;" ºF
 (L)",IF(AND(RefTempUnit="Designated Reference Temperature For This Calibration (ºC)",NomValUnit="Nominal Volume (gal)"),"@ "&amp;RefT&amp;" ºC
 (gal)",IF(AND(RefTempUnit="Designated Reference Temperature For This Calibration (ºF)",NomValUnit="Nominal Volume (gal)"),"@ "&amp;RefT&amp;" ºF
 (gal)"))))</f>
        <v> Volume
As Left @  ºF
 (gal)</v>
      </c>
      <c r="D19" s="55" t="str">
        <f>IF(NomValUnit="Nominal Volume (L)","Specification
Tolerance
"&amp;CHAR(177)&amp;" (L)","Specification
Tolerance
"&amp;CHAR(177)&amp;" (gal)")</f>
        <v>Specification
Tolerance
± (gal)</v>
      </c>
      <c r="E19" s="55" t="str">
        <f>IF(NomValUnit="Nominal Volume (L)","Uncertainty
k=2
"&amp;CHAR(177)&amp;" (L)","Uncertainty
k=2
"&amp;CHAR(177)&amp;" (gal)")</f>
        <v>Uncertainty
k=2
± (gal)</v>
      </c>
    </row>
    <row r="20" spans="1:5" s="48" customFormat="1" ht="12.75">
      <c r="A20" s="56">
        <f>IF(ISBLANK(Nom_Val),"",IF(NomValUnit="Nominal Volume (L)",Nom_Val&amp;" L",Nom_Val&amp;" gal"))</f>
      </c>
      <c r="B20" s="56">
        <f>IF(ISBLANK(AsFound),"",AsFound)</f>
      </c>
      <c r="C20" s="56">
        <f>IF(ISBLANK(AsLeft),"",AsLeft)</f>
      </c>
      <c r="D20" s="56">
        <f>IF(ISBLANK(Tolerance),"",Tolerance)</f>
      </c>
      <c r="E20" s="56">
        <f>IF(ISBLANK(Unc),"",Unc)</f>
      </c>
    </row>
    <row r="21" spans="1:5" ht="24" customHeight="1">
      <c r="A21" s="57" t="s">
        <v>58</v>
      </c>
      <c r="B21" s="45"/>
      <c r="C21" s="45"/>
      <c r="D21" s="45"/>
      <c r="E21" s="46"/>
    </row>
    <row r="22" spans="1:5" ht="29.25" customHeight="1">
      <c r="A22" s="372" t="s">
        <v>253</v>
      </c>
      <c r="B22" s="372"/>
      <c r="C22" s="372"/>
      <c r="D22" s="372"/>
      <c r="E22" s="372"/>
    </row>
    <row r="23" spans="1:5" ht="18" customHeight="1">
      <c r="A23" s="372" t="str">
        <f>IF(Nom_Val="","●  The "&amp;Description&amp;" 'As Left' volume is 'In-Tolerance', the prover may be used in meter testing without a correction.",IF(ABS($C$20-Nom_Val)&gt;ABS($D$20-$E$20),"●  The "&amp;Description&amp;" 'As Left' volume is 'Out-of-Tolerance', the user must use a correction for all meter testing.","●  The "&amp;Description&amp;" 'As Left' volume is 'In-Tolerance', the "&amp;Description&amp;" may be used in meter testing without a correction."))</f>
        <v>●  The  'As Left' volume is 'In-Tolerance', the prover may be used in meter testing without a correction.</v>
      </c>
      <c r="B23" s="372"/>
      <c r="C23" s="372"/>
      <c r="D23" s="372"/>
      <c r="E23" s="372"/>
    </row>
    <row r="24" spans="1:5" ht="18" customHeight="1">
      <c r="A24" s="373" t="str">
        <f>"●  The Scale Calibration Seal Number is "&amp;SealNo</f>
        <v>●  The Scale Calibration Seal Number is </v>
      </c>
      <c r="B24" s="373"/>
      <c r="C24" s="373"/>
      <c r="D24" s="373"/>
      <c r="E24" s="373"/>
    </row>
    <row r="25" spans="1:5" s="48" customFormat="1" ht="18" customHeight="1">
      <c r="A25" s="373" t="str">
        <f>"●  The Neck Scale Calibration Value (NSCV) = "&amp;NSCV</f>
        <v>●  The Neck Scale Calibration Value (NSCV) = </v>
      </c>
      <c r="B25" s="373"/>
      <c r="C25" s="373"/>
      <c r="D25" s="373"/>
      <c r="E25" s="373"/>
    </row>
    <row r="26" spans="1:5" s="48" customFormat="1" ht="30" customHeight="1">
      <c r="A26" s="372" t="s">
        <v>102</v>
      </c>
      <c r="B26" s="372"/>
      <c r="C26" s="372"/>
      <c r="D26" s="372"/>
      <c r="E26" s="372"/>
    </row>
    <row r="27" spans="1:5" ht="48" customHeight="1">
      <c r="A27" s="372" t="str">
        <f>IF(Description="Test Measure",TestMeasure.Stmt,Prover.Stmt)</f>
        <v>●  The calibration item was calibrated in a wet down condition using water. The  delivers the stated volume
    at the reference temperature is when it is drained for a 30 (± 5) second period after cessation of the main flow.</v>
      </c>
      <c r="B27" s="372"/>
      <c r="C27" s="372"/>
      <c r="D27" s="372"/>
      <c r="E27" s="372"/>
    </row>
    <row r="28" spans="1:5" ht="24" customHeight="1" thickBot="1">
      <c r="A28" s="54" t="s">
        <v>59</v>
      </c>
      <c r="B28" s="33"/>
      <c r="C28" s="33"/>
      <c r="D28" s="33"/>
      <c r="E28" s="34"/>
    </row>
    <row r="29" spans="1:5" s="48" customFormat="1" ht="12.75">
      <c r="A29" s="61" t="str">
        <f>IF(ISBLANK(Tech),"Technician……...…...:","Technician….……....:  "&amp;Tech)</f>
        <v>Technician……...…...:</v>
      </c>
      <c r="B29" s="61"/>
      <c r="D29" s="61"/>
      <c r="E29" s="63" t="s">
        <v>130</v>
      </c>
    </row>
    <row r="30" spans="1:5" s="48" customFormat="1" ht="12.75">
      <c r="A30" s="377" t="str">
        <f>IF(ISBLANK(Condition),"Condition of Artifact:","Condition of Artifact:  "&amp;Condition)</f>
        <v>Condition of Artifact:</v>
      </c>
      <c r="B30" s="377"/>
      <c r="C30" s="377"/>
      <c r="D30" s="377"/>
      <c r="E30" s="377"/>
    </row>
    <row r="31" spans="1:5" ht="15.75">
      <c r="A31" s="61" t="str">
        <f>IF(ISBLANK(AirTemp),"Temperature………....:","Temperature…..….....:  "&amp;FIXED(AirTemp,1)&amp;" ºC")</f>
        <v>Temperature………....:</v>
      </c>
      <c r="B31" s="62"/>
      <c r="C31" s="64" t="str">
        <f>IF(ISBLANK(Humidity),"Humidity:","Humidity:  "&amp;FIXED(Humidity,1)&amp;" % RH")</f>
        <v>Humidity:</v>
      </c>
      <c r="D31" s="62"/>
      <c r="E31" s="63" t="str">
        <f>IF(ISERROR(AVERAGE(t_1,t_2)),"Water Temperature:","Water Temperature:  "&amp;FIXED(AVERAGE(t_1,t_2),1)&amp;" ºC")</f>
        <v>Water Temperature:</v>
      </c>
    </row>
    <row r="32" spans="1:5" ht="24" customHeight="1">
      <c r="A32" s="68" t="s">
        <v>67</v>
      </c>
      <c r="B32" s="66"/>
      <c r="C32" s="66"/>
      <c r="D32" s="66"/>
      <c r="E32" s="66"/>
    </row>
    <row r="33" spans="1:5" ht="15.75">
      <c r="A33" s="109" t="s">
        <v>8</v>
      </c>
      <c r="B33" s="67" t="s">
        <v>5</v>
      </c>
      <c r="C33" s="67" t="s">
        <v>69</v>
      </c>
      <c r="D33" s="67" t="s">
        <v>70</v>
      </c>
      <c r="E33" s="67" t="s">
        <v>71</v>
      </c>
    </row>
    <row r="34" spans="1:5" ht="15.75">
      <c r="A34" s="105">
        <f>IF(ISBLANK('Prover Data Entry'!A25),"",IF(NomValUnit="Nominal Volume (L)",VLOOKUP('Prover Data Entry'!A25,MetricVol.Stds,2),VLOOKUP('Prover Data Entry'!A25,CustomaryVol.Stds,2)))</f>
      </c>
      <c r="B34" s="106">
        <f>IF(ISBLANK('Prover Data Entry'!A25),"",IF(NomValUnit="Nominal Volume (L)",VLOOKUP('Prover Data Entry'!A25,MetricVol.Stds,3),VLOOKUP('Prover Data Entry'!A25,CustomaryVol.Stds,3)))</f>
      </c>
      <c r="C34" s="106">
        <f>IF(ISBLANK('Prover Data Entry'!A25),"",IF(NomValUnit="Nominal Volume (L)",VLOOKUP('Prover Data Entry'!A25,MetricVol.Stds,11),VLOOKUP('Prover Data Entry'!A25,CustomaryVol.Stds,11)))</f>
      </c>
      <c r="D34" s="107">
        <f>IF(ISBLANK('Prover Data Entry'!A25),"",IF(NomValUnit="Nominal Volume (L)",VLOOKUP('Prover Data Entry'!A25,MetricVol.Stds,12),VLOOKUP('Prover Data Entry'!A25,CustomaryVol.Stds,12)))</f>
      </c>
      <c r="E34" s="107">
        <f>IF(ISBLANK('Prover Data Entry'!A25),"",IF(NomValUnit="Nominal Volume (L)",VLOOKUP('Prover Data Entry'!A25,MetricVol.Stds,13),VLOOKUP('Prover Data Entry'!A25,CustomaryVol.Stds,13)))</f>
      </c>
    </row>
    <row r="35" spans="1:5" ht="15.75">
      <c r="A35" s="104">
        <f>IF(ISBLANK('Prover Data Entry'!A26),"",IF(NomValUnit="Nominal Volume (L)",VLOOKUP('Prover Data Entry'!A26,MetricVol.Stds,2),VLOOKUP('Prover Data Entry'!A26,CustomaryVol.Stds,2)))</f>
      </c>
      <c r="B35" s="103">
        <f>IF(ISBLANK('Prover Data Entry'!A26),"",IF(NomValUnit="Nominal Volume (L)",VLOOKUP('Prover Data Entry'!A26,MetricVol.Stds,3),VLOOKUP('Prover Data Entry'!A26,CustomaryVol.Stds,3)))</f>
      </c>
      <c r="C35" s="103">
        <f>IF(ISBLANK('Prover Data Entry'!A26),"",IF(NomValUnit="Nominal Volume (L)",VLOOKUP('Prover Data Entry'!A26,MetricVol.Stds,11),VLOOKUP('Prover Data Entry'!A26,CustomaryVol.Stds,11)))</f>
      </c>
      <c r="D35" s="108">
        <f>IF(ISBLANK('Prover Data Entry'!A26),"",IF(NomValUnit="Nominal Volume (L)",VLOOKUP('Prover Data Entry'!A26,MetricVol.Stds,12),VLOOKUP('Prover Data Entry'!A26,CustomaryVol.Stds,12)))</f>
      </c>
      <c r="E35" s="108">
        <f>IF(ISBLANK('Prover Data Entry'!A26),"",IF(NomValUnit="Nominal Volume (L)",VLOOKUP('Prover Data Entry'!A26,MetricVol.Stds,13),VLOOKUP('Prover Data Entry'!A26,CustomaryVol.Stds,13)))</f>
      </c>
    </row>
    <row r="36" spans="1:5" ht="15.75">
      <c r="A36" s="104">
        <f>IF(ISBLANK('Prover Data Entry'!A27),"",IF(NomValUnit="Nominal Volume (L)",VLOOKUP('Prover Data Entry'!A27,MetricVol.Stds,2),VLOOKUP('Prover Data Entry'!A27,CustomaryVol.Stds,2)))</f>
      </c>
      <c r="B36" s="103">
        <f>IF(ISBLANK('Prover Data Entry'!A27),"",IF(NomValUnit="Nominal Volume (L)",VLOOKUP('Prover Data Entry'!A27,MetricVol.Stds,3),VLOOKUP('Prover Data Entry'!A27,CustomaryVol.Stds,3)))</f>
      </c>
      <c r="C36" s="103">
        <f>IF(ISBLANK('Prover Data Entry'!A27),"",IF(NomValUnit="Nominal Volume (L)",VLOOKUP('Prover Data Entry'!A27,MetricVol.Stds,11),VLOOKUP('Prover Data Entry'!A27,CustomaryVol.Stds,11)))</f>
      </c>
      <c r="D36" s="108">
        <f>IF(ISBLANK('Prover Data Entry'!A27),"",IF(NomValUnit="Nominal Volume (L)",VLOOKUP('Prover Data Entry'!A27,MetricVol.Stds,12),VLOOKUP('Prover Data Entry'!A27,CustomaryVol.Stds,12)))</f>
      </c>
      <c r="E36" s="108">
        <f>IF(ISBLANK('Prover Data Entry'!A27),"",IF(NomValUnit="Nominal Volume (L)",VLOOKUP('Prover Data Entry'!A27,MetricVol.Stds,13),VLOOKUP('Prover Data Entry'!A27,CustomaryVol.Stds,13)))</f>
      </c>
    </row>
    <row r="37" spans="1:5" ht="15.75">
      <c r="A37" s="104">
        <f>IF(ISBLANK('Prover Data Entry'!A28),"",IF(NomValUnit="Nominal Volume (L)",VLOOKUP('Prover Data Entry'!A28,MetricVol.Stds,2),VLOOKUP('Prover Data Entry'!A28,CustomaryVol.Stds,2)))</f>
      </c>
      <c r="B37" s="103">
        <f>IF(ISBLANK('Prover Data Entry'!A28),"",IF(NomValUnit="Nominal Volume (L)",VLOOKUP('Prover Data Entry'!A28,MetricVol.Stds,3),VLOOKUP('Prover Data Entry'!A28,CustomaryVol.Stds,3)))</f>
      </c>
      <c r="C37" s="103">
        <f>IF(ISBLANK('Prover Data Entry'!A28),"",IF(NomValUnit="Nominal Volume (L)",VLOOKUP('Prover Data Entry'!A28,MetricVol.Stds,11),VLOOKUP('Prover Data Entry'!A28,CustomaryVol.Stds,11)))</f>
      </c>
      <c r="D37" s="108">
        <f>IF(ISBLANK('Prover Data Entry'!A28),"",IF(NomValUnit="Nominal Volume (L)",VLOOKUP('Prover Data Entry'!A28,MetricVol.Stds,12),VLOOKUP('Prover Data Entry'!A28,CustomaryVol.Stds,12)))</f>
      </c>
      <c r="E37" s="108">
        <f>IF(ISBLANK('Prover Data Entry'!A28),"",IF(NomValUnit="Nominal Volume (L)",VLOOKUP('Prover Data Entry'!A28,MetricVol.Stds,13),VLOOKUP('Prover Data Entry'!A28,CustomaryVol.Stds,13)))</f>
      </c>
    </row>
    <row r="38" spans="1:5" ht="24" customHeight="1">
      <c r="A38" s="68" t="s">
        <v>68</v>
      </c>
      <c r="B38" s="72"/>
      <c r="C38" s="72"/>
      <c r="D38" s="72"/>
      <c r="E38" s="72"/>
    </row>
    <row r="39" spans="1:5" ht="15.75">
      <c r="A39" s="67" t="s">
        <v>8</v>
      </c>
      <c r="B39" s="67" t="s">
        <v>5</v>
      </c>
      <c r="C39" s="67" t="s">
        <v>69</v>
      </c>
      <c r="D39" s="67" t="s">
        <v>70</v>
      </c>
      <c r="E39" s="67" t="s">
        <v>71</v>
      </c>
    </row>
    <row r="40" spans="1:5" ht="15.75">
      <c r="A40" s="81">
        <f>IF(ISBLANK('Prover Data Entry'!D32),"",VLOOKUP('Prover Data Entry'!D32,Temp.Stds,2))</f>
      </c>
      <c r="B40" s="73">
        <f>IF(ISBLANK('Prover Data Entry'!D32),"",VLOOKUP('Prover Data Entry'!D32,Temp.Stds,3))</f>
      </c>
      <c r="C40" s="73">
        <f>IF(ISBLANK('Prover Data Entry'!D32),"",VLOOKUP('Prover Data Entry'!D32,Temp.Stds,8))</f>
      </c>
      <c r="D40" s="74">
        <f>IF(ISBLANK('Prover Data Entry'!D32),"",VLOOKUP('Prover Data Entry'!D32,Temp.Stds,9))</f>
      </c>
      <c r="E40" s="74">
        <f>IF(ISBLANK('Prover Data Entry'!D32),"",VLOOKUP('Prover Data Entry'!D32,Temp.Stds,10))</f>
      </c>
    </row>
    <row r="41" spans="1:5" ht="15.75">
      <c r="A41" s="82">
        <f>IF(ISBLANK('Prover Data Entry'!D33),"",VLOOKUP('Prover Data Entry'!D33,Temp.Stds,2))</f>
      </c>
      <c r="B41" s="70">
        <f>IF(ISBLANK('Prover Data Entry'!D33),"",VLOOKUP('Prover Data Entry'!D33,Temp.Stds,3))</f>
      </c>
      <c r="C41" s="70">
        <f>IF(ISBLANK('Prover Data Entry'!D33),"",VLOOKUP('Prover Data Entry'!D33,Temp.Stds,8))</f>
      </c>
      <c r="D41" s="174">
        <f>IF(ISBLANK('Prover Data Entry'!D33),"",VLOOKUP('Prover Data Entry'!D33,Temp.Stds,9))</f>
      </c>
      <c r="E41" s="174">
        <f>IF(ISBLANK('Prover Data Entry'!D33),"",VLOOKUP('Prover Data Entry'!D33,Temp.Stds,10))</f>
      </c>
    </row>
    <row r="42" spans="1:5" ht="24" customHeight="1" thickBot="1">
      <c r="A42" s="54" t="s">
        <v>90</v>
      </c>
      <c r="B42" s="33"/>
      <c r="C42" s="33"/>
      <c r="D42" s="33"/>
      <c r="E42" s="34"/>
    </row>
    <row r="43" spans="1:5" ht="55.5" customHeight="1">
      <c r="A43" s="378" t="s">
        <v>93</v>
      </c>
      <c r="B43" s="379"/>
      <c r="C43" s="379"/>
      <c r="D43" s="379"/>
      <c r="E43" s="379"/>
    </row>
    <row r="44" spans="1:5" ht="15.75">
      <c r="A44" s="141" t="s">
        <v>73</v>
      </c>
      <c r="B44" s="142"/>
      <c r="C44" s="142"/>
      <c r="D44" s="142"/>
      <c r="E44" s="142"/>
    </row>
    <row r="45" spans="1:5" ht="24" customHeight="1" thickBot="1">
      <c r="A45" s="54" t="s">
        <v>72</v>
      </c>
      <c r="B45" s="33"/>
      <c r="C45" s="33"/>
      <c r="D45" s="33"/>
      <c r="E45" s="34"/>
    </row>
    <row r="46" spans="1:5" ht="68.25" customHeight="1">
      <c r="A46" s="375" t="s">
        <v>274</v>
      </c>
      <c r="B46" s="375"/>
      <c r="C46" s="375"/>
      <c r="D46" s="375"/>
      <c r="E46" s="375"/>
    </row>
    <row r="47" spans="1:5" ht="24" customHeight="1" thickBot="1">
      <c r="A47" s="54" t="s">
        <v>89</v>
      </c>
      <c r="B47" s="33"/>
      <c r="C47" s="33"/>
      <c r="D47" s="33"/>
      <c r="E47" s="34"/>
    </row>
    <row r="48" spans="1:5" ht="81.75" customHeight="1">
      <c r="A48" s="376" t="s">
        <v>139</v>
      </c>
      <c r="B48" s="376"/>
      <c r="C48" s="376"/>
      <c r="D48" s="376"/>
      <c r="E48" s="376"/>
    </row>
    <row r="49" spans="1:5" ht="24" customHeight="1" thickBot="1">
      <c r="A49" s="54" t="s">
        <v>74</v>
      </c>
      <c r="B49" s="33"/>
      <c r="C49" s="33"/>
      <c r="D49" s="33"/>
      <c r="E49" s="34"/>
    </row>
    <row r="50" spans="1:5" ht="54.75" customHeight="1">
      <c r="A50" s="376" t="s">
        <v>268</v>
      </c>
      <c r="B50" s="376"/>
      <c r="C50" s="376"/>
      <c r="D50" s="376"/>
      <c r="E50" s="376"/>
    </row>
    <row r="51" spans="1:5" ht="15.75">
      <c r="A51" s="29"/>
      <c r="B51" s="29"/>
      <c r="C51" s="29"/>
      <c r="D51" s="29"/>
      <c r="E51" s="29"/>
    </row>
    <row r="52" spans="1:5" ht="15.75">
      <c r="A52" s="29"/>
      <c r="B52" s="29"/>
      <c r="C52" s="29"/>
      <c r="D52" s="29"/>
      <c r="E52" s="29"/>
    </row>
    <row r="53" spans="1:5" ht="15.75">
      <c r="A53" s="29"/>
      <c r="B53" s="29"/>
      <c r="C53" s="29"/>
      <c r="D53" s="29"/>
      <c r="E53" s="29"/>
    </row>
    <row r="54" spans="1:5" ht="15.75">
      <c r="A54" s="69"/>
      <c r="B54" s="29"/>
      <c r="C54" s="29"/>
      <c r="D54" s="29"/>
      <c r="E54" s="29"/>
    </row>
    <row r="55" spans="1:5" ht="23.25" customHeight="1">
      <c r="A55" s="69" t="s">
        <v>273</v>
      </c>
      <c r="B55" s="29"/>
      <c r="C55" s="29"/>
      <c r="D55" s="29"/>
      <c r="E55" s="29"/>
    </row>
    <row r="56" spans="1:5" ht="15.75">
      <c r="A56" s="29"/>
      <c r="B56" s="29"/>
      <c r="C56" s="29"/>
      <c r="D56" s="29"/>
      <c r="E56" s="29"/>
    </row>
    <row r="57" spans="1:5" ht="15.75">
      <c r="A57" s="29"/>
      <c r="B57" s="29"/>
      <c r="C57" s="29"/>
      <c r="D57" s="29"/>
      <c r="E57" s="29"/>
    </row>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selectLockedCells="1" selectUnlockedCells="1"/>
  <mergeCells count="14">
    <mergeCell ref="A46:E46"/>
    <mergeCell ref="A48:E48"/>
    <mergeCell ref="A50:E50"/>
    <mergeCell ref="A30:E30"/>
    <mergeCell ref="A43:E43"/>
    <mergeCell ref="E3:E4"/>
    <mergeCell ref="A14:C17"/>
    <mergeCell ref="A26:E26"/>
    <mergeCell ref="A27:E27"/>
    <mergeCell ref="A25:E25"/>
    <mergeCell ref="D16:E16"/>
    <mergeCell ref="A24:E24"/>
    <mergeCell ref="A22:E22"/>
    <mergeCell ref="A23:E23"/>
  </mergeCells>
  <conditionalFormatting sqref="C20">
    <cfRule type="expression" priority="1" dxfId="0" stopIfTrue="1">
      <formula>ABS($C$20-Nom_Val)&gt;ABS($D$20-$E$20)</formula>
    </cfRule>
  </conditionalFormatting>
  <conditionalFormatting sqref="B20">
    <cfRule type="expression" priority="2" dxfId="0" stopIfTrue="1">
      <formula>ABS($B$20-Nom_Val)&gt;ABS($D$20-$E$20)</formula>
    </cfRule>
  </conditionalFormatting>
  <printOptions/>
  <pageMargins left="0.6" right="0.5" top="0.5" bottom="0.75" header="0.5" footer="0.5"/>
  <pageSetup horizontalDpi="600" verticalDpi="600" orientation="portrait" scale="98" r:id="rId2"/>
  <headerFooter alignWithMargins="0">
    <oddFooter>&amp;L&amp;"Times New Roman,Regular"WAMRF-002, Rev. 03, 6/28/2005&amp;R&amp;"Times New Roman,Regular"Page &amp;P of &amp;N</oddFooter>
  </headerFooter>
  <drawing r:id="rId1"/>
</worksheet>
</file>

<file path=xl/worksheets/sheet3.xml><?xml version="1.0" encoding="utf-8"?>
<worksheet xmlns="http://schemas.openxmlformats.org/spreadsheetml/2006/main" xmlns:r="http://schemas.openxmlformats.org/officeDocument/2006/relationships">
  <sheetPr>
    <tabColor indexed="17"/>
  </sheetPr>
  <dimension ref="A1:K96"/>
  <sheetViews>
    <sheetView showGridLines="0" tabSelected="1" workbookViewId="0" topLeftCell="A1">
      <selection activeCell="I1" sqref="I1:J1"/>
    </sheetView>
  </sheetViews>
  <sheetFormatPr defaultColWidth="8.88671875" defaultRowHeight="15.75" zeroHeight="1"/>
  <cols>
    <col min="1" max="10" width="8.77734375" style="182" customWidth="1"/>
    <col min="11" max="11" width="1.99609375" style="182" customWidth="1"/>
    <col min="12" max="12" width="18.88671875" style="182" hidden="1" customWidth="1"/>
    <col min="13" max="13" width="8.21484375" style="182" hidden="1" customWidth="1"/>
    <col min="14" max="14" width="2.77734375" style="182" hidden="1" customWidth="1"/>
    <col min="15" max="15" width="14.21484375" style="182" hidden="1" customWidth="1"/>
    <col min="16" max="18" width="0" style="182" hidden="1" customWidth="1"/>
    <col min="19" max="19" width="13.99609375" style="182" hidden="1" customWidth="1"/>
    <col min="20" max="16384" width="0" style="182" hidden="1" customWidth="1"/>
  </cols>
  <sheetData>
    <row r="1" spans="1:10" ht="19.5" thickBot="1">
      <c r="A1" s="179" t="s">
        <v>112</v>
      </c>
      <c r="B1" s="180"/>
      <c r="C1" s="180"/>
      <c r="D1" s="180"/>
      <c r="E1" s="180"/>
      <c r="F1" s="180"/>
      <c r="G1" s="180"/>
      <c r="H1" s="181" t="s">
        <v>129</v>
      </c>
      <c r="I1" s="398"/>
      <c r="J1" s="399"/>
    </row>
    <row r="2" spans="1:11" ht="12" customHeight="1">
      <c r="A2" s="183"/>
      <c r="B2" s="183"/>
      <c r="C2" s="183"/>
      <c r="D2" s="184"/>
      <c r="E2" s="184"/>
      <c r="F2" s="184"/>
      <c r="G2" s="184"/>
      <c r="H2" s="183"/>
      <c r="I2" s="183"/>
      <c r="J2" s="183"/>
      <c r="K2" s="183"/>
    </row>
    <row r="3" spans="1:11" ht="15.75" customHeight="1" thickBot="1">
      <c r="A3" s="65" t="s">
        <v>0</v>
      </c>
      <c r="B3" s="85"/>
      <c r="C3" s="85"/>
      <c r="D3" s="85"/>
      <c r="E3" s="85"/>
      <c r="F3" s="85"/>
      <c r="G3" s="85"/>
      <c r="H3" s="85"/>
      <c r="I3" s="85"/>
      <c r="J3" s="85"/>
      <c r="K3" s="183"/>
    </row>
    <row r="4" spans="1:11" ht="15.75" customHeight="1">
      <c r="A4" s="417" t="s">
        <v>62</v>
      </c>
      <c r="B4" s="418"/>
      <c r="C4" s="423"/>
      <c r="D4" s="424"/>
      <c r="E4" s="424"/>
      <c r="F4" s="424"/>
      <c r="G4" s="424"/>
      <c r="H4" s="191" t="s">
        <v>3</v>
      </c>
      <c r="I4" s="426"/>
      <c r="J4" s="426"/>
      <c r="K4" s="183"/>
    </row>
    <row r="5" spans="1:11" ht="15.75" customHeight="1">
      <c r="A5" s="419"/>
      <c r="B5" s="420"/>
      <c r="C5" s="425"/>
      <c r="D5" s="425"/>
      <c r="E5" s="425"/>
      <c r="F5" s="425"/>
      <c r="G5" s="425"/>
      <c r="H5" s="192" t="s">
        <v>1</v>
      </c>
      <c r="I5" s="403"/>
      <c r="J5" s="391"/>
      <c r="K5" s="183"/>
    </row>
    <row r="6" spans="1:11" ht="15.75" customHeight="1">
      <c r="A6" s="419"/>
      <c r="B6" s="420"/>
      <c r="C6" s="425"/>
      <c r="D6" s="425"/>
      <c r="E6" s="425"/>
      <c r="F6" s="425"/>
      <c r="G6" s="425"/>
      <c r="H6" s="192" t="s">
        <v>2</v>
      </c>
      <c r="I6" s="402"/>
      <c r="J6" s="402"/>
      <c r="K6" s="183"/>
    </row>
    <row r="7" spans="1:11" ht="15.75" customHeight="1">
      <c r="A7" s="421"/>
      <c r="B7" s="422"/>
      <c r="C7" s="425"/>
      <c r="D7" s="425"/>
      <c r="E7" s="425"/>
      <c r="F7" s="425"/>
      <c r="G7" s="425"/>
      <c r="H7" s="185"/>
      <c r="I7" s="185"/>
      <c r="J7" s="185"/>
      <c r="K7" s="183"/>
    </row>
    <row r="8" spans="1:11" ht="12" customHeight="1">
      <c r="A8" s="186"/>
      <c r="B8" s="186"/>
      <c r="C8" s="186"/>
      <c r="D8" s="186"/>
      <c r="E8" s="186"/>
      <c r="F8" s="186"/>
      <c r="G8" s="186"/>
      <c r="H8" s="186"/>
      <c r="I8" s="186"/>
      <c r="J8" s="186"/>
      <c r="K8" s="183"/>
    </row>
    <row r="9" spans="1:11" ht="15.75" customHeight="1" thickBot="1">
      <c r="A9" s="65" t="s">
        <v>61</v>
      </c>
      <c r="B9" s="85"/>
      <c r="C9" s="85"/>
      <c r="D9" s="85"/>
      <c r="E9" s="85"/>
      <c r="F9" s="85"/>
      <c r="G9" s="85"/>
      <c r="H9" s="85"/>
      <c r="I9" s="85"/>
      <c r="J9" s="85"/>
      <c r="K9" s="183"/>
    </row>
    <row r="10" spans="1:11" ht="15.75" customHeight="1">
      <c r="A10" s="427" t="s">
        <v>8</v>
      </c>
      <c r="B10" s="428"/>
      <c r="C10" s="449"/>
      <c r="D10" s="450"/>
      <c r="E10" s="450"/>
      <c r="F10" s="451"/>
      <c r="G10" s="400" t="s">
        <v>114</v>
      </c>
      <c r="H10" s="401"/>
      <c r="I10" s="429"/>
      <c r="J10" s="430"/>
      <c r="K10" s="183"/>
    </row>
    <row r="11" spans="1:11" ht="15.75">
      <c r="A11" s="388" t="s">
        <v>4</v>
      </c>
      <c r="B11" s="389"/>
      <c r="C11" s="406"/>
      <c r="D11" s="435"/>
      <c r="E11" s="435"/>
      <c r="F11" s="412"/>
      <c r="G11" s="413" t="s">
        <v>140</v>
      </c>
      <c r="H11" s="431"/>
      <c r="I11" s="432"/>
      <c r="J11" s="178"/>
      <c r="K11" s="183"/>
    </row>
    <row r="12" spans="1:11" ht="15.75">
      <c r="A12" s="388" t="s">
        <v>5</v>
      </c>
      <c r="B12" s="388"/>
      <c r="C12" s="406"/>
      <c r="D12" s="435"/>
      <c r="E12" s="435"/>
      <c r="F12" s="412"/>
      <c r="G12" s="414" t="s">
        <v>100</v>
      </c>
      <c r="H12" s="433"/>
      <c r="I12" s="434"/>
      <c r="J12" s="177"/>
      <c r="K12" s="183"/>
    </row>
    <row r="13" spans="1:11" ht="15.75">
      <c r="A13" s="388" t="s">
        <v>17</v>
      </c>
      <c r="B13" s="388"/>
      <c r="C13" s="406"/>
      <c r="D13" s="411"/>
      <c r="E13" s="411"/>
      <c r="F13" s="412"/>
      <c r="G13" s="404" t="str">
        <f>IF(RefTempUnit="Designated Reference Temperature For This Calibration (ºC)","CCE (β) (/ ºC) =","CCE (β) (/ ºF) =")</f>
        <v>CCE (β) (/ ºF) =</v>
      </c>
      <c r="H13" s="405"/>
      <c r="I13" s="408">
        <f>IF(ISBLANK(Material),"",IF(RefTempUnit="Designated Reference Temperature For This Calibration (ºC)",VLOOKUP(Material,CCE.Table,2)*1.8,VLOOKUP(Material,CCE.Table,2)))</f>
      </c>
      <c r="J13" s="409"/>
      <c r="K13" s="183"/>
    </row>
    <row r="14" spans="1:11" ht="15.75">
      <c r="A14" s="388" t="s">
        <v>64</v>
      </c>
      <c r="B14" s="388"/>
      <c r="C14" s="384"/>
      <c r="D14" s="410"/>
      <c r="E14" s="410"/>
      <c r="F14" s="410"/>
      <c r="G14" s="410"/>
      <c r="H14" s="410"/>
      <c r="I14" s="410"/>
      <c r="J14" s="385"/>
      <c r="K14" s="183"/>
    </row>
    <row r="15" spans="1:11" ht="15.75">
      <c r="A15" s="388" t="s">
        <v>249</v>
      </c>
      <c r="B15" s="388"/>
      <c r="C15" s="391"/>
      <c r="D15" s="391"/>
      <c r="E15" s="391"/>
      <c r="F15" s="416" t="s">
        <v>254</v>
      </c>
      <c r="G15" s="416"/>
      <c r="H15" s="416"/>
      <c r="I15" s="380"/>
      <c r="J15" s="381"/>
      <c r="K15" s="183"/>
    </row>
    <row r="16" spans="1:11" ht="15.75">
      <c r="A16" s="413" t="s">
        <v>242</v>
      </c>
      <c r="B16" s="414"/>
      <c r="C16" s="414"/>
      <c r="D16" s="414"/>
      <c r="E16" s="414"/>
      <c r="F16" s="414"/>
      <c r="G16" s="414"/>
      <c r="H16" s="415"/>
      <c r="I16" s="406"/>
      <c r="J16" s="407"/>
      <c r="K16" s="183"/>
    </row>
    <row r="17" spans="1:11" ht="15.75">
      <c r="A17" s="413" t="s">
        <v>137</v>
      </c>
      <c r="B17" s="457"/>
      <c r="C17" s="458"/>
      <c r="D17" s="406"/>
      <c r="E17" s="411"/>
      <c r="F17" s="454" t="s">
        <v>126</v>
      </c>
      <c r="G17" s="455"/>
      <c r="H17" s="456"/>
      <c r="I17" s="406"/>
      <c r="J17" s="407"/>
      <c r="K17" s="183"/>
    </row>
    <row r="18" spans="1:11" ht="15.75">
      <c r="A18" s="392" t="str">
        <f>IF(NomValUnit="Nominal Volume (gal)","Accredited (e.g. NVLAP, A2LA, etc.) Best Uncertainty for this Calibration (gal)","Accredited (e.g. NVLAP, A2LA, etc.) Best Uncertainty for this Calibration (L)")</f>
        <v>Accredited (e.g. NVLAP, A2LA, etc.) Best Uncertainty for this Calibration (gal)</v>
      </c>
      <c r="B18" s="392"/>
      <c r="C18" s="392"/>
      <c r="D18" s="392"/>
      <c r="E18" s="392"/>
      <c r="F18" s="392"/>
      <c r="G18" s="392"/>
      <c r="H18" s="393"/>
      <c r="I18" s="384"/>
      <c r="J18" s="385"/>
      <c r="K18" s="183"/>
    </row>
    <row r="19" spans="1:11" ht="15" customHeight="1">
      <c r="A19" s="459" t="s">
        <v>60</v>
      </c>
      <c r="B19" s="460"/>
      <c r="C19" s="460"/>
      <c r="D19" s="460"/>
      <c r="E19" s="461"/>
      <c r="F19" s="199"/>
      <c r="G19" s="436" t="s">
        <v>63</v>
      </c>
      <c r="H19" s="437"/>
      <c r="I19" s="438"/>
      <c r="J19" s="200"/>
      <c r="K19" s="183"/>
    </row>
    <row r="20" spans="1:11" ht="15.75" customHeight="1">
      <c r="A20" s="388" t="s">
        <v>55</v>
      </c>
      <c r="B20" s="388"/>
      <c r="C20" s="388"/>
      <c r="D20" s="395"/>
      <c r="E20" s="395"/>
      <c r="F20" s="388" t="s">
        <v>20</v>
      </c>
      <c r="G20" s="389"/>
      <c r="H20" s="390"/>
      <c r="I20" s="391"/>
      <c r="J20" s="391"/>
      <c r="K20" s="183"/>
    </row>
    <row r="21" spans="1:11" ht="12" customHeight="1">
      <c r="A21" s="183"/>
      <c r="B21" s="183"/>
      <c r="C21" s="183"/>
      <c r="D21" s="183"/>
      <c r="E21" s="183"/>
      <c r="F21" s="183"/>
      <c r="G21" s="183"/>
      <c r="H21" s="183"/>
      <c r="I21" s="183"/>
      <c r="J21" s="183"/>
      <c r="K21" s="183"/>
    </row>
    <row r="22" spans="1:11" ht="15.75" customHeight="1" thickBot="1">
      <c r="A22" s="65" t="s">
        <v>66</v>
      </c>
      <c r="B22" s="85"/>
      <c r="C22" s="85"/>
      <c r="D22" s="85"/>
      <c r="E22" s="85"/>
      <c r="F22" s="85"/>
      <c r="G22" s="85"/>
      <c r="H22" s="85"/>
      <c r="I22" s="85"/>
      <c r="J22" s="85"/>
      <c r="K22" s="183"/>
    </row>
    <row r="23" spans="1:11" ht="15.75" customHeight="1">
      <c r="A23" s="365" t="s">
        <v>122</v>
      </c>
      <c r="B23" s="364"/>
      <c r="C23" s="364"/>
      <c r="D23" s="364"/>
      <c r="E23" s="364"/>
      <c r="F23" s="364"/>
      <c r="G23" s="364"/>
      <c r="H23" s="364"/>
      <c r="I23" s="364"/>
      <c r="J23" s="361"/>
      <c r="K23" s="183"/>
    </row>
    <row r="24" spans="1:11" ht="46.5" customHeight="1">
      <c r="A24" s="175" t="s">
        <v>7</v>
      </c>
      <c r="B24" s="394" t="s">
        <v>8</v>
      </c>
      <c r="C24" s="366"/>
      <c r="D24" s="213" t="str">
        <f>IF(NomValUnit="Nominal Volume (L)","Volume (Vs @ trefs) 
(L)","Volume (Vs @ trefs) 
(gal)")</f>
        <v>Volume (Vs @ trefs) 
(gal)</v>
      </c>
      <c r="E24" s="234" t="str">
        <f>IF(NomValUnit="Nominal Volume (L)","Scale
Graduations
(L)","Scale
Graduations 
(gal)")</f>
        <v>Scale
Graduations 
(gal)</v>
      </c>
      <c r="F24" s="176" t="s">
        <v>34</v>
      </c>
      <c r="G24" s="362" t="str">
        <f>IF(RefTempUnit="Designated Reference Temperature For This Calibration (ºC)","Cubical Coefficient of Expansion (α)
(/ ºC)","Cubical Coefficient of Expansion (α)
(/ ºF)")</f>
        <v>Cubical Coefficient of Expansion (α)
(/ ºF)</v>
      </c>
      <c r="H24" s="363"/>
      <c r="I24" s="213" t="str">
        <f>IF(NomValUnit="Nominal Volume (L)","Unc
(L)","Unc
(gal)")</f>
        <v>Unc
(gal)</v>
      </c>
      <c r="J24" s="214" t="s">
        <v>6</v>
      </c>
      <c r="K24" s="187"/>
    </row>
    <row r="25" spans="1:11" ht="15.75" customHeight="1">
      <c r="A25" s="258"/>
      <c r="B25" s="386">
        <f>IF(A25="","",IF(NomValUnit="Nominal Volume (L)",VLOOKUP(A25,MetricVol.Stds,2,FALSE),VLOOKUP(A25,CustomaryVol.Stds,2,FALSE)))</f>
      </c>
      <c r="C25" s="387"/>
      <c r="D25" s="232">
        <f>IF(A25="",0,IF(NomValUnit="Nominal Volume (L)",VLOOKUP(A25,MetricVol.Stds,4,FALSE),VLOOKUP(A25,CustomaryVol.Stds,4,FALSE)))</f>
        <v>0</v>
      </c>
      <c r="E25" s="260">
        <f>IF(B25="",0,IF(NomValUnit="Nominal Volume (L)",VLOOKUP(A25,MetricVol.Stds,6,FALSE)/1000,VLOOKUP(A25,CustomaryVol.Stds,6,FALSE)/231))</f>
        <v>0</v>
      </c>
      <c r="F25" s="336"/>
      <c r="G25" s="396">
        <f>IF(A25="",0,IF(AND(RefTempUnit="Designated Reference Temperature For This Calibration (ºC)",NomValUnit="Nominal Volume (L)"),VLOOKUP(A25,MetricVol.Stds,8,FALSE)*1.8,IF(AND(RefTempUnit="Designated Reference Temperature For This Calibration (ºF)",NomValUnit="Nominal Volume (L)"),VLOOKUP(A25,MetricVol.Stds,8,FALSE),IF(AND(RefTempUnit="Designated Reference Temperature For This Calibration (ºC)",NomValUnit="Nominal Volume (gal)"),VLOOKUP(A25,CustomaryVol.Stds,8,FALSE)*1.8,VLOOKUP(A25,CustomaryVol.Stds,8,FALSE)))))</f>
        <v>0</v>
      </c>
      <c r="H25" s="397"/>
      <c r="I25" s="337">
        <f>IF(A25="",0,IF(NomValUnit="Nominal Volume (L)",VLOOKUP(A25,MetricVol.Stds,9,FALSE),VLOOKUP(A25,CustomaryVol.Stds,9,FALSE)))</f>
        <v>0</v>
      </c>
      <c r="J25" s="338">
        <f>IF(A25="",1,IF(NomValUnit="Nominal Volume (L)",VLOOKUP(A25,MetricVol.Stds,10,FALSE),VLOOKUP(A25,CustomaryVol.Stds,10,FALSE)))</f>
        <v>1</v>
      </c>
      <c r="K25" s="187"/>
    </row>
    <row r="26" spans="1:11" ht="15.75">
      <c r="A26" s="258"/>
      <c r="B26" s="382">
        <f>IF(A26="","",IF(NomValUnit="Nominal Volume (L)",VLOOKUP(A26,MetricVol.Stds,2,FALSE),VLOOKUP(A26,CustomaryVol.Stds,2,FALSE)))</f>
      </c>
      <c r="C26" s="383"/>
      <c r="D26" s="233">
        <f>IF(A26="",0,IF(NomValUnit="Nominal Volume (L)",VLOOKUP(A26,MetricVol.Stds,4,FALSE),VLOOKUP(A26,CustomaryVol.Stds,4,FALSE)))</f>
        <v>0</v>
      </c>
      <c r="E26" s="261">
        <f>IF(B26="",0,IF(NomValUnit="Nominal Volume (L)",VLOOKUP(A26,MetricVol.Stds,6,FALSE)/1000,VLOOKUP(A26,CustomaryVol.Stds,6,FALSE)/231))</f>
        <v>0</v>
      </c>
      <c r="F26" s="259"/>
      <c r="G26" s="452">
        <f>IF(A26="",0,IF(AND(RefTempUnit="Designated Reference Temperature For This Calibration (ºC)",NomValUnit="Nominal Volume (L)"),VLOOKUP(A26,MetricVol.Stds,8,FALSE)*1.8,IF(AND(RefTempUnit="Designated Reference Temperature For This Calibration (ºF)",NomValUnit="Nominal Volume (L)"),VLOOKUP(A26,MetricVol.Stds,8,FALSE),IF(AND(RefTempUnit="Designated Reference Temperature For This Calibration (ºC)",NomValUnit="Nominal Volume (gal)"),VLOOKUP(A26,CustomaryVol.Stds,8,FALSE)*1.8,VLOOKUP(A26,CustomaryVol.Stds,8,FALSE)))))</f>
        <v>0</v>
      </c>
      <c r="H26" s="453"/>
      <c r="I26" s="339">
        <f>IF(A26="",0,IF(NomValUnit="Nominal Volume (L)",VLOOKUP(A26,MetricVol.Stds,9,FALSE),VLOOKUP(A26,CustomaryVol.Stds,9,FALSE)))</f>
        <v>0</v>
      </c>
      <c r="J26" s="340">
        <f>IF(A26="",1,IF(NomValUnit="Nominal Volume (L)",VLOOKUP(A26,MetricVol.Stds,10,FALSE),VLOOKUP(A26,CustomaryVol.Stds,10,FALSE)))</f>
        <v>1</v>
      </c>
      <c r="K26" s="187"/>
    </row>
    <row r="27" spans="1:11" ht="15.75" customHeight="1">
      <c r="A27" s="258"/>
      <c r="B27" s="382">
        <f>IF(A27="","",IF(NomValUnit="Nominal Volume (L)",VLOOKUP(A27,MetricVol.Stds,2,FALSE),VLOOKUP(A27,CustomaryVol.Stds,2,FALSE)))</f>
      </c>
      <c r="C27" s="383"/>
      <c r="D27" s="233">
        <f>IF(A27="",0,IF(NomValUnit="Nominal Volume (L)",VLOOKUP(A27,MetricVol.Stds,4,FALSE),VLOOKUP(A27,CustomaryVol.Stds,4,FALSE)))</f>
        <v>0</v>
      </c>
      <c r="E27" s="261">
        <f>IF(B27="",0,IF(NomValUnit="Nominal Volume (L)",VLOOKUP(A27,MetricVol.Stds,6,FALSE)/1000,VLOOKUP(A27,CustomaryVol.Stds,6,FALSE)/231))</f>
        <v>0</v>
      </c>
      <c r="F27" s="259"/>
      <c r="G27" s="452">
        <f>IF(A27="",0,IF(AND(RefTempUnit="Designated Reference Temperature For This Calibration (ºC)",NomValUnit="Nominal Volume (L)"),VLOOKUP(A27,MetricVol.Stds,8,FALSE)*1.8,IF(AND(RefTempUnit="Designated Reference Temperature For This Calibration (ºF)",NomValUnit="Nominal Volume (L)"),VLOOKUP(A27,MetricVol.Stds,8,FALSE),IF(AND(RefTempUnit="Designated Reference Temperature For This Calibration (ºC)",NomValUnit="Nominal Volume (gal)"),VLOOKUP(A27,CustomaryVol.Stds,8,FALSE)*1.8,VLOOKUP(A27,CustomaryVol.Stds,8,FALSE)))))</f>
        <v>0</v>
      </c>
      <c r="H27" s="453"/>
      <c r="I27" s="339">
        <f>IF(A27="",0,IF(NomValUnit="Nominal Volume (L)",VLOOKUP(A27,MetricVol.Stds,9,FALSE),VLOOKUP(A27,CustomaryVol.Stds,9,FALSE)))</f>
        <v>0</v>
      </c>
      <c r="J27" s="340">
        <f>IF(A27="",1,IF(NomValUnit="Nominal Volume (L)",VLOOKUP(A27,MetricVol.Stds,10,FALSE),VLOOKUP(A27,CustomaryVol.Stds,10,FALSE)))</f>
        <v>1</v>
      </c>
      <c r="K27" s="183"/>
    </row>
    <row r="28" spans="1:11" ht="15.75" customHeight="1">
      <c r="A28" s="258"/>
      <c r="B28" s="382">
        <f>IF(A28="","",IF(NomValUnit="Nominal Volume (L)",VLOOKUP(A28,MetricVol.Stds,2,FALSE),VLOOKUP(A28,CustomaryVol.Stds,2,FALSE)))</f>
      </c>
      <c r="C28" s="383"/>
      <c r="D28" s="233">
        <f>IF(A28="",0,IF(NomValUnit="Nominal Volume (L)",VLOOKUP(A28,MetricVol.Stds,4,FALSE),VLOOKUP(A28,CustomaryVol.Stds,4,FALSE)))</f>
        <v>0</v>
      </c>
      <c r="E28" s="261">
        <f>IF(B28="",0,IF(NomValUnit="Nominal Volume (L)",VLOOKUP(A28,MetricVol.Stds,6,FALSE)/1000,VLOOKUP(A28,CustomaryVol.Stds,6,FALSE)/231))</f>
        <v>0</v>
      </c>
      <c r="F28" s="259"/>
      <c r="G28" s="452">
        <f>IF(A28="",0,IF(AND(RefTempUnit="Designated Reference Temperature For This Calibration (ºC)",NomValUnit="Nominal Volume (L)"),VLOOKUP(A28,MetricVol.Stds,8,FALSE)*1.8,IF(AND(RefTempUnit="Designated Reference Temperature For This Calibration (ºF)",NomValUnit="Nominal Volume (L)"),VLOOKUP(A28,MetricVol.Stds,8,FALSE),IF(AND(RefTempUnit="Designated Reference Temperature For This Calibration (ºC)",NomValUnit="Nominal Volume (gal)"),VLOOKUP(A28,CustomaryVol.Stds,8,FALSE)*1.8,VLOOKUP(A28,CustomaryVol.Stds,8,FALSE)))))</f>
        <v>0</v>
      </c>
      <c r="H28" s="453"/>
      <c r="I28" s="339">
        <f>IF(A28="",0,IF(NomValUnit="Nominal Volume (L)",VLOOKUP(A28,MetricVol.Stds,9,FALSE),VLOOKUP(A28,CustomaryVol.Stds,9,FALSE)))</f>
        <v>0</v>
      </c>
      <c r="J28" s="340">
        <f>IF(A28="",1,IF(NomValUnit="Nominal Volume (L)",VLOOKUP(A28,MetricVol.Stds,10,FALSE),VLOOKUP(A28,CustomaryVol.Stds,10,FALSE)))</f>
        <v>1</v>
      </c>
      <c r="K28" s="183"/>
    </row>
    <row r="29" spans="1:11" ht="12" customHeight="1">
      <c r="A29" s="188"/>
      <c r="B29" s="188"/>
      <c r="C29" s="188"/>
      <c r="D29" s="188"/>
      <c r="E29" s="188"/>
      <c r="F29" s="188"/>
      <c r="G29" s="188"/>
      <c r="H29" s="188"/>
      <c r="I29" s="188"/>
      <c r="J29" s="188"/>
      <c r="K29" s="183"/>
    </row>
    <row r="30" spans="1:11" ht="15.75" customHeight="1" thickBot="1">
      <c r="A30" s="65" t="s">
        <v>65</v>
      </c>
      <c r="B30" s="85"/>
      <c r="C30" s="85"/>
      <c r="D30" s="85"/>
      <c r="E30" s="85"/>
      <c r="F30" s="85"/>
      <c r="G30" s="257"/>
      <c r="H30" s="257"/>
      <c r="I30" s="257"/>
      <c r="J30" s="257"/>
      <c r="K30" s="189"/>
    </row>
    <row r="31" spans="1:11" ht="45" customHeight="1">
      <c r="A31" s="394" t="s">
        <v>121</v>
      </c>
      <c r="B31" s="366"/>
      <c r="C31" s="366"/>
      <c r="D31" s="493"/>
      <c r="E31" s="494" t="s">
        <v>120</v>
      </c>
      <c r="F31" s="494"/>
      <c r="G31" s="494" t="s">
        <v>116</v>
      </c>
      <c r="H31" s="494"/>
      <c r="I31" s="445" t="s">
        <v>122</v>
      </c>
      <c r="J31" s="446"/>
      <c r="K31" s="189"/>
    </row>
    <row r="32" spans="1:11" ht="15.75" customHeight="1">
      <c r="A32" s="495" t="s">
        <v>123</v>
      </c>
      <c r="B32" s="495"/>
      <c r="C32" s="495"/>
      <c r="D32" s="170"/>
      <c r="E32" s="462">
        <f>IF(ISBLANK(D32),"",VLOOKUP(D32,Temp.Stds,4,FALSE))</f>
      </c>
      <c r="F32" s="462"/>
      <c r="G32" s="462">
        <f>IF(ISBLANK(D32),"",VLOOKUP(D32,Temp.Stds,5,FALSE))</f>
      </c>
      <c r="H32" s="462"/>
      <c r="I32" s="445"/>
      <c r="J32" s="446"/>
      <c r="K32" s="189"/>
    </row>
    <row r="33" spans="1:11" ht="15.75" customHeight="1">
      <c r="A33" s="389" t="s">
        <v>156</v>
      </c>
      <c r="B33" s="389"/>
      <c r="C33" s="389"/>
      <c r="D33" s="170"/>
      <c r="E33" s="466">
        <f>IF(ISBLANK(D33),"",VLOOKUP(D33,Temp.Stds,4,FALSE))</f>
      </c>
      <c r="F33" s="466"/>
      <c r="G33" s="466">
        <f>IF(ISBLANK(D33),"",VLOOKUP(D33,Temp.Stds,5,FALSE))</f>
      </c>
      <c r="H33" s="466"/>
      <c r="I33" s="447"/>
      <c r="J33" s="448"/>
      <c r="K33" s="189"/>
    </row>
    <row r="34" ht="12" customHeight="1">
      <c r="K34" s="189"/>
    </row>
    <row r="35" spans="1:11" ht="15.75" customHeight="1" thickBot="1">
      <c r="A35" s="467" t="s">
        <v>21</v>
      </c>
      <c r="B35" s="467"/>
      <c r="C35" s="467"/>
      <c r="D35" s="467"/>
      <c r="E35" s="467"/>
      <c r="F35" s="467"/>
      <c r="G35" s="467"/>
      <c r="H35" s="467"/>
      <c r="I35" s="467"/>
      <c r="J35" s="467"/>
      <c r="K35" s="188"/>
    </row>
    <row r="36" spans="1:11" ht="15.75" customHeight="1">
      <c r="A36" s="463" t="str">
        <f>"Note: If not previously performed complete "&amp;Description&amp;" Neck Scale Plate Verification (NSCV Data Entry tab)"</f>
        <v>Note: If not previously performed complete  Neck Scale Plate Verification (NSCV Data Entry tab)</v>
      </c>
      <c r="B36" s="464"/>
      <c r="C36" s="464"/>
      <c r="D36" s="464"/>
      <c r="E36" s="464"/>
      <c r="F36" s="464"/>
      <c r="G36" s="464"/>
      <c r="H36" s="464"/>
      <c r="I36" s="464"/>
      <c r="J36" s="465"/>
      <c r="K36" s="188"/>
    </row>
    <row r="37" spans="1:11" ht="15.75" customHeight="1">
      <c r="A37" s="389" t="s">
        <v>45</v>
      </c>
      <c r="B37" s="389"/>
      <c r="C37" s="389"/>
      <c r="D37" s="389"/>
      <c r="E37" s="441"/>
      <c r="F37" s="441"/>
      <c r="G37" s="496" t="s">
        <v>124</v>
      </c>
      <c r="H37" s="496"/>
      <c r="I37" s="496"/>
      <c r="J37" s="496"/>
      <c r="K37" s="188"/>
    </row>
    <row r="38" spans="1:11" ht="30" customHeight="1">
      <c r="A38" s="442" t="s">
        <v>125</v>
      </c>
      <c r="B38" s="443"/>
      <c r="C38" s="443"/>
      <c r="D38" s="443"/>
      <c r="E38" s="443"/>
      <c r="F38" s="443"/>
      <c r="G38" s="443"/>
      <c r="H38" s="443"/>
      <c r="I38" s="443"/>
      <c r="J38" s="444"/>
      <c r="K38" s="188"/>
    </row>
    <row r="39" spans="1:11" ht="45" customHeight="1">
      <c r="A39" s="490" t="s">
        <v>87</v>
      </c>
      <c r="B39" s="491"/>
      <c r="C39" s="491"/>
      <c r="D39" s="491"/>
      <c r="E39" s="491"/>
      <c r="F39" s="491"/>
      <c r="G39" s="491"/>
      <c r="H39" s="491"/>
      <c r="I39" s="491"/>
      <c r="J39" s="492"/>
      <c r="K39" s="188"/>
    </row>
    <row r="40" spans="1:11" ht="12" customHeight="1">
      <c r="A40" s="188"/>
      <c r="B40" s="188"/>
      <c r="C40" s="188"/>
      <c r="D40" s="188"/>
      <c r="E40" s="188"/>
      <c r="F40" s="188"/>
      <c r="G40" s="188"/>
      <c r="H40" s="188"/>
      <c r="I40" s="188"/>
      <c r="J40" s="188"/>
      <c r="K40" s="188"/>
    </row>
    <row r="41" spans="1:11" ht="15.75" customHeight="1" thickBot="1">
      <c r="A41" s="65" t="s">
        <v>19</v>
      </c>
      <c r="B41" s="85"/>
      <c r="C41" s="85"/>
      <c r="D41" s="85"/>
      <c r="E41" s="85"/>
      <c r="F41" s="85"/>
      <c r="G41" s="85"/>
      <c r="H41" s="85"/>
      <c r="I41" s="85"/>
      <c r="J41" s="85"/>
      <c r="K41" s="183"/>
    </row>
    <row r="42" spans="1:11" ht="15.75" customHeight="1">
      <c r="A42" s="388" t="s">
        <v>94</v>
      </c>
      <c r="B42" s="389"/>
      <c r="C42" s="474"/>
      <c r="D42" s="475"/>
      <c r="E42" s="475"/>
      <c r="F42" s="388" t="s">
        <v>18</v>
      </c>
      <c r="G42" s="389"/>
      <c r="H42" s="474"/>
      <c r="I42" s="475"/>
      <c r="J42" s="475"/>
      <c r="K42" s="183"/>
    </row>
    <row r="43" spans="1:11" ht="12" customHeight="1">
      <c r="A43" s="188"/>
      <c r="B43" s="188"/>
      <c r="C43" s="188"/>
      <c r="D43" s="188"/>
      <c r="E43" s="188"/>
      <c r="F43" s="188"/>
      <c r="G43" s="188"/>
      <c r="H43" s="188"/>
      <c r="I43" s="188"/>
      <c r="J43" s="188"/>
      <c r="K43" s="188"/>
    </row>
    <row r="44" spans="1:11" ht="15.75" customHeight="1" thickBot="1">
      <c r="A44" s="65" t="s">
        <v>27</v>
      </c>
      <c r="B44" s="85"/>
      <c r="C44" s="85"/>
      <c r="D44" s="85"/>
      <c r="E44" s="85"/>
      <c r="F44" s="85"/>
      <c r="G44" s="85"/>
      <c r="H44" s="85"/>
      <c r="I44" s="85"/>
      <c r="J44" s="85"/>
      <c r="K44" s="183"/>
    </row>
    <row r="45" spans="1:11" ht="15.75" customHeight="1">
      <c r="A45" s="477" t="s">
        <v>24</v>
      </c>
      <c r="B45" s="472"/>
      <c r="C45" s="472"/>
      <c r="D45" s="472"/>
      <c r="E45" s="478"/>
      <c r="F45" s="471" t="s">
        <v>26</v>
      </c>
      <c r="G45" s="472"/>
      <c r="H45" s="472"/>
      <c r="I45" s="472"/>
      <c r="J45" s="473"/>
      <c r="K45" s="188"/>
    </row>
    <row r="46" spans="1:11" ht="45">
      <c r="A46" s="344" t="s">
        <v>25</v>
      </c>
      <c r="B46" s="344" t="s">
        <v>77</v>
      </c>
      <c r="C46" s="344" t="str">
        <f>IF(NomValUnit="Nominal Volume (L)","Volume 
(Vs @ trefS) 
(L)","Volume 
(Vs @ trefS) 
(gal)")</f>
        <v>Volume 
(Vs @ trefS) 
(gal)</v>
      </c>
      <c r="D46" s="344" t="s">
        <v>95</v>
      </c>
      <c r="E46" s="345" t="str">
        <f>IF(NomValUnit="Nominal Volume (L)","Delta (Δ)
(mL)","Delta (Δ)
(in³)")</f>
        <v>Delta (Δ)
(in³)</v>
      </c>
      <c r="F46" s="346" t="s">
        <v>25</v>
      </c>
      <c r="G46" s="344" t="s">
        <v>77</v>
      </c>
      <c r="H46" s="344" t="str">
        <f>IF(NomValUnit="Nominal Volume (L)","Volume 
(Vs @ trefS) 
(L)","Volume 
(Vs @ trefS) 
(gal)")</f>
        <v>Volume 
(Vs @ trefS) 
(gal)</v>
      </c>
      <c r="I46" s="344" t="s">
        <v>95</v>
      </c>
      <c r="J46" s="344" t="str">
        <f>IF(NomValUnit="Nominal Volume (L)","Delta (Δ)
(mL)","Delta (Δ)
(in³)")</f>
        <v>Delta (Δ)
(in³)</v>
      </c>
      <c r="K46" s="188"/>
    </row>
    <row r="47" spans="1:11" ht="15.75" customHeight="1">
      <c r="A47" s="341">
        <v>1</v>
      </c>
      <c r="B47" s="91"/>
      <c r="C47" s="342">
        <f aca="true" t="shared" si="0" ref="C47:C61">IF(B47="","",IF(NomValUnit="Nominal Volume (L)",VLOOKUP(B47,MetricVol.Stds,4,FALSE),VLOOKUP(B47,CustomaryVol.Stds,4,FALSE)))</f>
      </c>
      <c r="D47" s="91"/>
      <c r="E47" s="193"/>
      <c r="F47" s="343">
        <v>1</v>
      </c>
      <c r="G47" s="91"/>
      <c r="H47" s="342">
        <f aca="true" t="shared" si="1" ref="H47:H61">IF(G47="","",IF(NomValUnit="Nominal Volume (L)",VLOOKUP(G47,MetricVol.Stds,4,FALSE),VLOOKUP(G47,CustomaryVol.Stds,4,FALSE)))</f>
      </c>
      <c r="I47" s="91"/>
      <c r="J47" s="91"/>
      <c r="K47" s="188"/>
    </row>
    <row r="48" spans="1:11" ht="15.75" customHeight="1">
      <c r="A48" s="110">
        <v>2</v>
      </c>
      <c r="B48" s="91"/>
      <c r="C48" s="342">
        <f t="shared" si="0"/>
      </c>
      <c r="D48" s="91"/>
      <c r="E48" s="193"/>
      <c r="F48" s="111">
        <v>2</v>
      </c>
      <c r="G48" s="91"/>
      <c r="H48" s="342">
        <f t="shared" si="1"/>
      </c>
      <c r="I48" s="91"/>
      <c r="J48" s="91"/>
      <c r="K48" s="188"/>
    </row>
    <row r="49" spans="1:11" ht="15.75" customHeight="1">
      <c r="A49" s="110">
        <v>3</v>
      </c>
      <c r="B49" s="91"/>
      <c r="C49" s="342">
        <f t="shared" si="0"/>
      </c>
      <c r="D49" s="91"/>
      <c r="E49" s="112"/>
      <c r="F49" s="111">
        <v>3</v>
      </c>
      <c r="G49" s="91"/>
      <c r="H49" s="342">
        <f t="shared" si="1"/>
      </c>
      <c r="I49" s="91"/>
      <c r="J49" s="42"/>
      <c r="K49" s="188"/>
    </row>
    <row r="50" spans="1:11" ht="16.5" customHeight="1">
      <c r="A50" s="110">
        <v>4</v>
      </c>
      <c r="B50" s="91"/>
      <c r="C50" s="342">
        <f t="shared" si="0"/>
      </c>
      <c r="D50" s="91"/>
      <c r="E50" s="112"/>
      <c r="F50" s="111">
        <v>4</v>
      </c>
      <c r="G50" s="91"/>
      <c r="H50" s="342">
        <f t="shared" si="1"/>
      </c>
      <c r="I50" s="91"/>
      <c r="J50" s="42"/>
      <c r="K50" s="188"/>
    </row>
    <row r="51" spans="1:11" ht="15.75" customHeight="1">
      <c r="A51" s="110">
        <v>5</v>
      </c>
      <c r="B51" s="42"/>
      <c r="C51" s="342">
        <f t="shared" si="0"/>
      </c>
      <c r="D51" s="91"/>
      <c r="E51" s="112"/>
      <c r="F51" s="111">
        <v>5</v>
      </c>
      <c r="G51" s="42"/>
      <c r="H51" s="342">
        <f t="shared" si="1"/>
      </c>
      <c r="I51" s="91"/>
      <c r="J51" s="42"/>
      <c r="K51" s="188"/>
    </row>
    <row r="52" spans="1:11" ht="15.75" customHeight="1">
      <c r="A52" s="110">
        <v>6</v>
      </c>
      <c r="B52" s="42"/>
      <c r="C52" s="342">
        <f t="shared" si="0"/>
      </c>
      <c r="D52" s="91"/>
      <c r="E52" s="112"/>
      <c r="F52" s="111">
        <v>6</v>
      </c>
      <c r="G52" s="42"/>
      <c r="H52" s="342">
        <f t="shared" si="1"/>
      </c>
      <c r="I52" s="91"/>
      <c r="J52" s="42"/>
      <c r="K52" s="190"/>
    </row>
    <row r="53" spans="1:11" ht="15.75">
      <c r="A53" s="110">
        <v>7</v>
      </c>
      <c r="B53" s="42"/>
      <c r="C53" s="342">
        <f t="shared" si="0"/>
      </c>
      <c r="D53" s="91"/>
      <c r="E53" s="112"/>
      <c r="F53" s="111">
        <v>7</v>
      </c>
      <c r="G53" s="42"/>
      <c r="H53" s="342">
        <f t="shared" si="1"/>
      </c>
      <c r="I53" s="91"/>
      <c r="J53" s="42"/>
      <c r="K53" s="190"/>
    </row>
    <row r="54" spans="1:11" ht="15.75">
      <c r="A54" s="110">
        <v>8</v>
      </c>
      <c r="B54" s="42"/>
      <c r="C54" s="342">
        <f t="shared" si="0"/>
      </c>
      <c r="D54" s="91"/>
      <c r="E54" s="112"/>
      <c r="F54" s="111">
        <v>8</v>
      </c>
      <c r="G54" s="42"/>
      <c r="H54" s="342">
        <f t="shared" si="1"/>
      </c>
      <c r="I54" s="91"/>
      <c r="J54" s="42"/>
      <c r="K54" s="190"/>
    </row>
    <row r="55" spans="1:11" ht="15.75">
      <c r="A55" s="110">
        <v>9</v>
      </c>
      <c r="B55" s="42"/>
      <c r="C55" s="342">
        <f t="shared" si="0"/>
      </c>
      <c r="D55" s="91"/>
      <c r="E55" s="112"/>
      <c r="F55" s="111">
        <v>9</v>
      </c>
      <c r="G55" s="42"/>
      <c r="H55" s="342">
        <f t="shared" si="1"/>
      </c>
      <c r="I55" s="91"/>
      <c r="J55" s="42"/>
      <c r="K55" s="190"/>
    </row>
    <row r="56" spans="1:11" ht="15.75">
      <c r="A56" s="110">
        <v>10</v>
      </c>
      <c r="B56" s="42"/>
      <c r="C56" s="342">
        <f t="shared" si="0"/>
      </c>
      <c r="D56" s="91"/>
      <c r="E56" s="112"/>
      <c r="F56" s="111">
        <v>10</v>
      </c>
      <c r="G56" s="42"/>
      <c r="H56" s="342">
        <f t="shared" si="1"/>
      </c>
      <c r="I56" s="91"/>
      <c r="J56" s="42"/>
      <c r="K56" s="190"/>
    </row>
    <row r="57" spans="1:11" ht="15.75">
      <c r="A57" s="110">
        <v>11</v>
      </c>
      <c r="B57" s="42"/>
      <c r="C57" s="342">
        <f t="shared" si="0"/>
      </c>
      <c r="D57" s="91"/>
      <c r="E57" s="112"/>
      <c r="F57" s="111">
        <v>11</v>
      </c>
      <c r="G57" s="42"/>
      <c r="H57" s="342">
        <f t="shared" si="1"/>
      </c>
      <c r="I57" s="91"/>
      <c r="J57" s="42"/>
      <c r="K57" s="190"/>
    </row>
    <row r="58" spans="1:11" ht="15.75" customHeight="1">
      <c r="A58" s="110">
        <v>12</v>
      </c>
      <c r="B58" s="42"/>
      <c r="C58" s="342">
        <f t="shared" si="0"/>
      </c>
      <c r="D58" s="91"/>
      <c r="E58" s="112"/>
      <c r="F58" s="111">
        <v>12</v>
      </c>
      <c r="G58" s="42"/>
      <c r="H58" s="342">
        <f t="shared" si="1"/>
      </c>
      <c r="I58" s="91"/>
      <c r="J58" s="42"/>
      <c r="K58" s="188"/>
    </row>
    <row r="59" spans="1:11" ht="15.75" customHeight="1">
      <c r="A59" s="110">
        <v>13</v>
      </c>
      <c r="B59" s="42"/>
      <c r="C59" s="342">
        <f t="shared" si="0"/>
      </c>
      <c r="D59" s="91"/>
      <c r="E59" s="112"/>
      <c r="F59" s="111">
        <v>13</v>
      </c>
      <c r="G59" s="42"/>
      <c r="H59" s="342">
        <f t="shared" si="1"/>
      </c>
      <c r="I59" s="91"/>
      <c r="J59" s="42"/>
      <c r="K59" s="188"/>
    </row>
    <row r="60" spans="1:11" ht="15.75" customHeight="1">
      <c r="A60" s="110">
        <v>14</v>
      </c>
      <c r="B60" s="42"/>
      <c r="C60" s="342">
        <f t="shared" si="0"/>
      </c>
      <c r="D60" s="91"/>
      <c r="E60" s="112"/>
      <c r="F60" s="111">
        <v>14</v>
      </c>
      <c r="G60" s="42"/>
      <c r="H60" s="342">
        <f t="shared" si="1"/>
      </c>
      <c r="I60" s="91"/>
      <c r="J60" s="42"/>
      <c r="K60" s="188"/>
    </row>
    <row r="61" spans="1:11" ht="15.75" customHeight="1">
      <c r="A61" s="110">
        <v>15</v>
      </c>
      <c r="B61" s="42"/>
      <c r="C61" s="342">
        <f t="shared" si="0"/>
      </c>
      <c r="D61" s="91"/>
      <c r="E61" s="112"/>
      <c r="F61" s="111">
        <v>15</v>
      </c>
      <c r="G61" s="42"/>
      <c r="H61" s="342">
        <f t="shared" si="1"/>
      </c>
      <c r="I61" s="91"/>
      <c r="J61" s="42"/>
      <c r="K61" s="188"/>
    </row>
    <row r="62" spans="1:11" ht="12" customHeight="1">
      <c r="A62" s="188"/>
      <c r="B62" s="188"/>
      <c r="C62" s="188"/>
      <c r="D62" s="188"/>
      <c r="E62" s="188"/>
      <c r="F62" s="188"/>
      <c r="G62" s="188"/>
      <c r="H62" s="188"/>
      <c r="I62" s="188"/>
      <c r="J62" s="188"/>
      <c r="K62" s="188"/>
    </row>
    <row r="63" spans="1:11" ht="15.75" customHeight="1" thickBot="1">
      <c r="A63" s="65" t="s">
        <v>29</v>
      </c>
      <c r="B63" s="85"/>
      <c r="C63" s="85"/>
      <c r="D63" s="85"/>
      <c r="E63" s="85"/>
      <c r="F63" s="85"/>
      <c r="G63" s="85"/>
      <c r="H63" s="85"/>
      <c r="I63" s="85"/>
      <c r="J63" s="85"/>
      <c r="K63" s="183"/>
    </row>
    <row r="64" spans="1:11" ht="15.75" customHeight="1">
      <c r="A64" s="479" t="s">
        <v>24</v>
      </c>
      <c r="B64" s="479"/>
      <c r="C64" s="479"/>
      <c r="D64" s="479"/>
      <c r="E64" s="480"/>
      <c r="F64" s="481" t="s">
        <v>26</v>
      </c>
      <c r="G64" s="479"/>
      <c r="H64" s="479"/>
      <c r="I64" s="479"/>
      <c r="J64" s="479"/>
      <c r="K64" s="188"/>
    </row>
    <row r="65" spans="1:11" ht="16.5">
      <c r="A65" s="476" t="str">
        <f>IF(Scale.Unit="Scale Graduations (L)","Neck Scale Reading As Found (L)",IF(Scale.Unit="Scale Graduations (mL)","Neck Scale Reading As Found (mL)",IF(Scale.Unit="Scale Graduations (gal)","Neck Scale Reading As Found (gal)","Neck Scale Reading As Found (in³)")))</f>
        <v>Neck Scale Reading As Found (in³)</v>
      </c>
      <c r="B65" s="476"/>
      <c r="C65" s="476"/>
      <c r="D65" s="476"/>
      <c r="E65" s="193"/>
      <c r="F65" s="486" t="str">
        <f>IF(Scale.Unit="Scale Graduations (L)","Neck Scale Reading (L)",IF(Scale.Unit="Scale Graduations (mL)","Neck Scale Reading (mL)",IF(Scale.Unit="Scale Graduations (gal)","Neck Scale Reading (gal)","Neck Scale Reading (in³)")))</f>
        <v>Neck Scale Reading (in³)</v>
      </c>
      <c r="G65" s="476"/>
      <c r="H65" s="476"/>
      <c r="I65" s="476"/>
      <c r="J65" s="91"/>
      <c r="K65" s="188"/>
    </row>
    <row r="66" spans="1:11" ht="16.5" customHeight="1">
      <c r="A66" s="468" t="s">
        <v>96</v>
      </c>
      <c r="B66" s="469"/>
      <c r="C66" s="469"/>
      <c r="D66" s="470"/>
      <c r="E66" s="112"/>
      <c r="F66" s="440" t="s">
        <v>96</v>
      </c>
      <c r="G66" s="439"/>
      <c r="H66" s="439"/>
      <c r="I66" s="439"/>
      <c r="J66" s="42"/>
      <c r="K66" s="188"/>
    </row>
    <row r="67" spans="1:11" ht="16.5">
      <c r="A67" s="439" t="s">
        <v>97</v>
      </c>
      <c r="B67" s="439"/>
      <c r="C67" s="439"/>
      <c r="D67" s="439"/>
      <c r="E67" s="112"/>
      <c r="F67" s="440" t="s">
        <v>97</v>
      </c>
      <c r="G67" s="439"/>
      <c r="H67" s="439"/>
      <c r="I67" s="439"/>
      <c r="J67" s="42"/>
      <c r="K67" s="188"/>
    </row>
    <row r="68" spans="1:11" ht="16.5">
      <c r="A68" s="439" t="s">
        <v>98</v>
      </c>
      <c r="B68" s="439"/>
      <c r="C68" s="439"/>
      <c r="D68" s="439"/>
      <c r="E68" s="112"/>
      <c r="F68" s="440" t="s">
        <v>98</v>
      </c>
      <c r="G68" s="439"/>
      <c r="H68" s="439"/>
      <c r="I68" s="439"/>
      <c r="J68" s="42"/>
      <c r="K68" s="188"/>
    </row>
    <row r="69" spans="1:11" ht="16.5">
      <c r="A69" s="439" t="s">
        <v>99</v>
      </c>
      <c r="B69" s="439"/>
      <c r="C69" s="439"/>
      <c r="D69" s="439"/>
      <c r="E69" s="194">
        <f>IF(ISERROR(AVERAGE(E66:E68)),"",AVERAGE(E66:E68))</f>
      </c>
      <c r="F69" s="440" t="s">
        <v>99</v>
      </c>
      <c r="G69" s="439"/>
      <c r="H69" s="439"/>
      <c r="I69" s="439"/>
      <c r="J69" s="60">
        <f>IF(ISERROR(AVERAGE(J66:J68)),"",AVERAGE(J66:J68))</f>
      </c>
      <c r="K69" s="188"/>
    </row>
    <row r="70" spans="1:11" ht="57" customHeight="1">
      <c r="A70" s="488">
        <f>IF(ISBLANK(Nom_Val),"",IF(Scale.Unit="Scale Graduations (L)","  To Adjust "&amp;Description&amp;" To Deliver Exactly "&amp;FIXED(Nom_Val,0,TRUE)&amp;" liters @ "&amp;RefT&amp;" ºF, Adjust Scale To Read "&amp;FIXED(((Calculations!E27-Nom_Val)/NSCV),3,TRUE)&amp;" liters.",IF(Scale.Unit="Scale Graduations (mL)","  To Adjust "&amp;Description&amp;" To Deliver Exactly "&amp;FIXED(Nom_Val,0,TRUE)&amp;" liters @ "&amp;RefT&amp;" ºF, Adjust Scale To Read "&amp;FIXED((((Calculations!E27-Nom_Val)*1000)/NSCV),3,TRUE)&amp;" milliliters.",IF(Scale.Unit="Scale Graduations (gal)","  To Adjust "&amp;Description&amp;" To Deliver Exactly "&amp;FIXED(Nom_Val,0,TRUE)&amp;" gallons @ "&amp;RefT&amp;" ºF, Adjust Scale To Read "&amp;FIXED(((Calculations!E27-Nom_Val)/NSCV),3,TRUE)&amp;" gallons","  To Adjust "&amp;Description&amp;" To Deliver Exactly "&amp;FIXED(Nom_Val,0,TRUE)&amp;" gallons @ "&amp;RefT&amp;" ºF, Adjust Scale To Read "&amp;FIXED((((Calculations!E27-Nom_Val)*231)/NSCV),3,TRUE)&amp;" cubic inchs."))))</f>
      </c>
      <c r="B70" s="488"/>
      <c r="C70" s="488"/>
      <c r="D70" s="488"/>
      <c r="E70" s="489"/>
      <c r="F70" s="483" t="str">
        <f>IF(ISBLANK(t_2),"","If the Range of the Trials is in Control, Seal "&amp;Description&amp;"
Neck Scale Plate and Print Report of Calibration. If Not Conduct Another Trial (Trial 2 Becomes Trial 1)")</f>
        <v>If the Range of the Trials is in Control, Seal 
Neck Scale Plate and Print Report of Calibration. If Not Conduct Another Trial (Trial 2 Becomes Trial 1)</v>
      </c>
      <c r="G70" s="484"/>
      <c r="H70" s="484"/>
      <c r="I70" s="484"/>
      <c r="J70" s="485"/>
      <c r="K70" s="188"/>
    </row>
    <row r="71" spans="1:11" ht="15.75" customHeight="1">
      <c r="A71" s="439" t="str">
        <f>IF(Scale.Unit="Scale Graduations (L)","Neck Scale Reading As Left (L)",IF(Scale.Unit="Scale Graduations (mL)","Neck Scale Reading As Left (mL)",IF(Scale.Unit="Scale Graduations (gal)","Neck Scale Reading As Left (gal)","Neck Scale Reading As Left (in³)")))</f>
        <v>Neck Scale Reading As Left (in³)</v>
      </c>
      <c r="B71" s="439"/>
      <c r="C71" s="439"/>
      <c r="D71" s="439"/>
      <c r="E71" s="112"/>
      <c r="F71" s="482" t="s">
        <v>115</v>
      </c>
      <c r="G71" s="469"/>
      <c r="H71" s="470"/>
      <c r="I71" s="487"/>
      <c r="J71" s="487"/>
      <c r="K71" s="188"/>
    </row>
    <row r="72" spans="1:11" ht="15.75" customHeight="1">
      <c r="A72" s="188"/>
      <c r="B72" s="188"/>
      <c r="C72" s="188"/>
      <c r="D72" s="188"/>
      <c r="E72" s="188"/>
      <c r="F72" s="188"/>
      <c r="G72" s="188"/>
      <c r="H72" s="188"/>
      <c r="I72" s="188"/>
      <c r="J72" s="188"/>
      <c r="K72" s="188"/>
    </row>
    <row r="73" spans="1:11" ht="15.75" customHeight="1" hidden="1">
      <c r="A73" s="188"/>
      <c r="B73" s="188"/>
      <c r="C73" s="188"/>
      <c r="D73" s="188"/>
      <c r="E73" s="188"/>
      <c r="F73" s="188"/>
      <c r="G73" s="188"/>
      <c r="H73" s="188"/>
      <c r="I73" s="188"/>
      <c r="J73" s="188"/>
      <c r="K73" s="188"/>
    </row>
    <row r="74" spans="1:11" ht="15.75" customHeight="1" hidden="1">
      <c r="A74" s="188"/>
      <c r="B74" s="188"/>
      <c r="C74" s="188"/>
      <c r="D74" s="188"/>
      <c r="E74" s="188"/>
      <c r="F74" s="188"/>
      <c r="G74" s="188"/>
      <c r="H74" s="188"/>
      <c r="I74" s="188"/>
      <c r="J74" s="188"/>
      <c r="K74" s="188"/>
    </row>
    <row r="75" spans="1:11" ht="15.75" customHeight="1" hidden="1">
      <c r="A75" s="188"/>
      <c r="B75" s="188"/>
      <c r="C75" s="188"/>
      <c r="D75" s="188"/>
      <c r="E75" s="188"/>
      <c r="F75" s="188"/>
      <c r="G75" s="188"/>
      <c r="H75" s="188"/>
      <c r="I75" s="188"/>
      <c r="J75" s="188"/>
      <c r="K75" s="188"/>
    </row>
    <row r="76" spans="1:11" ht="15.75" customHeight="1" hidden="1">
      <c r="A76" s="188"/>
      <c r="B76" s="188"/>
      <c r="C76" s="188"/>
      <c r="D76" s="188"/>
      <c r="E76" s="188"/>
      <c r="F76" s="188"/>
      <c r="G76" s="188"/>
      <c r="H76" s="188"/>
      <c r="I76" s="188"/>
      <c r="J76" s="188"/>
      <c r="K76" s="188"/>
    </row>
    <row r="77" spans="1:11" ht="15.75" customHeight="1" hidden="1">
      <c r="A77" s="188"/>
      <c r="B77" s="188"/>
      <c r="C77" s="188"/>
      <c r="D77" s="188"/>
      <c r="E77" s="188"/>
      <c r="F77" s="188"/>
      <c r="G77" s="188"/>
      <c r="H77" s="188"/>
      <c r="I77" s="188"/>
      <c r="J77" s="188"/>
      <c r="K77" s="188"/>
    </row>
    <row r="78" spans="1:11" ht="15.75" customHeight="1" hidden="1">
      <c r="A78" s="188"/>
      <c r="B78" s="188"/>
      <c r="C78" s="188"/>
      <c r="D78" s="188"/>
      <c r="E78" s="188"/>
      <c r="F78" s="188"/>
      <c r="G78" s="188"/>
      <c r="H78" s="188"/>
      <c r="I78" s="188"/>
      <c r="J78" s="188"/>
      <c r="K78" s="188"/>
    </row>
    <row r="79" spans="1:11" ht="15.75" customHeight="1" hidden="1">
      <c r="A79" s="188"/>
      <c r="B79" s="188"/>
      <c r="C79" s="188"/>
      <c r="D79" s="188"/>
      <c r="E79" s="188"/>
      <c r="F79" s="188"/>
      <c r="G79" s="188"/>
      <c r="H79" s="188"/>
      <c r="I79" s="188"/>
      <c r="J79" s="188"/>
      <c r="K79" s="188"/>
    </row>
    <row r="80" spans="1:11" ht="15.75" customHeight="1" hidden="1">
      <c r="A80" s="188"/>
      <c r="B80" s="188"/>
      <c r="C80" s="188"/>
      <c r="D80" s="188"/>
      <c r="E80" s="188"/>
      <c r="F80" s="188"/>
      <c r="G80" s="188"/>
      <c r="H80" s="188"/>
      <c r="I80" s="188"/>
      <c r="J80" s="188"/>
      <c r="K80" s="188"/>
    </row>
    <row r="81" spans="1:11" ht="15.75" customHeight="1" hidden="1">
      <c r="A81" s="188"/>
      <c r="B81" s="188"/>
      <c r="C81" s="188"/>
      <c r="D81" s="188"/>
      <c r="E81" s="188"/>
      <c r="F81" s="188"/>
      <c r="G81" s="188"/>
      <c r="H81" s="188"/>
      <c r="I81" s="188"/>
      <c r="J81" s="188"/>
      <c r="K81" s="188"/>
    </row>
    <row r="82" spans="1:11" ht="15.75" customHeight="1" hidden="1">
      <c r="A82" s="188"/>
      <c r="B82" s="188"/>
      <c r="C82" s="188"/>
      <c r="D82" s="188"/>
      <c r="E82" s="188"/>
      <c r="F82" s="188"/>
      <c r="G82" s="188"/>
      <c r="H82" s="188"/>
      <c r="I82" s="188"/>
      <c r="J82" s="188"/>
      <c r="K82" s="188"/>
    </row>
    <row r="83" spans="1:11" ht="15.75" customHeight="1" hidden="1">
      <c r="A83" s="188"/>
      <c r="B83" s="188"/>
      <c r="C83" s="188"/>
      <c r="D83" s="188"/>
      <c r="E83" s="188"/>
      <c r="F83" s="188"/>
      <c r="G83" s="188"/>
      <c r="H83" s="188"/>
      <c r="I83" s="188"/>
      <c r="J83" s="188"/>
      <c r="K83" s="188"/>
    </row>
    <row r="84" spans="1:11" ht="15.75" customHeight="1" hidden="1">
      <c r="A84" s="188"/>
      <c r="B84" s="188"/>
      <c r="C84" s="188"/>
      <c r="D84" s="188"/>
      <c r="E84" s="188"/>
      <c r="F84" s="188"/>
      <c r="G84" s="188"/>
      <c r="H84" s="188"/>
      <c r="I84" s="188"/>
      <c r="J84" s="188"/>
      <c r="K84" s="188"/>
    </row>
    <row r="85" spans="1:11" ht="15.75" customHeight="1" hidden="1">
      <c r="A85" s="188"/>
      <c r="B85" s="188"/>
      <c r="C85" s="188"/>
      <c r="D85" s="188"/>
      <c r="E85" s="188"/>
      <c r="F85" s="188"/>
      <c r="G85" s="188"/>
      <c r="H85" s="188"/>
      <c r="I85" s="188"/>
      <c r="J85" s="188"/>
      <c r="K85" s="188"/>
    </row>
    <row r="86" spans="1:11" ht="15.75" customHeight="1" hidden="1">
      <c r="A86" s="188"/>
      <c r="B86" s="188"/>
      <c r="C86" s="188"/>
      <c r="D86" s="188"/>
      <c r="E86" s="188"/>
      <c r="F86" s="188"/>
      <c r="G86" s="188"/>
      <c r="H86" s="188"/>
      <c r="I86" s="188"/>
      <c r="J86" s="188"/>
      <c r="K86" s="188"/>
    </row>
    <row r="87" spans="1:11" ht="15.75" customHeight="1" hidden="1">
      <c r="A87" s="188"/>
      <c r="B87" s="188"/>
      <c r="C87" s="188"/>
      <c r="D87" s="188"/>
      <c r="E87" s="188"/>
      <c r="F87" s="188"/>
      <c r="G87" s="188"/>
      <c r="H87" s="188"/>
      <c r="I87" s="188"/>
      <c r="J87" s="188"/>
      <c r="K87" s="188"/>
    </row>
    <row r="88" spans="1:11" ht="15.75" customHeight="1" hidden="1">
      <c r="A88" s="188"/>
      <c r="B88" s="188"/>
      <c r="C88" s="188"/>
      <c r="D88" s="188"/>
      <c r="E88" s="188"/>
      <c r="F88" s="188"/>
      <c r="G88" s="188"/>
      <c r="H88" s="188"/>
      <c r="I88" s="188"/>
      <c r="J88" s="188"/>
      <c r="K88" s="188"/>
    </row>
    <row r="89" spans="1:11" ht="15.75" customHeight="1" hidden="1">
      <c r="A89" s="188"/>
      <c r="B89" s="188"/>
      <c r="C89" s="188"/>
      <c r="D89" s="188"/>
      <c r="E89" s="188"/>
      <c r="F89" s="188"/>
      <c r="G89" s="188"/>
      <c r="H89" s="188"/>
      <c r="I89" s="188"/>
      <c r="J89" s="188"/>
      <c r="K89" s="188"/>
    </row>
    <row r="90" spans="1:11" ht="15.75" customHeight="1" hidden="1">
      <c r="A90" s="188"/>
      <c r="B90" s="188"/>
      <c r="C90" s="188"/>
      <c r="D90" s="188"/>
      <c r="E90" s="188"/>
      <c r="F90" s="188"/>
      <c r="G90" s="188"/>
      <c r="H90" s="188"/>
      <c r="I90" s="188"/>
      <c r="J90" s="188"/>
      <c r="K90" s="188"/>
    </row>
    <row r="91" spans="1:11" ht="15.75" customHeight="1" hidden="1">
      <c r="A91" s="188"/>
      <c r="B91" s="188"/>
      <c r="C91" s="188"/>
      <c r="D91" s="188"/>
      <c r="E91" s="188"/>
      <c r="F91" s="188"/>
      <c r="G91" s="188"/>
      <c r="H91" s="188"/>
      <c r="I91" s="188"/>
      <c r="J91" s="188"/>
      <c r="K91" s="188"/>
    </row>
    <row r="92" spans="1:11" ht="15.75" customHeight="1" hidden="1">
      <c r="A92" s="188"/>
      <c r="B92" s="188"/>
      <c r="C92" s="188"/>
      <c r="D92" s="188"/>
      <c r="E92" s="188"/>
      <c r="F92" s="188"/>
      <c r="G92" s="188"/>
      <c r="H92" s="188"/>
      <c r="I92" s="188"/>
      <c r="J92" s="188"/>
      <c r="K92" s="188"/>
    </row>
    <row r="93" spans="1:11" ht="15.75" customHeight="1" hidden="1">
      <c r="A93" s="188"/>
      <c r="B93" s="188"/>
      <c r="C93" s="188"/>
      <c r="D93" s="188"/>
      <c r="E93" s="188"/>
      <c r="F93" s="188"/>
      <c r="G93" s="188"/>
      <c r="H93" s="188"/>
      <c r="I93" s="188"/>
      <c r="J93" s="188"/>
      <c r="K93" s="188"/>
    </row>
    <row r="94" spans="1:11" ht="15.75" customHeight="1" hidden="1">
      <c r="A94" s="188"/>
      <c r="B94" s="188"/>
      <c r="C94" s="188"/>
      <c r="D94" s="188"/>
      <c r="E94" s="188"/>
      <c r="F94" s="188"/>
      <c r="G94" s="188"/>
      <c r="H94" s="188"/>
      <c r="I94" s="188"/>
      <c r="J94" s="188"/>
      <c r="K94" s="188"/>
    </row>
    <row r="95" spans="1:11" ht="15.75" hidden="1">
      <c r="A95" s="183"/>
      <c r="B95" s="183"/>
      <c r="C95" s="183"/>
      <c r="D95" s="183"/>
      <c r="E95" s="183"/>
      <c r="F95" s="183"/>
      <c r="G95" s="183"/>
      <c r="H95" s="183"/>
      <c r="I95" s="183"/>
      <c r="J95" s="183"/>
      <c r="K95" s="183"/>
    </row>
    <row r="96" spans="1:11" ht="15.75" hidden="1">
      <c r="A96" s="183"/>
      <c r="B96" s="183"/>
      <c r="C96" s="183"/>
      <c r="D96" s="183"/>
      <c r="E96" s="183"/>
      <c r="F96" s="183"/>
      <c r="G96" s="183"/>
      <c r="H96" s="183"/>
      <c r="I96" s="183"/>
      <c r="J96" s="183"/>
      <c r="K96" s="183"/>
    </row>
    <row r="97" ht="15.75" hidden="1"/>
    <row r="98" ht="15.75" hidden="1"/>
    <row r="99" ht="15.75" hidden="1"/>
    <row r="100" ht="15.75" hidden="1"/>
  </sheetData>
  <sheetProtection password="FFED" sheet="1" objects="1" scenarios="1" selectLockedCells="1"/>
  <mergeCells count="91">
    <mergeCell ref="A39:J39"/>
    <mergeCell ref="A31:D31"/>
    <mergeCell ref="A33:C33"/>
    <mergeCell ref="E31:F31"/>
    <mergeCell ref="G31:H31"/>
    <mergeCell ref="E32:F32"/>
    <mergeCell ref="E33:F33"/>
    <mergeCell ref="A32:C32"/>
    <mergeCell ref="G37:J37"/>
    <mergeCell ref="A37:D37"/>
    <mergeCell ref="A71:D71"/>
    <mergeCell ref="A64:E64"/>
    <mergeCell ref="F64:J64"/>
    <mergeCell ref="F71:H71"/>
    <mergeCell ref="F70:J70"/>
    <mergeCell ref="F65:I65"/>
    <mergeCell ref="F66:I66"/>
    <mergeCell ref="F68:I68"/>
    <mergeCell ref="I71:J71"/>
    <mergeCell ref="A70:E70"/>
    <mergeCell ref="A66:D66"/>
    <mergeCell ref="A67:D67"/>
    <mergeCell ref="F45:J45"/>
    <mergeCell ref="F42:G42"/>
    <mergeCell ref="H42:J42"/>
    <mergeCell ref="A65:D65"/>
    <mergeCell ref="A45:E45"/>
    <mergeCell ref="C42:E42"/>
    <mergeCell ref="A42:B42"/>
    <mergeCell ref="G32:H32"/>
    <mergeCell ref="A36:J36"/>
    <mergeCell ref="G33:H33"/>
    <mergeCell ref="A35:J35"/>
    <mergeCell ref="E37:F37"/>
    <mergeCell ref="A38:J38"/>
    <mergeCell ref="I31:J33"/>
    <mergeCell ref="C10:F10"/>
    <mergeCell ref="G26:H26"/>
    <mergeCell ref="G27:H27"/>
    <mergeCell ref="G28:H28"/>
    <mergeCell ref="F17:H17"/>
    <mergeCell ref="A17:C17"/>
    <mergeCell ref="A19:E19"/>
    <mergeCell ref="C11:F11"/>
    <mergeCell ref="G19:I19"/>
    <mergeCell ref="A13:B13"/>
    <mergeCell ref="A69:D69"/>
    <mergeCell ref="F69:I69"/>
    <mergeCell ref="A68:D68"/>
    <mergeCell ref="F67:I67"/>
    <mergeCell ref="I17:J17"/>
    <mergeCell ref="D17:E17"/>
    <mergeCell ref="A14:B14"/>
    <mergeCell ref="A4:B7"/>
    <mergeCell ref="C4:G7"/>
    <mergeCell ref="I4:J4"/>
    <mergeCell ref="A12:B12"/>
    <mergeCell ref="A11:B11"/>
    <mergeCell ref="A10:B10"/>
    <mergeCell ref="I10:J10"/>
    <mergeCell ref="G11:I11"/>
    <mergeCell ref="G12:I12"/>
    <mergeCell ref="C12:F12"/>
    <mergeCell ref="A16:H16"/>
    <mergeCell ref="A15:B15"/>
    <mergeCell ref="F15:H15"/>
    <mergeCell ref="C15:E15"/>
    <mergeCell ref="G25:H25"/>
    <mergeCell ref="I1:J1"/>
    <mergeCell ref="G10:H10"/>
    <mergeCell ref="I6:J6"/>
    <mergeCell ref="I5:J5"/>
    <mergeCell ref="G13:H13"/>
    <mergeCell ref="I16:J16"/>
    <mergeCell ref="I13:J13"/>
    <mergeCell ref="C14:J14"/>
    <mergeCell ref="C13:F13"/>
    <mergeCell ref="A23:J23"/>
    <mergeCell ref="G24:H24"/>
    <mergeCell ref="D20:E20"/>
    <mergeCell ref="A20:C20"/>
    <mergeCell ref="I15:J15"/>
    <mergeCell ref="B28:C28"/>
    <mergeCell ref="I18:J18"/>
    <mergeCell ref="B25:C25"/>
    <mergeCell ref="F20:G20"/>
    <mergeCell ref="H20:J20"/>
    <mergeCell ref="A18:H18"/>
    <mergeCell ref="B24:C24"/>
    <mergeCell ref="B26:C26"/>
    <mergeCell ref="B27:C27"/>
  </mergeCells>
  <conditionalFormatting sqref="D32:D33">
    <cfRule type="expression" priority="1" dxfId="1" stopIfTrue="1">
      <formula>VLOOKUP(D32,Temp.Stds,11)&lt;Cal_Date</formula>
    </cfRule>
  </conditionalFormatting>
  <conditionalFormatting sqref="A25:A28">
    <cfRule type="expression" priority="2" dxfId="1" stopIfTrue="1">
      <formula>IF(NomValUnit="Nominal Volume (L)",VLOOKUP(A25,MetricVol.Stds,13),VLOOKUP(A25,CustomaryVol.Stds,13))&lt;Cal_Date</formula>
    </cfRule>
  </conditionalFormatting>
  <dataValidations count="9">
    <dataValidation type="list" allowBlank="1" showInputMessage="1" showErrorMessage="1" promptTitle="Yes or No" prompt="Pick from list" sqref="F19">
      <formula1>Answer.List</formula1>
    </dataValidation>
    <dataValidation type="list" showInputMessage="1" showErrorMessage="1" promptTitle="Prover Material" prompt="Pick from list" sqref="C13">
      <formula1>Material.List</formula1>
    </dataValidation>
    <dataValidation type="whole" allowBlank="1" showInputMessage="1" showErrorMessage="1" promptTitle="POC Phone Number" prompt="Enter ten digit phone number. Do not enter parentheses or dashes." errorTitle="Incorrect Input" error="Enter ten digit phone number, numbers only!" sqref="I6:J6">
      <formula1>1111111111</formula1>
      <formula2>9999999999</formula2>
    </dataValidation>
    <dataValidation type="list" allowBlank="1" showInputMessage="1" showErrorMessage="1" promptTitle="Range Mean Unit" prompt="Pick from list" sqref="A17:C17">
      <formula1>RangeMean.List</formula1>
    </dataValidation>
    <dataValidation type="list" allowBlank="1" showInputMessage="1" showErrorMessage="1" promptTitle="Scale Graduation Unit" prompt="Pick from list" sqref="G12:I12">
      <formula1>Scale.List</formula1>
    </dataValidation>
    <dataValidation type="list" allowBlank="1" showInputMessage="1" showErrorMessage="1" promptTitle="Nominal Volume Unit" prompt="Pick from list." sqref="G11:I11">
      <formula1>NomVal.list</formula1>
    </dataValidation>
    <dataValidation type="list" allowBlank="1" showInputMessage="1" showErrorMessage="1" promptTitle="Reference Temperature" prompt="Pick from list." sqref="A16:H16">
      <formula1>RefTemp.list</formula1>
    </dataValidation>
    <dataValidation type="list" allowBlank="1" showInputMessage="1" showErrorMessage="1" promptTitle="Description" prompt="Pick from list" sqref="C10:F10">
      <formula1>Description.list</formula1>
    </dataValidation>
    <dataValidation type="list" allowBlank="1" showInputMessage="1" showErrorMessage="1" promptTitle="Specification" prompt="Pick from list" sqref="C15:E15">
      <formula1>Specification.list</formula1>
    </dataValidation>
  </dataValidations>
  <printOptions horizontalCentered="1"/>
  <pageMargins left="0.5" right="0.5" top="1.25" bottom="0.75" header="0.75" footer="0.5"/>
  <pageSetup horizontalDpi="300" verticalDpi="300" orientation="portrait" scale="88" r:id="rId4"/>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rowBreaks count="1" manualBreakCount="1">
    <brk id="40" max="9" man="1"/>
  </rowBreaks>
  <ignoredErrors>
    <ignoredError sqref="E69 J69" formulaRange="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7"/>
  </sheetPr>
  <dimension ref="A1:N45"/>
  <sheetViews>
    <sheetView showGridLines="0" workbookViewId="0" topLeftCell="A1">
      <selection activeCell="A16" sqref="A16"/>
    </sheetView>
  </sheetViews>
  <sheetFormatPr defaultColWidth="8.88671875" defaultRowHeight="15.75" zeroHeight="1"/>
  <cols>
    <col min="1" max="10" width="7.77734375" style="2" customWidth="1"/>
    <col min="11" max="11" width="1.77734375" style="2" customWidth="1"/>
    <col min="12" max="16384" width="7.99609375" style="2" hidden="1" customWidth="1"/>
  </cols>
  <sheetData>
    <row r="1" spans="1:13" ht="19.5" thickBot="1">
      <c r="A1" s="168" t="s">
        <v>111</v>
      </c>
      <c r="B1" s="33"/>
      <c r="C1" s="33"/>
      <c r="D1" s="33"/>
      <c r="E1" s="33"/>
      <c r="F1" s="33"/>
      <c r="G1" s="33"/>
      <c r="H1" s="33"/>
      <c r="I1" s="33"/>
      <c r="J1" s="153">
        <f>IF(ISBLANK(RptNo),"","Report Number: "&amp;RptNo)</f>
      </c>
      <c r="K1"/>
      <c r="L1"/>
      <c r="M1"/>
    </row>
    <row r="2" spans="11:13" s="100" customFormat="1" ht="12" customHeight="1">
      <c r="K2" s="48"/>
      <c r="L2" s="48"/>
      <c r="M2" s="48"/>
    </row>
    <row r="3" spans="1:13" ht="18.75" thickBot="1">
      <c r="A3" s="65" t="s">
        <v>0</v>
      </c>
      <c r="B3" s="35"/>
      <c r="C3" s="35"/>
      <c r="D3" s="35"/>
      <c r="E3" s="35"/>
      <c r="F3" s="35"/>
      <c r="G3" s="35"/>
      <c r="H3" s="35"/>
      <c r="I3" s="35"/>
      <c r="J3" s="35"/>
      <c r="K3"/>
      <c r="L3"/>
      <c r="M3"/>
    </row>
    <row r="4" spans="1:13" ht="16.5" customHeight="1">
      <c r="A4" s="544" t="s">
        <v>79</v>
      </c>
      <c r="B4" s="545"/>
      <c r="C4" s="547">
        <f>IF(ISBLANK(Bus.Name),"",Bus.Name)</f>
      </c>
      <c r="D4" s="548"/>
      <c r="E4" s="548"/>
      <c r="F4" s="548"/>
      <c r="G4" s="548"/>
      <c r="H4" s="58" t="s">
        <v>3</v>
      </c>
      <c r="I4" s="535">
        <f>IF(ISBLANK(PO.No),"",PO.No)</f>
      </c>
      <c r="J4" s="535"/>
      <c r="K4"/>
      <c r="L4"/>
      <c r="M4"/>
    </row>
    <row r="5" spans="1:13" ht="16.5">
      <c r="A5" s="546"/>
      <c r="B5" s="546"/>
      <c r="C5" s="549"/>
      <c r="D5" s="549"/>
      <c r="E5" s="549"/>
      <c r="F5" s="549"/>
      <c r="G5" s="549"/>
      <c r="H5" s="59" t="s">
        <v>1</v>
      </c>
      <c r="I5" s="536">
        <f>IF(ISBLANK(POC.Name),"",POC.Name)</f>
      </c>
      <c r="J5" s="537"/>
      <c r="K5"/>
      <c r="L5"/>
      <c r="M5"/>
    </row>
    <row r="6" spans="1:13" ht="16.5">
      <c r="A6" s="546"/>
      <c r="B6" s="546"/>
      <c r="C6" s="549"/>
      <c r="D6" s="549"/>
      <c r="E6" s="549"/>
      <c r="F6" s="549"/>
      <c r="G6" s="549"/>
      <c r="H6" s="59" t="s">
        <v>2</v>
      </c>
      <c r="I6" s="536">
        <f>IF(ISBLANK(POC.Phone),"",POC.Phone)</f>
      </c>
      <c r="J6" s="536"/>
      <c r="K6"/>
      <c r="L6"/>
      <c r="M6"/>
    </row>
    <row r="7" spans="1:10" ht="15.75">
      <c r="A7" s="546"/>
      <c r="B7" s="546"/>
      <c r="C7" s="549"/>
      <c r="D7" s="549"/>
      <c r="E7" s="549"/>
      <c r="F7" s="549"/>
      <c r="G7" s="549"/>
      <c r="H7" s="43"/>
      <c r="I7" s="43"/>
      <c r="J7" s="43"/>
    </row>
    <row r="8" spans="11:13" s="100" customFormat="1" ht="12" customHeight="1">
      <c r="K8" s="48"/>
      <c r="L8" s="48"/>
      <c r="M8" s="48"/>
    </row>
    <row r="9" spans="1:14" ht="16.5" customHeight="1" thickBot="1">
      <c r="A9" s="65" t="s">
        <v>61</v>
      </c>
      <c r="B9" s="35"/>
      <c r="C9" s="35"/>
      <c r="D9" s="35"/>
      <c r="E9" s="35"/>
      <c r="F9" s="35"/>
      <c r="G9" s="35"/>
      <c r="H9" s="35"/>
      <c r="I9" s="35"/>
      <c r="J9" s="35"/>
      <c r="L9"/>
      <c r="M9"/>
      <c r="N9"/>
    </row>
    <row r="10" spans="1:14" ht="16.5" customHeight="1">
      <c r="A10" s="427" t="s">
        <v>8</v>
      </c>
      <c r="B10" s="428"/>
      <c r="C10" s="530">
        <f>IF(ISBLANK('Prover Data Entry'!C10),"",'Prover Data Entry'!C10)</f>
      </c>
      <c r="D10" s="531"/>
      <c r="E10" s="531"/>
      <c r="F10" s="532"/>
      <c r="G10" s="527" t="str">
        <f>IF(ISBLANK(NomValUnit),"Nominal Value",NomValUnit)</f>
        <v>Nominal Volume (gal)</v>
      </c>
      <c r="H10" s="528"/>
      <c r="I10" s="529"/>
      <c r="J10" s="79">
        <f>IF(ISBLANK('Prover Data Entry'!J11),"",'Prover Data Entry'!J11)</f>
      </c>
      <c r="L10"/>
      <c r="M10"/>
      <c r="N10"/>
    </row>
    <row r="11" spans="1:14" ht="16.5" customHeight="1">
      <c r="A11" s="388" t="s">
        <v>4</v>
      </c>
      <c r="B11" s="389"/>
      <c r="C11" s="550">
        <f>IF(ISBLANK('Prover Data Entry'!C11),"",'Prover Data Entry'!C11)</f>
      </c>
      <c r="D11" s="551"/>
      <c r="E11" s="551"/>
      <c r="F11" s="552"/>
      <c r="G11" s="455" t="str">
        <f>IF(ISBLANK(Scale.Unit),"Scale Graduations",Scale.Unit)</f>
        <v>Scale Graduations (in³)</v>
      </c>
      <c r="H11" s="525"/>
      <c r="I11" s="526"/>
      <c r="J11" s="80">
        <f>IF(ISBLANK('Prover Data Entry'!J12),"",'Prover Data Entry'!J12)</f>
      </c>
      <c r="L11"/>
      <c r="M11"/>
      <c r="N11"/>
    </row>
    <row r="12" spans="1:14" ht="16.5" customHeight="1">
      <c r="A12" s="388" t="s">
        <v>5</v>
      </c>
      <c r="B12" s="388"/>
      <c r="C12" s="550">
        <f>IF(ISBLANK('Prover Data Entry'!C12),"",'Prover Data Entry'!C12)</f>
      </c>
      <c r="D12" s="551"/>
      <c r="E12" s="551"/>
      <c r="F12" s="552"/>
      <c r="G12"/>
      <c r="H12"/>
      <c r="I12"/>
      <c r="J12"/>
      <c r="L12"/>
      <c r="M12"/>
      <c r="N12"/>
    </row>
    <row r="13" spans="11:13" s="100" customFormat="1" ht="12" customHeight="1">
      <c r="K13" s="48"/>
      <c r="L13" s="48"/>
      <c r="M13" s="48"/>
    </row>
    <row r="14" spans="1:14" ht="16.5" customHeight="1" thickBot="1">
      <c r="A14" s="65" t="s">
        <v>66</v>
      </c>
      <c r="B14" s="35"/>
      <c r="C14" s="35"/>
      <c r="D14" s="35"/>
      <c r="E14" s="35"/>
      <c r="F14" s="35"/>
      <c r="G14" s="35"/>
      <c r="H14" s="35"/>
      <c r="I14" s="35"/>
      <c r="J14" s="35"/>
      <c r="L14"/>
      <c r="M14"/>
      <c r="N14"/>
    </row>
    <row r="15" spans="1:14" ht="33.75" customHeight="1">
      <c r="A15" s="92" t="s">
        <v>7</v>
      </c>
      <c r="B15" s="553" t="s">
        <v>8</v>
      </c>
      <c r="C15" s="554"/>
      <c r="D15" s="553" t="str">
        <f>IF(NomValUnit="Nominal Volume (L)","Delivered Volume
(L)","Delivered Volume
(gal)")</f>
        <v>Delivered Volume
(gal)</v>
      </c>
      <c r="E15" s="555"/>
      <c r="F15" s="538" t="s">
        <v>208</v>
      </c>
      <c r="G15" s="539"/>
      <c r="H15" s="539"/>
      <c r="I15" s="539"/>
      <c r="J15" s="540"/>
      <c r="L15"/>
      <c r="M15"/>
      <c r="N15"/>
    </row>
    <row r="16" spans="1:14" ht="16.5" customHeight="1">
      <c r="A16" s="91"/>
      <c r="B16" s="556">
        <f>IF(A16="","",IF(NomValUnit="Nominal Volume (L)",VLOOKUP(A16,MetricVol.Stds,2),VLOOKUP(A16,CustomaryVol.Stds,2)))</f>
      </c>
      <c r="C16" s="557"/>
      <c r="D16" s="558">
        <f>IF(A16="","",IF(NomValUnit="Nominal Volume (L)",VLOOKUP(A16,MetricVol.Stds,4),VLOOKUP(A16,CustomaryVol.Stds,4)))</f>
      </c>
      <c r="E16" s="559"/>
      <c r="F16" s="541"/>
      <c r="G16" s="542"/>
      <c r="H16" s="542"/>
      <c r="I16" s="542"/>
      <c r="J16" s="543"/>
      <c r="L16"/>
      <c r="M16"/>
      <c r="N16"/>
    </row>
    <row r="17" spans="6:13" s="100" customFormat="1" ht="12" customHeight="1">
      <c r="F17" s="262"/>
      <c r="G17" s="262"/>
      <c r="K17" s="48"/>
      <c r="L17" s="48"/>
      <c r="M17" s="48"/>
    </row>
    <row r="18" spans="1:10" ht="16.5" customHeight="1" thickBot="1">
      <c r="A18" s="65" t="s">
        <v>10</v>
      </c>
      <c r="B18" s="35"/>
      <c r="C18" s="35"/>
      <c r="D18" s="35"/>
      <c r="E18" s="35"/>
      <c r="F18" s="83"/>
      <c r="G18" s="83"/>
      <c r="H18" s="83"/>
      <c r="I18" s="83"/>
      <c r="J18" s="83"/>
    </row>
    <row r="19" spans="1:10" ht="16.5" customHeight="1">
      <c r="A19" s="533" t="s">
        <v>80</v>
      </c>
      <c r="B19" s="533"/>
      <c r="C19" s="533"/>
      <c r="D19" s="497"/>
      <c r="E19" s="497"/>
      <c r="F19" s="510"/>
      <c r="G19" s="510"/>
      <c r="H19" s="510"/>
      <c r="I19" s="510"/>
      <c r="J19" s="510"/>
    </row>
    <row r="20" spans="1:10" ht="16.5" customHeight="1">
      <c r="A20" s="534" t="s">
        <v>81</v>
      </c>
      <c r="B20" s="534"/>
      <c r="C20" s="534"/>
      <c r="D20" s="498"/>
      <c r="E20" s="498"/>
      <c r="F20" s="511"/>
      <c r="G20" s="511"/>
      <c r="H20" s="511"/>
      <c r="I20" s="511"/>
      <c r="J20" s="511"/>
    </row>
    <row r="21" spans="1:10" ht="15.75">
      <c r="A21" s="534" t="str">
        <f>IF(Scale.Unit="Scale Graduations (L)","Neck Volume (Nv) (L) =",IF(Scale.Unit="Scale Graduations (mL)","Neck Volume (Nv) (mL) =",IF(Scale.Unit="Scale Graduations (gal)","Neck Volume (Nv) (gal) =","Neck Volume (Nv) (in³) =")))</f>
        <v>Neck Volume (Nv) (in³) =</v>
      </c>
      <c r="B21" s="534"/>
      <c r="C21" s="534"/>
      <c r="D21" s="502">
        <f>IF(ISBLANK(D20),"",IF(Scale.Unit="Scale Graduations (gal)",(PI()*(D19^2)*D20)/231,IF(Scale.Unit="Scale Graduations (mL)",(PI()*(D19^2)*D20)*16.38706,IF(Scale.Unit="Scale Graduations (L)",(PI()*(D19^2)*D20)*0.01638706,PI()*(D19^2)*D20))))</f>
      </c>
      <c r="E21" s="502"/>
      <c r="F21" s="511"/>
      <c r="G21" s="511"/>
      <c r="H21" s="511"/>
      <c r="I21" s="511"/>
      <c r="J21" s="511"/>
    </row>
    <row r="22" spans="11:13" s="100" customFormat="1" ht="12" customHeight="1">
      <c r="K22" s="48"/>
      <c r="L22" s="48"/>
      <c r="M22" s="48"/>
    </row>
    <row r="23" spans="1:10" ht="18.75" thickBot="1">
      <c r="A23" s="65" t="s">
        <v>11</v>
      </c>
      <c r="B23" s="35"/>
      <c r="C23" s="35"/>
      <c r="D23" s="35"/>
      <c r="E23" s="35"/>
      <c r="F23" s="83"/>
      <c r="G23" s="83"/>
      <c r="H23" s="83"/>
      <c r="I23" s="83"/>
      <c r="J23" s="83"/>
    </row>
    <row r="24" spans="1:11" ht="16.5" customHeight="1">
      <c r="A24" s="499" t="str">
        <f>IF(Scale.Unit="Scale Graduations (L)","Scale Reading (sr) (L)",IF(Scale.Unit="Scale Graduations (mL)","Scale Reading (sr) (mL)",IF(Scale.Unit="Scale Graduations (gal)","Scale Reading (sr) (gal)","Scale Reading (sr) (in³)")))</f>
        <v>Scale Reading (sr) (in³)</v>
      </c>
      <c r="B24" s="500"/>
      <c r="C24" s="500"/>
      <c r="D24" s="499" t="str">
        <f>IF(Scale.Unit="Scale Graduations (L)","Volume Added (L)",IF(Scale.Unit="Scale Graduations (mL)","Volume Added (mL)",IF(Scale.Unit="Scale Graduations (gal)","Volume Added (gal)","Volume Added (in³)")))</f>
        <v>Volume Added (in³)</v>
      </c>
      <c r="E24" s="500"/>
      <c r="F24" s="512" t="s">
        <v>127</v>
      </c>
      <c r="G24" s="513"/>
      <c r="H24" s="513"/>
      <c r="I24" s="513"/>
      <c r="J24" s="514"/>
      <c r="K24" s="84"/>
    </row>
    <row r="25" spans="1:11" ht="16.5">
      <c r="A25" s="87" t="s">
        <v>82</v>
      </c>
      <c r="B25" s="498"/>
      <c r="C25" s="501"/>
      <c r="D25" s="502">
        <f aca="true" t="shared" si="0" ref="D25:D33">IF(B25="","",IF(ISNUMBER(B25),IF(Scale.Unit="Scale Graduations (L)",$D$16,IF(Scale.Unit="Scale Graduations (mL)",$D$16*1000,IF(Scale.Unit="Scale Graduations (gal)",$D$16,$D$16*231)))))</f>
      </c>
      <c r="E25" s="503"/>
      <c r="F25" s="515"/>
      <c r="G25" s="516"/>
      <c r="H25" s="516"/>
      <c r="I25" s="516"/>
      <c r="J25" s="517"/>
      <c r="K25" s="84"/>
    </row>
    <row r="26" spans="1:11" ht="15.75">
      <c r="A26" s="87" t="s">
        <v>12</v>
      </c>
      <c r="B26" s="498"/>
      <c r="C26" s="501"/>
      <c r="D26" s="502">
        <f t="shared" si="0"/>
      </c>
      <c r="E26" s="503"/>
      <c r="F26" s="515"/>
      <c r="G26" s="516"/>
      <c r="H26" s="516"/>
      <c r="I26" s="516"/>
      <c r="J26" s="517"/>
      <c r="K26" s="84"/>
    </row>
    <row r="27" spans="1:11" ht="15.75">
      <c r="A27" s="87" t="s">
        <v>13</v>
      </c>
      <c r="B27" s="498"/>
      <c r="C27" s="501"/>
      <c r="D27" s="502">
        <f t="shared" si="0"/>
      </c>
      <c r="E27" s="503"/>
      <c r="F27" s="515"/>
      <c r="G27" s="516"/>
      <c r="H27" s="516"/>
      <c r="I27" s="516"/>
      <c r="J27" s="517"/>
      <c r="K27" s="84"/>
    </row>
    <row r="28" spans="1:11" ht="15.75">
      <c r="A28" s="87" t="s">
        <v>14</v>
      </c>
      <c r="B28" s="498"/>
      <c r="C28" s="501"/>
      <c r="D28" s="502">
        <f t="shared" si="0"/>
      </c>
      <c r="E28" s="503"/>
      <c r="F28" s="515"/>
      <c r="G28" s="516"/>
      <c r="H28" s="516"/>
      <c r="I28" s="516"/>
      <c r="J28" s="517"/>
      <c r="K28" s="84"/>
    </row>
    <row r="29" spans="1:11" ht="15.75">
      <c r="A29" s="87" t="s">
        <v>15</v>
      </c>
      <c r="B29" s="498"/>
      <c r="C29" s="501"/>
      <c r="D29" s="502">
        <f t="shared" si="0"/>
      </c>
      <c r="E29" s="503"/>
      <c r="F29" s="515"/>
      <c r="G29" s="516"/>
      <c r="H29" s="516"/>
      <c r="I29" s="516"/>
      <c r="J29" s="517"/>
      <c r="K29" s="84"/>
    </row>
    <row r="30" spans="1:11" ht="15.75">
      <c r="A30" s="87" t="s">
        <v>16</v>
      </c>
      <c r="B30" s="498"/>
      <c r="C30" s="501"/>
      <c r="D30" s="502">
        <f t="shared" si="0"/>
      </c>
      <c r="E30" s="503"/>
      <c r="F30" s="515"/>
      <c r="G30" s="516"/>
      <c r="H30" s="516"/>
      <c r="I30" s="516"/>
      <c r="J30" s="517"/>
      <c r="K30" s="84"/>
    </row>
    <row r="31" spans="1:11" ht="15.75">
      <c r="A31" s="87" t="s">
        <v>37</v>
      </c>
      <c r="B31" s="498"/>
      <c r="C31" s="501"/>
      <c r="D31" s="502">
        <f t="shared" si="0"/>
      </c>
      <c r="E31" s="503"/>
      <c r="F31" s="515"/>
      <c r="G31" s="516"/>
      <c r="H31" s="516"/>
      <c r="I31" s="516"/>
      <c r="J31" s="517"/>
      <c r="K31" s="84"/>
    </row>
    <row r="32" spans="1:11" ht="15.75">
      <c r="A32" s="87" t="s">
        <v>38</v>
      </c>
      <c r="B32" s="498"/>
      <c r="C32" s="501"/>
      <c r="D32" s="502">
        <f t="shared" si="0"/>
      </c>
      <c r="E32" s="503"/>
      <c r="F32" s="515"/>
      <c r="G32" s="516"/>
      <c r="H32" s="516"/>
      <c r="I32" s="516"/>
      <c r="J32" s="517"/>
      <c r="K32" s="84"/>
    </row>
    <row r="33" spans="1:11" ht="15.75">
      <c r="A33" s="87" t="s">
        <v>39</v>
      </c>
      <c r="B33" s="498"/>
      <c r="C33" s="501"/>
      <c r="D33" s="502">
        <f t="shared" si="0"/>
      </c>
      <c r="E33" s="503"/>
      <c r="F33" s="515"/>
      <c r="G33" s="516"/>
      <c r="H33" s="516"/>
      <c r="I33" s="516"/>
      <c r="J33" s="517"/>
      <c r="K33" s="84"/>
    </row>
    <row r="34" spans="1:11" ht="16.5">
      <c r="A34" s="87" t="s">
        <v>83</v>
      </c>
      <c r="B34" s="498"/>
      <c r="C34" s="501"/>
      <c r="D34" s="502"/>
      <c r="E34" s="502"/>
      <c r="F34" s="515"/>
      <c r="G34" s="516"/>
      <c r="H34" s="516"/>
      <c r="I34" s="516"/>
      <c r="J34" s="517"/>
      <c r="K34" s="84"/>
    </row>
    <row r="35" spans="1:11" ht="16.5">
      <c r="A35" s="524" t="s">
        <v>84</v>
      </c>
      <c r="B35" s="524"/>
      <c r="C35" s="524"/>
      <c r="D35" s="502">
        <f>IF(SUM(D25:E34)=0,"",SUM(D25:E34))</f>
      </c>
      <c r="E35" s="503"/>
      <c r="F35" s="518"/>
      <c r="G35" s="519"/>
      <c r="H35" s="519"/>
      <c r="I35" s="519"/>
      <c r="J35" s="520"/>
      <c r="K35" s="84"/>
    </row>
    <row r="36" spans="11:13" s="100" customFormat="1" ht="12" customHeight="1">
      <c r="K36" s="48"/>
      <c r="L36" s="48"/>
      <c r="M36" s="48"/>
    </row>
    <row r="37" spans="1:10" ht="18.75" thickBot="1">
      <c r="A37" s="65" t="s">
        <v>46</v>
      </c>
      <c r="B37" s="85"/>
      <c r="C37" s="85"/>
      <c r="D37" s="85"/>
      <c r="E37" s="85"/>
      <c r="F37" s="86"/>
      <c r="G37" s="86"/>
      <c r="H37" s="86"/>
      <c r="I37" s="83"/>
      <c r="J37" s="83"/>
    </row>
    <row r="38" spans="1:10" ht="60" customHeight="1">
      <c r="A38" s="521" t="s">
        <v>86</v>
      </c>
      <c r="B38" s="521"/>
      <c r="C38" s="521"/>
      <c r="D38" s="521" t="s">
        <v>85</v>
      </c>
      <c r="E38" s="521"/>
      <c r="F38" s="521"/>
      <c r="G38" s="504" t="str">
        <f>IF(ISERROR(ABS(((B34-B25)-D35)/D21))," ",IF(A39&gt;0.5%,"The Percent of Error is Greater than 0.5 %, Replace the Neck Scale Plate or Issue the Neck Scale Calibration Value","The Percent of Error is Less Than 0.5%, The Neck Scale Plate Can Be Read Directly"))</f>
        <v> </v>
      </c>
      <c r="H38" s="505"/>
      <c r="I38" s="505"/>
      <c r="J38" s="506"/>
    </row>
    <row r="39" spans="1:10" ht="15.75">
      <c r="A39" s="523" t="str">
        <f>IF(ISERROR(ABS(((B34-B25)-D35)/D21))," ",ABS(((B34-B25)-D35)/D21))</f>
        <v> </v>
      </c>
      <c r="B39" s="523"/>
      <c r="C39" s="523"/>
      <c r="D39" s="522" t="str">
        <f>IF(ISERROR(ABS(((B34-B25)-D35)/D21))," ",IF(A39&lt;0.5%,"1.0",D35/(B34-B25)))</f>
        <v> </v>
      </c>
      <c r="E39" s="522"/>
      <c r="F39" s="522"/>
      <c r="G39" s="507"/>
      <c r="H39" s="508"/>
      <c r="I39" s="508"/>
      <c r="J39" s="509"/>
    </row>
    <row r="40" spans="7:10" ht="15.75">
      <c r="G40" s="90"/>
      <c r="H40" s="90"/>
      <c r="I40" s="90"/>
      <c r="J40" s="90"/>
    </row>
    <row r="41" spans="1:10" ht="15.75" hidden="1">
      <c r="A41" s="169"/>
      <c r="G41" s="88"/>
      <c r="H41" s="88"/>
      <c r="I41" s="88"/>
      <c r="J41" s="88"/>
    </row>
    <row r="42" ht="15.75" hidden="1"/>
    <row r="43" ht="15.75" hidden="1"/>
    <row r="44" spans="9:13" ht="15.75" customHeight="1" hidden="1">
      <c r="I44" s="84"/>
      <c r="J44" s="89"/>
      <c r="K44" s="89"/>
      <c r="L44" s="89"/>
      <c r="M44" s="89"/>
    </row>
    <row r="45" spans="9:13" ht="15.75" hidden="1">
      <c r="I45" s="89"/>
      <c r="J45" s="89"/>
      <c r="K45" s="89"/>
      <c r="L45" s="89"/>
      <c r="M45" s="89"/>
    </row>
  </sheetData>
  <sheetProtection password="FFED" sheet="1" objects="1" scenarios="1" selectLockedCells="1"/>
  <mergeCells count="55">
    <mergeCell ref="A11:B11"/>
    <mergeCell ref="B15:C15"/>
    <mergeCell ref="D15:E15"/>
    <mergeCell ref="B16:C16"/>
    <mergeCell ref="D16:E16"/>
    <mergeCell ref="I4:J4"/>
    <mergeCell ref="I5:J5"/>
    <mergeCell ref="F15:J16"/>
    <mergeCell ref="A4:B7"/>
    <mergeCell ref="C4:G7"/>
    <mergeCell ref="A12:B12"/>
    <mergeCell ref="C12:F12"/>
    <mergeCell ref="A10:B10"/>
    <mergeCell ref="I6:J6"/>
    <mergeCell ref="C11:F11"/>
    <mergeCell ref="G11:I11"/>
    <mergeCell ref="G10:I10"/>
    <mergeCell ref="C10:F10"/>
    <mergeCell ref="B32:C32"/>
    <mergeCell ref="D29:E29"/>
    <mergeCell ref="D25:E25"/>
    <mergeCell ref="D26:E26"/>
    <mergeCell ref="A19:C19"/>
    <mergeCell ref="A20:C20"/>
    <mergeCell ref="A21:C21"/>
    <mergeCell ref="F19:J21"/>
    <mergeCell ref="F24:J35"/>
    <mergeCell ref="A38:C38"/>
    <mergeCell ref="D39:F39"/>
    <mergeCell ref="A39:C39"/>
    <mergeCell ref="B33:C33"/>
    <mergeCell ref="D35:E35"/>
    <mergeCell ref="A35:C35"/>
    <mergeCell ref="B34:C34"/>
    <mergeCell ref="D38:F38"/>
    <mergeCell ref="G38:J39"/>
    <mergeCell ref="B26:C26"/>
    <mergeCell ref="B31:C31"/>
    <mergeCell ref="B29:C29"/>
    <mergeCell ref="B27:C27"/>
    <mergeCell ref="B28:C28"/>
    <mergeCell ref="B30:C30"/>
    <mergeCell ref="D34:E34"/>
    <mergeCell ref="D33:E33"/>
    <mergeCell ref="D30:E30"/>
    <mergeCell ref="D27:E27"/>
    <mergeCell ref="D28:E28"/>
    <mergeCell ref="D31:E31"/>
    <mergeCell ref="D32:E32"/>
    <mergeCell ref="D19:E19"/>
    <mergeCell ref="D20:E20"/>
    <mergeCell ref="A24:C24"/>
    <mergeCell ref="B25:C25"/>
    <mergeCell ref="D21:E21"/>
    <mergeCell ref="D24:E24"/>
  </mergeCells>
  <conditionalFormatting sqref="A16">
    <cfRule type="expression" priority="1" dxfId="1" stopIfTrue="1">
      <formula>IF(NomValUnit="Nominal Volume (L)",VLOOKUP(A16,MetricVol.Stds,13),VLOOKUP(A16,CustomaryVol.Stds,13))&lt;Cal_Date</formula>
    </cfRule>
  </conditionalFormatting>
  <conditionalFormatting sqref="G38:J39">
    <cfRule type="expression" priority="2" dxfId="2" stopIfTrue="1">
      <formula>AND(ISNUMBER(A39),A39&gt;0.5%)</formula>
    </cfRule>
    <cfRule type="expression" priority="3" dxfId="3" stopIfTrue="1">
      <formula>AND(ISNUMBER(A39),A39&lt;0.5%)</formula>
    </cfRule>
    <cfRule type="expression" priority="4" dxfId="4" stopIfTrue="1">
      <formula>ISERROR(ABS(((B34-B25)-D35)/D21))</formula>
    </cfRule>
  </conditionalFormatting>
  <printOptions horizontalCentered="1"/>
  <pageMargins left="0.5" right="0.5" top="1.25" bottom="0.75" header="0.75" footer="0.5"/>
  <pageSetup horizontalDpi="300" verticalDpi="300" orientation="portrait" r:id="rId5"/>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rowBreaks count="1" manualBreakCount="1">
    <brk id="36" max="9" man="1"/>
  </rowBreaks>
  <drawing r:id="rId4"/>
  <legacyDrawing r:id="rId3"/>
  <oleObjects>
    <oleObject progId="Equation.3" shapeId="463626" r:id="rId2"/>
  </oleObjects>
</worksheet>
</file>

<file path=xl/worksheets/sheet5.xml><?xml version="1.0" encoding="utf-8"?>
<worksheet xmlns="http://schemas.openxmlformats.org/spreadsheetml/2006/main" xmlns:r="http://schemas.openxmlformats.org/officeDocument/2006/relationships">
  <sheetPr>
    <tabColor indexed="18"/>
  </sheetPr>
  <dimension ref="A1:K55"/>
  <sheetViews>
    <sheetView showGridLines="0" workbookViewId="0" topLeftCell="A28">
      <selection activeCell="A1" sqref="A1"/>
    </sheetView>
  </sheetViews>
  <sheetFormatPr defaultColWidth="8.88671875" defaultRowHeight="15.75" zeroHeight="1"/>
  <cols>
    <col min="1" max="2" width="7.77734375" style="1" customWidth="1"/>
    <col min="3" max="3" width="6.99609375" style="1" customWidth="1"/>
    <col min="4" max="4" width="12.77734375" style="1" customWidth="1"/>
    <col min="5" max="5" width="11.77734375" style="1" customWidth="1"/>
    <col min="6" max="7" width="7.77734375" style="1" customWidth="1"/>
    <col min="8" max="8" width="6.77734375" style="1" customWidth="1"/>
    <col min="9" max="9" width="12.77734375" style="1" customWidth="1"/>
    <col min="10" max="10" width="11.77734375" style="1" customWidth="1"/>
    <col min="11" max="11" width="1.77734375" style="1" customWidth="1"/>
    <col min="12" max="13" width="8.88671875" style="1" hidden="1" customWidth="1"/>
    <col min="14" max="14" width="9.77734375" style="1" hidden="1" customWidth="1"/>
    <col min="15" max="15" width="13.77734375" style="1" hidden="1" customWidth="1"/>
    <col min="16" max="17" width="8.88671875" style="1" hidden="1" customWidth="1"/>
    <col min="18" max="18" width="15.5546875" style="1" hidden="1" customWidth="1"/>
    <col min="19" max="19" width="15.4453125" style="1" hidden="1" customWidth="1"/>
    <col min="20" max="16384" width="8.88671875" style="1" hidden="1" customWidth="1"/>
  </cols>
  <sheetData>
    <row r="1" spans="1:10" ht="19.5" thickBot="1">
      <c r="A1" s="148" t="s">
        <v>252</v>
      </c>
      <c r="B1" s="148"/>
      <c r="C1" s="33"/>
      <c r="D1" s="33"/>
      <c r="E1" s="33"/>
      <c r="F1" s="33"/>
      <c r="G1" s="33"/>
      <c r="H1" s="33"/>
      <c r="I1" s="33"/>
      <c r="J1" s="153">
        <f>IF(ISBLANK(RptNo),"","Report Number: "&amp;RptNo)</f>
      </c>
    </row>
    <row r="2" spans="1:11" ht="12" customHeight="1">
      <c r="A2" s="113"/>
      <c r="B2" s="113"/>
      <c r="C2" s="113"/>
      <c r="D2" s="113"/>
      <c r="E2" s="113"/>
      <c r="F2" s="114"/>
      <c r="G2" s="114"/>
      <c r="H2" s="115"/>
      <c r="I2" s="113"/>
      <c r="J2" s="113"/>
      <c r="K2" s="113"/>
    </row>
    <row r="3" spans="1:11" ht="18">
      <c r="A3" s="216" t="s">
        <v>106</v>
      </c>
      <c r="B3" s="216"/>
      <c r="C3" s="217"/>
      <c r="D3" s="218"/>
      <c r="E3" s="219"/>
      <c r="F3" s="220"/>
      <c r="G3" s="220"/>
      <c r="H3" s="219"/>
      <c r="I3" s="221"/>
      <c r="J3" s="221"/>
      <c r="K3" s="113"/>
    </row>
    <row r="4" spans="1:11" ht="15.75">
      <c r="A4" s="583" t="s">
        <v>107</v>
      </c>
      <c r="B4" s="581"/>
      <c r="C4" s="581"/>
      <c r="D4" s="581"/>
      <c r="E4" s="582"/>
      <c r="F4" s="581" t="s">
        <v>108</v>
      </c>
      <c r="G4" s="581"/>
      <c r="H4" s="581"/>
      <c r="I4" s="581"/>
      <c r="J4" s="582"/>
      <c r="K4" s="117"/>
    </row>
    <row r="5" spans="1:11" ht="49.5" customHeight="1">
      <c r="A5" s="162" t="s">
        <v>28</v>
      </c>
      <c r="B5" s="326" t="str">
        <f>IF(RefTempUnit="Designated Reference Temperature For This Calibration (ºC)","Std. Ref. Temp. (trefS ºC)","Std. Ref. Temp. (trefS ºF)")</f>
        <v>Std. Ref. Temp. (trefS ºF)</v>
      </c>
      <c r="C5" s="155" t="str">
        <f>IF(RefTempUnit="Designated Reference Temperature For This Calibration (ºC)","Water Temp.
(ºC)","Water Temp.
(ºF)")</f>
        <v>Water Temp.
(ºF)</v>
      </c>
      <c r="D5" s="155" t="s">
        <v>109</v>
      </c>
      <c r="E5" s="161" t="str">
        <f>IF(NomValUnit="","Delivered
Volume",IF(NomValUnit="Nominal Volume (L)","Delivered
Volume
(L)","Delivered
Volume
(gal)"))</f>
        <v>Delivered
Volume
(gal)</v>
      </c>
      <c r="F5" s="162" t="s">
        <v>28</v>
      </c>
      <c r="G5" s="326" t="str">
        <f>IF(RefTempUnit="Designated Reference Temperature For This Calibration (ºC)","Std. Ref. Temp. (trefS ºC)","Std. Ref. Temp. (trefS ºF)")</f>
        <v>Std. Ref. Temp. (trefS ºF)</v>
      </c>
      <c r="H5" s="155" t="str">
        <f>IF(RefTempUnit="Designated Reference Temperature For This Calibration (ºC)","Water Temp.
(ºC)","Water Temp.
(ºF)")</f>
        <v>Water Temp.
(ºF)</v>
      </c>
      <c r="I5" s="155" t="s">
        <v>109</v>
      </c>
      <c r="J5" s="222" t="str">
        <f>IF(NomValUnit="","Delivered
Volume",IF(NomValUnit="Nominal Volume (L)","Delivered
Volume
(L)","Delivered
Volume
(gal)"))</f>
        <v>Delivered
Volume
(gal)</v>
      </c>
      <c r="K5" s="117"/>
    </row>
    <row r="6" spans="1:11" ht="15.75" customHeight="1">
      <c r="A6" s="118">
        <v>1</v>
      </c>
      <c r="B6" s="332">
        <f>IF(ISBLANK('Prover Data Entry'!B47),"",IF(AND(RefTempUnit="Designated Reference Temperature For This Calibration (ºC)",NomValUnit="Nominal Volume (L)"),(VLOOKUP('Prover Data Entry'!B47,MetricVol.Stds,5,FALSE)-32)/1.8,IF(AND(RefTempUnit="Designated Reference Temperature For This Calibration (ºC)",NomValUnit="Nominal Volume (gal)"),(VLOOKUP('Prover Data Entry'!B47,CustomaryVol.Stds,5,FALSE)-32)/1.8,IF(AND(RefTempUnit="Designated Reference Temperature For This Calibration (ºF)",NomValUnit="Nominal Volume (L)"),VLOOKUP('Prover Data Entry'!B47,MetricVol.Stds,5,FALSE),VLOOKUP('Prover Data Entry'!B47,CustomaryVol.Stds,5,FALSE)))))</f>
      </c>
      <c r="C6" s="332">
        <f>IF(ISBLANK('Prover Data Entry'!B47),"",IF(RefTempUnit="Designated Reference Temperature For This Calibration (ºC)",'Prover Data Entry'!D47+StdTempCorr,('Prover Data Entry'!D47+StdTempCorr)*1.8+32))</f>
      </c>
      <c r="D6" s="333">
        <f>IF(ISBLANK('Prover Data Entry'!B47),"",(999.97358*(1-(0.000000070134*(('Prover Data Entry'!D47+StdTempCorr)-3.9818)+0.000007926504*(('Prover Data Entry'!D47+StdTempCorr)-3.9818)^2+-0.00000007575677*(('Prover Data Entry'!D47+StdTempCorr)-3.9818)^3+0.0000000007314894*(('Prover Data Entry'!D47+StdTempCorr)-3.9818)^4+-0.000000000003596458*(('Prover Data Entry'!D47+StdTempCorr)-3.9818)^5)))/1000)</f>
      </c>
      <c r="E6" s="334">
        <f>IF(ISBLANK('Prover Data Entry'!B47),"",IF(AND(RefTempUnit="Designated Reference Temperature For This Calibration (ºC)",NomValUnit="Nominal Volume (L)"),D6*(('Prover Data Entry'!C47+('Prover Data Entry'!E47/1000))*(1+(VLOOKUP('Prover Data Entry'!B47,MetricVol.Stds,8)*1.8)*(Calculations!C6-B6))),IF(AND(RefTempUnit="Designated Reference Temperature For This Calibration (ºF)",NomValUnit="Nominal Volume (L)"),D6*(('Prover Data Entry'!C47+('Prover Data Entry'!E47/1000))*(1+VLOOKUP('Prover Data Entry'!B47,MetricVol.Stds,8)*(Calculations!C6-B6))),IF(AND(RefTempUnit="Designated Reference Temperature For This Calibration (ºC)",NomValUnit="Nominal Volume (gal)"),D6*(('Prover Data Entry'!C47+('Prover Data Entry'!E47/231))*(1+(VLOOKUP('Prover Data Entry'!B47,CustomaryVol.Stds,8)*1.8)*(Calculations!C6-B6))),D6*(('Prover Data Entry'!C47+('Prover Data Entry'!E47/231))*(1+VLOOKUP('Prover Data Entry'!B47,CustomaryVol.Stds,8)*(Calculations!C6-B6)))))))</f>
      </c>
      <c r="F6" s="118">
        <v>1</v>
      </c>
      <c r="G6" s="332">
        <f>IF(ISBLANK('Prover Data Entry'!G47),"",IF(AND(RefTempUnit="Designated Reference Temperature For This Calibration (ºC)",NomValUnit="Nominal Volume (L)"),(VLOOKUP('Prover Data Entry'!G47,MetricVol.Stds,5,FALSE)-32)/1.8,IF(AND(RefTempUnit="Designated Reference Temperature For This Calibration (ºC)",NomValUnit="Nominal Volume (gal)"),(VLOOKUP('Prover Data Entry'!G47,CustomaryVol.Stds,5,FALSE)-32)/1.8,IF(AND(RefTempUnit="Designated Reference Temperature For This Calibration (ºF)",NomValUnit="Nominal Volume (L)"),VLOOKUP('Prover Data Entry'!G47,MetricVol.Stds,5,FALSE),VLOOKUP('Prover Data Entry'!G47,CustomaryVol.Stds,5,FALSE)))))</f>
      </c>
      <c r="H6" s="332">
        <f>IF(ISBLANK('Prover Data Entry'!G47),"",IF(RefTempUnit="Designated Reference Temperature For This Calibration (ºC)",'Prover Data Entry'!I47+StdTempCorr,('Prover Data Entry'!I47+StdTempCorr)*1.8+32))</f>
      </c>
      <c r="I6" s="333">
        <f>IF(ISBLANK('Prover Data Entry'!G47),"",(999.97358*(1-(0.000000070134*(('Prover Data Entry'!I47+StdTempCorr)-3.9818)+0.000007926504*(('Prover Data Entry'!I47+StdTempCorr)-3.9818)^2+-0.00000007575677*(('Prover Data Entry'!I47+StdTempCorr)-3.9818)^3+0.0000000007314894*(('Prover Data Entry'!I47+StdTempCorr)-3.9818)^4+-0.000000000003596458*(('Prover Data Entry'!I47+StdTempCorr)-3.9818)^5)))/1000)</f>
      </c>
      <c r="J6" s="335">
        <f>IF(ISBLANK('Prover Data Entry'!G47),"",IF(AND(RefTempUnit="Designated Reference Temperature For This Calibration (ºC)",NomValUnit="Nominal Volume (L)"),I6*(('Prover Data Entry'!H47+('Prover Data Entry'!J47/1000))*(1+(VLOOKUP('Prover Data Entry'!G47,MetricVol.Stds,8)*1.8)*(Calculations!H6-G6))),IF(AND(RefTempUnit="Designated Reference Temperature For This Calibration (ºF)",NomValUnit="Nominal Volume (L)"),I6*(('Prover Data Entry'!H47+('Prover Data Entry'!J47/1000))*(1+VLOOKUP('Prover Data Entry'!G47,MetricVol.Stds,8)*(Calculations!H6-G6))),IF(AND(RefTempUnit="Designated Reference Temperature For This Calibration (ºC)",NomValUnit="Nominal Volume (gal)"),I6*(('Prover Data Entry'!H47+('Prover Data Entry'!J47/231))*(1+(VLOOKUP('Prover Data Entry'!G47,CustomaryVol.Stds,8)*1.8)*(Calculations!H6-G6))),I6*(('Prover Data Entry'!H47+('Prover Data Entry'!J47/231))*(1+VLOOKUP('Prover Data Entry'!G47,CustomaryVol.Stds,8)*(Calculations!H6-G6)))))))</f>
      </c>
      <c r="K6" s="117"/>
    </row>
    <row r="7" spans="1:11" ht="15.75" customHeight="1">
      <c r="A7" s="118">
        <v>2</v>
      </c>
      <c r="B7" s="332">
        <f>IF(ISBLANK('Prover Data Entry'!B48),"",IF(AND(RefTempUnit="Designated Reference Temperature For This Calibration (ºC)",NomValUnit="Nominal Volume (L)"),(VLOOKUP('Prover Data Entry'!B48,MetricVol.Stds,5,FALSE)-32)/1.8,IF(AND(RefTempUnit="Designated Reference Temperature For This Calibration (ºC)",NomValUnit="Nominal Volume (gal)"),(VLOOKUP('Prover Data Entry'!B48,CustomaryVol.Stds,5,FALSE)-32)/1.8,IF(AND(RefTempUnit="Designated Reference Temperature For This Calibration (ºF)",NomValUnit="Nominal Volume (L)"),VLOOKUP('Prover Data Entry'!B48,MetricVol.Stds,5,FALSE),VLOOKUP('Prover Data Entry'!B48,CustomaryVol.Stds,5,FALSE)))))</f>
      </c>
      <c r="C7" s="332">
        <f>IF(ISBLANK('Prover Data Entry'!B48),"",IF(RefTempUnit="Designated Reference Temperature For This Calibration (ºC)",'Prover Data Entry'!D48+StdTempCorr,('Prover Data Entry'!D48+StdTempCorr)*1.8+32))</f>
      </c>
      <c r="D7" s="333">
        <f>IF(ISBLANK('Prover Data Entry'!B48),"",(999.97358*(1-(0.000000070134*(('Prover Data Entry'!D48+StdTempCorr)-3.9818)+0.000007926504*(('Prover Data Entry'!D48+StdTempCorr)-3.9818)^2+-0.00000007575677*(('Prover Data Entry'!D48+StdTempCorr)-3.9818)^3+0.0000000007314894*(('Prover Data Entry'!D48+StdTempCorr)-3.9818)^4+-0.000000000003596458*(('Prover Data Entry'!D48+StdTempCorr)-3.9818)^5)))/1000)</f>
      </c>
      <c r="E7" s="334">
        <f>IF(ISBLANK('Prover Data Entry'!B48),"",IF(AND(RefTempUnit="Designated Reference Temperature For This Calibration (ºC)",NomValUnit="Nominal Volume (L)"),D7*(('Prover Data Entry'!C48+('Prover Data Entry'!E48/1000))*(1+(VLOOKUP('Prover Data Entry'!B48,MetricVol.Stds,8)*1.8)*(Calculations!C7-B7))),IF(AND(RefTempUnit="Designated Reference Temperature For This Calibration (ºF)",NomValUnit="Nominal Volume (L)"),D7*(('Prover Data Entry'!C48+('Prover Data Entry'!E48/1000))*(1+VLOOKUP('Prover Data Entry'!B48,MetricVol.Stds,8)*(Calculations!C7-B7))),IF(AND(RefTempUnit="Designated Reference Temperature For This Calibration (ºC)",NomValUnit="Nominal Volume (gal)"),D7*(('Prover Data Entry'!C48+('Prover Data Entry'!E48/231))*(1+(VLOOKUP('Prover Data Entry'!B48,CustomaryVol.Stds,8)*1.8)*(Calculations!C7-B7))),D7*(('Prover Data Entry'!C48+('Prover Data Entry'!E48/231))*(1+VLOOKUP('Prover Data Entry'!B48,CustomaryVol.Stds,8)*(Calculations!C7-B7)))))))</f>
      </c>
      <c r="F7" s="118">
        <v>2</v>
      </c>
      <c r="G7" s="332">
        <f>IF(ISBLANK('Prover Data Entry'!G48),"",IF(AND(RefTempUnit="Designated Reference Temperature For This Calibration (ºC)",NomValUnit="Nominal Volume (L)"),(VLOOKUP('Prover Data Entry'!G48,MetricVol.Stds,5,FALSE)-32)/1.8,IF(AND(RefTempUnit="Designated Reference Temperature For This Calibration (ºC)",NomValUnit="Nominal Volume (gal)"),(VLOOKUP('Prover Data Entry'!G48,CustomaryVol.Stds,5,FALSE)-32)/1.8,IF(AND(RefTempUnit="Designated Reference Temperature For This Calibration (ºF)",NomValUnit="Nominal Volume (L)"),VLOOKUP('Prover Data Entry'!G48,MetricVol.Stds,5,FALSE),VLOOKUP('Prover Data Entry'!G48,CustomaryVol.Stds,5,FALSE)))))</f>
      </c>
      <c r="H7" s="332">
        <f>IF(ISBLANK('Prover Data Entry'!G48),"",IF(RefTempUnit="Designated Reference Temperature For This Calibration (ºC)",'Prover Data Entry'!I48+StdTempCorr,('Prover Data Entry'!I48+StdTempCorr)*1.8+32))</f>
      </c>
      <c r="I7" s="333">
        <f>IF(ISBLANK('Prover Data Entry'!G48),"",(999.97358*(1-(0.000000070134*(('Prover Data Entry'!I48+StdTempCorr)-3.9818)+0.000007926504*(('Prover Data Entry'!I48+StdTempCorr)-3.9818)^2+-0.00000007575677*(('Prover Data Entry'!I48+StdTempCorr)-3.9818)^3+0.0000000007314894*(('Prover Data Entry'!I48+StdTempCorr)-3.9818)^4+-0.000000000003596458*(('Prover Data Entry'!I48+StdTempCorr)-3.9818)^5)))/1000)</f>
      </c>
      <c r="J7" s="335">
        <f>IF(ISBLANK('Prover Data Entry'!G48),"",IF(AND(RefTempUnit="Designated Reference Temperature For This Calibration (ºC)",NomValUnit="Nominal Volume (L)"),I7*(('Prover Data Entry'!H48+('Prover Data Entry'!J48/1000))*(1+(VLOOKUP('Prover Data Entry'!G48,MetricVol.Stds,8)*1.8)*(Calculations!H7-G7))),IF(AND(RefTempUnit="Designated Reference Temperature For This Calibration (ºF)",NomValUnit="Nominal Volume (L)"),I7*(('Prover Data Entry'!H48+('Prover Data Entry'!J48/1000))*(1+VLOOKUP('Prover Data Entry'!G48,MetricVol.Stds,8)*(Calculations!H7-G7))),IF(AND(RefTempUnit="Designated Reference Temperature For This Calibration (ºC)",NomValUnit="Nominal Volume (gal)"),I7*(('Prover Data Entry'!H48+('Prover Data Entry'!J48/231))*(1+(VLOOKUP('Prover Data Entry'!G48,CustomaryVol.Stds,8)*1.8)*(Calculations!H7-G7))),I7*(('Prover Data Entry'!H48+('Prover Data Entry'!J48/231))*(1+VLOOKUP('Prover Data Entry'!G48,CustomaryVol.Stds,8)*(Calculations!H7-G7)))))))</f>
      </c>
      <c r="K7" s="117"/>
    </row>
    <row r="8" spans="1:11" ht="15.75" customHeight="1">
      <c r="A8" s="118">
        <v>3</v>
      </c>
      <c r="B8" s="332">
        <f>IF(ISBLANK('Prover Data Entry'!B49),"",IF(AND(RefTempUnit="Designated Reference Temperature For This Calibration (ºC)",NomValUnit="Nominal Volume (L)"),(VLOOKUP('Prover Data Entry'!B49,MetricVol.Stds,5,FALSE)-32)/1.8,IF(AND(RefTempUnit="Designated Reference Temperature For This Calibration (ºC)",NomValUnit="Nominal Volume (gal)"),(VLOOKUP('Prover Data Entry'!B49,CustomaryVol.Stds,5,FALSE)-32)/1.8,IF(AND(RefTempUnit="Designated Reference Temperature For This Calibration (ºF)",NomValUnit="Nominal Volume (L)"),VLOOKUP('Prover Data Entry'!B49,MetricVol.Stds,5,FALSE),VLOOKUP('Prover Data Entry'!B49,CustomaryVol.Stds,5,FALSE)))))</f>
      </c>
      <c r="C8" s="332">
        <f>IF(ISBLANK('Prover Data Entry'!B49),"",IF(RefTempUnit="Designated Reference Temperature For This Calibration (ºC)",'Prover Data Entry'!D49+StdTempCorr,('Prover Data Entry'!D49+StdTempCorr)*1.8+32))</f>
      </c>
      <c r="D8" s="333">
        <f>IF(ISBLANK('Prover Data Entry'!B49),"",(999.97358*(1-(0.000000070134*(('Prover Data Entry'!D49+StdTempCorr)-3.9818)+0.000007926504*(('Prover Data Entry'!D49+StdTempCorr)-3.9818)^2+-0.00000007575677*(('Prover Data Entry'!D49+StdTempCorr)-3.9818)^3+0.0000000007314894*(('Prover Data Entry'!D49+StdTempCorr)-3.9818)^4+-0.000000000003596458*(('Prover Data Entry'!D49+StdTempCorr)-3.9818)^5)))/1000)</f>
      </c>
      <c r="E8" s="334">
        <f>IF(ISBLANK('Prover Data Entry'!B49),"",IF(AND(RefTempUnit="Designated Reference Temperature For This Calibration (ºC)",NomValUnit="Nominal Volume (L)"),D8*(('Prover Data Entry'!C49+('Prover Data Entry'!E49/1000))*(1+(VLOOKUP('Prover Data Entry'!B49,MetricVol.Stds,8)*1.8)*(Calculations!C8-B8))),IF(AND(RefTempUnit="Designated Reference Temperature For This Calibration (ºF)",NomValUnit="Nominal Volume (L)"),D8*(('Prover Data Entry'!C49+('Prover Data Entry'!E49/1000))*(1+VLOOKUP('Prover Data Entry'!B49,MetricVol.Stds,8)*(Calculations!C8-B8))),IF(AND(RefTempUnit="Designated Reference Temperature For This Calibration (ºC)",NomValUnit="Nominal Volume (gal)"),D8*(('Prover Data Entry'!C49+('Prover Data Entry'!E49/231))*(1+(VLOOKUP('Prover Data Entry'!B49,CustomaryVol.Stds,8)*1.8)*(Calculations!C8-B8))),D8*(('Prover Data Entry'!C49+('Prover Data Entry'!E49/231))*(1+VLOOKUP('Prover Data Entry'!B49,CustomaryVol.Stds,8)*(Calculations!C8-B8)))))))</f>
      </c>
      <c r="F8" s="118">
        <v>3</v>
      </c>
      <c r="G8" s="332">
        <f>IF(ISBLANK('Prover Data Entry'!G49),"",IF(AND(RefTempUnit="Designated Reference Temperature For This Calibration (ºC)",NomValUnit="Nominal Volume (L)"),(VLOOKUP('Prover Data Entry'!G49,MetricVol.Stds,5,FALSE)-32)/1.8,IF(AND(RefTempUnit="Designated Reference Temperature For This Calibration (ºC)",NomValUnit="Nominal Volume (gal)"),(VLOOKUP('Prover Data Entry'!G49,CustomaryVol.Stds,5,FALSE)-32)/1.8,IF(AND(RefTempUnit="Designated Reference Temperature For This Calibration (ºF)",NomValUnit="Nominal Volume (L)"),VLOOKUP('Prover Data Entry'!G49,MetricVol.Stds,5,FALSE),VLOOKUP('Prover Data Entry'!G49,CustomaryVol.Stds,5,FALSE)))))</f>
      </c>
      <c r="H8" s="332">
        <f>IF(ISBLANK('Prover Data Entry'!G49),"",IF(RefTempUnit="Designated Reference Temperature For This Calibration (ºC)",'Prover Data Entry'!I49+StdTempCorr,('Prover Data Entry'!I49+StdTempCorr)*1.8+32))</f>
      </c>
      <c r="I8" s="333">
        <f>IF(ISBLANK('Prover Data Entry'!G49),"",(999.97358*(1-(0.000000070134*(('Prover Data Entry'!I49+StdTempCorr)-3.9818)+0.000007926504*(('Prover Data Entry'!I49+StdTempCorr)-3.9818)^2+-0.00000007575677*(('Prover Data Entry'!I49+StdTempCorr)-3.9818)^3+0.0000000007314894*(('Prover Data Entry'!I49+StdTempCorr)-3.9818)^4+-0.000000000003596458*(('Prover Data Entry'!I49+StdTempCorr)-3.9818)^5)))/1000)</f>
      </c>
      <c r="J8" s="335">
        <f>IF(ISBLANK('Prover Data Entry'!G49),"",IF(AND(RefTempUnit="Designated Reference Temperature For This Calibration (ºC)",NomValUnit="Nominal Volume (L)"),I8*(('Prover Data Entry'!H49+('Prover Data Entry'!J49/1000))*(1+(VLOOKUP('Prover Data Entry'!G49,MetricVol.Stds,8)*1.8)*(Calculations!H8-G8))),IF(AND(RefTempUnit="Designated Reference Temperature For This Calibration (ºF)",NomValUnit="Nominal Volume (L)"),I8*(('Prover Data Entry'!H49+('Prover Data Entry'!J49/1000))*(1+VLOOKUP('Prover Data Entry'!G49,MetricVol.Stds,8)*(Calculations!H8-G8))),IF(AND(RefTempUnit="Designated Reference Temperature For This Calibration (ºC)",NomValUnit="Nominal Volume (gal)"),I8*(('Prover Data Entry'!H49+('Prover Data Entry'!J49/231))*(1+(VLOOKUP('Prover Data Entry'!G49,CustomaryVol.Stds,8)*1.8)*(Calculations!H8-G8))),I8*(('Prover Data Entry'!H49+('Prover Data Entry'!J49/231))*(1+VLOOKUP('Prover Data Entry'!G49,CustomaryVol.Stds,8)*(Calculations!H8-G8)))))))</f>
      </c>
      <c r="K8" s="117"/>
    </row>
    <row r="9" spans="1:11" ht="15.75" customHeight="1">
      <c r="A9" s="118">
        <v>4</v>
      </c>
      <c r="B9" s="332">
        <f>IF(ISBLANK('Prover Data Entry'!B50),"",IF(AND(RefTempUnit="Designated Reference Temperature For This Calibration (ºC)",NomValUnit="Nominal Volume (L)"),(VLOOKUP('Prover Data Entry'!B50,MetricVol.Stds,5,FALSE)-32)/1.8,IF(AND(RefTempUnit="Designated Reference Temperature For This Calibration (ºC)",NomValUnit="Nominal Volume (gal)"),(VLOOKUP('Prover Data Entry'!B50,CustomaryVol.Stds,5,FALSE)-32)/1.8,IF(AND(RefTempUnit="Designated Reference Temperature For This Calibration (ºF)",NomValUnit="Nominal Volume (L)"),VLOOKUP('Prover Data Entry'!B50,MetricVol.Stds,5,FALSE),VLOOKUP('Prover Data Entry'!B50,CustomaryVol.Stds,5,FALSE)))))</f>
      </c>
      <c r="C9" s="332">
        <f>IF(ISBLANK('Prover Data Entry'!B50),"",IF(RefTempUnit="Designated Reference Temperature For This Calibration (ºC)",'Prover Data Entry'!D50+StdTempCorr,('Prover Data Entry'!D50+StdTempCorr)*1.8+32))</f>
      </c>
      <c r="D9" s="333">
        <f>IF(ISBLANK('Prover Data Entry'!B50),"",(999.97358*(1-(0.000000070134*(('Prover Data Entry'!D50+StdTempCorr)-3.9818)+0.000007926504*(('Prover Data Entry'!D50+StdTempCorr)-3.9818)^2+-0.00000007575677*(('Prover Data Entry'!D50+StdTempCorr)-3.9818)^3+0.0000000007314894*(('Prover Data Entry'!D50+StdTempCorr)-3.9818)^4+-0.000000000003596458*(('Prover Data Entry'!D50+StdTempCorr)-3.9818)^5)))/1000)</f>
      </c>
      <c r="E9" s="334">
        <f>IF(ISBLANK('Prover Data Entry'!B50),"",IF(AND(RefTempUnit="Designated Reference Temperature For This Calibration (ºC)",NomValUnit="Nominal Volume (L)"),D9*(('Prover Data Entry'!C50+('Prover Data Entry'!E50/1000))*(1+(VLOOKUP('Prover Data Entry'!B50,MetricVol.Stds,8)*1.8)*(Calculations!C9-B9))),IF(AND(RefTempUnit="Designated Reference Temperature For This Calibration (ºF)",NomValUnit="Nominal Volume (L)"),D9*(('Prover Data Entry'!C50+('Prover Data Entry'!E50/1000))*(1+VLOOKUP('Prover Data Entry'!B50,MetricVol.Stds,8)*(Calculations!C9-B9))),IF(AND(RefTempUnit="Designated Reference Temperature For This Calibration (ºC)",NomValUnit="Nominal Volume (gal)"),D9*(('Prover Data Entry'!C50+('Prover Data Entry'!E50/231))*(1+(VLOOKUP('Prover Data Entry'!B50,CustomaryVol.Stds,8)*1.8)*(Calculations!C9-B9))),D9*(('Prover Data Entry'!C50+('Prover Data Entry'!E50/231))*(1+VLOOKUP('Prover Data Entry'!B50,CustomaryVol.Stds,8)*(Calculations!C9-B9)))))))</f>
      </c>
      <c r="F9" s="118">
        <v>4</v>
      </c>
      <c r="G9" s="332">
        <f>IF(ISBLANK('Prover Data Entry'!G50),"",IF(AND(RefTempUnit="Designated Reference Temperature For This Calibration (ºC)",NomValUnit="Nominal Volume (L)"),(VLOOKUP('Prover Data Entry'!G50,MetricVol.Stds,5,FALSE)-32)/1.8,IF(AND(RefTempUnit="Designated Reference Temperature For This Calibration (ºC)",NomValUnit="Nominal Volume (gal)"),(VLOOKUP('Prover Data Entry'!G50,CustomaryVol.Stds,5,FALSE)-32)/1.8,IF(AND(RefTempUnit="Designated Reference Temperature For This Calibration (ºF)",NomValUnit="Nominal Volume (L)"),VLOOKUP('Prover Data Entry'!G50,MetricVol.Stds,5,FALSE),VLOOKUP('Prover Data Entry'!G50,CustomaryVol.Stds,5,FALSE)))))</f>
      </c>
      <c r="H9" s="332">
        <f>IF(ISBLANK('Prover Data Entry'!G50),"",IF(RefTempUnit="Designated Reference Temperature For This Calibration (ºC)",'Prover Data Entry'!I50+StdTempCorr,('Prover Data Entry'!I50+StdTempCorr)*1.8+32))</f>
      </c>
      <c r="I9" s="333">
        <f>IF(ISBLANK('Prover Data Entry'!G50),"",(999.97358*(1-(0.000000070134*(('Prover Data Entry'!I50+StdTempCorr)-3.9818)+0.000007926504*(('Prover Data Entry'!I50+StdTempCorr)-3.9818)^2+-0.00000007575677*(('Prover Data Entry'!I50+StdTempCorr)-3.9818)^3+0.0000000007314894*(('Prover Data Entry'!I50+StdTempCorr)-3.9818)^4+-0.000000000003596458*(('Prover Data Entry'!I50+StdTempCorr)-3.9818)^5)))/1000)</f>
      </c>
      <c r="J9" s="335">
        <f>IF(ISBLANK('Prover Data Entry'!G50),"",IF(AND(RefTempUnit="Designated Reference Temperature For This Calibration (ºC)",NomValUnit="Nominal Volume (L)"),I9*(('Prover Data Entry'!H50+('Prover Data Entry'!J50/1000))*(1+(VLOOKUP('Prover Data Entry'!G50,MetricVol.Stds,8)*1.8)*(Calculations!H9-G9))),IF(AND(RefTempUnit="Designated Reference Temperature For This Calibration (ºF)",NomValUnit="Nominal Volume (L)"),I9*(('Prover Data Entry'!H50+('Prover Data Entry'!J50/1000))*(1+VLOOKUP('Prover Data Entry'!G50,MetricVol.Stds,8)*(Calculations!H9-G9))),IF(AND(RefTempUnit="Designated Reference Temperature For This Calibration (ºC)",NomValUnit="Nominal Volume (gal)"),I9*(('Prover Data Entry'!H50+('Prover Data Entry'!J50/231))*(1+(VLOOKUP('Prover Data Entry'!G50,CustomaryVol.Stds,8)*1.8)*(Calculations!H9-G9))),I9*(('Prover Data Entry'!H50+('Prover Data Entry'!J50/231))*(1+VLOOKUP('Prover Data Entry'!G50,CustomaryVol.Stds,8)*(Calculations!H9-G9)))))))</f>
      </c>
      <c r="K9" s="117"/>
    </row>
    <row r="10" spans="1:11" ht="15.75" customHeight="1">
      <c r="A10" s="118">
        <v>5</v>
      </c>
      <c r="B10" s="332">
        <f>IF(ISBLANK('Prover Data Entry'!B51),"",IF(AND(RefTempUnit="Designated Reference Temperature For This Calibration (ºC)",NomValUnit="Nominal Volume (L)"),(VLOOKUP('Prover Data Entry'!B51,MetricVol.Stds,5,FALSE)-32)/1.8,IF(AND(RefTempUnit="Designated Reference Temperature For This Calibration (ºC)",NomValUnit="Nominal Volume (gal)"),(VLOOKUP('Prover Data Entry'!B51,CustomaryVol.Stds,5,FALSE)-32)/1.8,IF(AND(RefTempUnit="Designated Reference Temperature For This Calibration (ºF)",NomValUnit="Nominal Volume (L)"),VLOOKUP('Prover Data Entry'!B51,MetricVol.Stds,5,FALSE),VLOOKUP('Prover Data Entry'!B51,CustomaryVol.Stds,5,FALSE)))))</f>
      </c>
      <c r="C10" s="332">
        <f>IF(ISBLANK('Prover Data Entry'!B51),"",IF(RefTempUnit="Designated Reference Temperature For This Calibration (ºC)",'Prover Data Entry'!D51+StdTempCorr,('Prover Data Entry'!D51+StdTempCorr)*1.8+32))</f>
      </c>
      <c r="D10" s="333">
        <f>IF(ISBLANK('Prover Data Entry'!B51),"",(999.97358*(1-(0.000000070134*(('Prover Data Entry'!D51+StdTempCorr)-3.9818)+0.000007926504*(('Prover Data Entry'!D51+StdTempCorr)-3.9818)^2+-0.00000007575677*(('Prover Data Entry'!D51+StdTempCorr)-3.9818)^3+0.0000000007314894*(('Prover Data Entry'!D51+StdTempCorr)-3.9818)^4+-0.000000000003596458*(('Prover Data Entry'!D51+StdTempCorr)-3.9818)^5)))/1000)</f>
      </c>
      <c r="E10" s="334">
        <f>IF(ISBLANK('Prover Data Entry'!B51),"",IF(AND(RefTempUnit="Designated Reference Temperature For This Calibration (ºC)",NomValUnit="Nominal Volume (L)"),D10*(('Prover Data Entry'!C51+('Prover Data Entry'!E51/1000))*(1+(VLOOKUP('Prover Data Entry'!B51,MetricVol.Stds,8)*1.8)*(Calculations!C10-B10))),IF(AND(RefTempUnit="Designated Reference Temperature For This Calibration (ºF)",NomValUnit="Nominal Volume (L)"),D10*(('Prover Data Entry'!C51+('Prover Data Entry'!E51/1000))*(1+VLOOKUP('Prover Data Entry'!B51,MetricVol.Stds,8)*(Calculations!C10-B10))),IF(AND(RefTempUnit="Designated Reference Temperature For This Calibration (ºC)",NomValUnit="Nominal Volume (gal)"),D10*(('Prover Data Entry'!C51+('Prover Data Entry'!E51/231))*(1+(VLOOKUP('Prover Data Entry'!B51,CustomaryVol.Stds,8)*1.8)*(Calculations!C10-B10))),D10*(('Prover Data Entry'!C51+('Prover Data Entry'!E51/231))*(1+VLOOKUP('Prover Data Entry'!B51,CustomaryVol.Stds,8)*(Calculations!C10-B10)))))))</f>
      </c>
      <c r="F10" s="118">
        <v>5</v>
      </c>
      <c r="G10" s="332">
        <f>IF(ISBLANK('Prover Data Entry'!G51),"",IF(AND(RefTempUnit="Designated Reference Temperature For This Calibration (ºC)",NomValUnit="Nominal Volume (L)"),(VLOOKUP('Prover Data Entry'!G51,MetricVol.Stds,5,FALSE)-32)/1.8,IF(AND(RefTempUnit="Designated Reference Temperature For This Calibration (ºC)",NomValUnit="Nominal Volume (gal)"),(VLOOKUP('Prover Data Entry'!G51,CustomaryVol.Stds,5,FALSE)-32)/1.8,IF(AND(RefTempUnit="Designated Reference Temperature For This Calibration (ºF)",NomValUnit="Nominal Volume (L)"),VLOOKUP('Prover Data Entry'!G51,MetricVol.Stds,5,FALSE),VLOOKUP('Prover Data Entry'!G51,CustomaryVol.Stds,5,FALSE)))))</f>
      </c>
      <c r="H10" s="332">
        <f>IF(ISBLANK('Prover Data Entry'!G51),"",IF(RefTempUnit="Designated Reference Temperature For This Calibration (ºC)",'Prover Data Entry'!I51+StdTempCorr,('Prover Data Entry'!I51+StdTempCorr)*1.8+32))</f>
      </c>
      <c r="I10" s="333">
        <f>IF(ISBLANK('Prover Data Entry'!G51),"",(999.97358*(1-(0.000000070134*(('Prover Data Entry'!I51+StdTempCorr)-3.9818)+0.000007926504*(('Prover Data Entry'!I51+StdTempCorr)-3.9818)^2+-0.00000007575677*(('Prover Data Entry'!I51+StdTempCorr)-3.9818)^3+0.0000000007314894*(('Prover Data Entry'!I51+StdTempCorr)-3.9818)^4+-0.000000000003596458*(('Prover Data Entry'!I51+StdTempCorr)-3.9818)^5)))/1000)</f>
      </c>
      <c r="J10" s="335">
        <f>IF(ISBLANK('Prover Data Entry'!G51),"",IF(AND(RefTempUnit="Designated Reference Temperature For This Calibration (ºC)",NomValUnit="Nominal Volume (L)"),I10*(('Prover Data Entry'!H51+('Prover Data Entry'!J51/1000))*(1+(VLOOKUP('Prover Data Entry'!G51,MetricVol.Stds,8)*1.8)*(Calculations!H10-G10))),IF(AND(RefTempUnit="Designated Reference Temperature For This Calibration (ºF)",NomValUnit="Nominal Volume (L)"),I10*(('Prover Data Entry'!H51+('Prover Data Entry'!J51/1000))*(1+VLOOKUP('Prover Data Entry'!G51,MetricVol.Stds,8)*(Calculations!H10-G10))),IF(AND(RefTempUnit="Designated Reference Temperature For This Calibration (ºC)",NomValUnit="Nominal Volume (gal)"),I10*(('Prover Data Entry'!H51+('Prover Data Entry'!J51/231))*(1+(VLOOKUP('Prover Data Entry'!G51,CustomaryVol.Stds,8)*1.8)*(Calculations!H10-G10))),I10*(('Prover Data Entry'!H51+('Prover Data Entry'!J51/231))*(1+VLOOKUP('Prover Data Entry'!G51,CustomaryVol.Stds,8)*(Calculations!H10-G10)))))))</f>
      </c>
      <c r="K10" s="117"/>
    </row>
    <row r="11" spans="1:11" ht="15.75" customHeight="1">
      <c r="A11" s="118">
        <v>6</v>
      </c>
      <c r="B11" s="332">
        <f>IF(ISBLANK('Prover Data Entry'!B52),"",IF(AND(RefTempUnit="Designated Reference Temperature For This Calibration (ºC)",NomValUnit="Nominal Volume (L)"),(VLOOKUP('Prover Data Entry'!B52,MetricVol.Stds,5,FALSE)-32)/1.8,IF(AND(RefTempUnit="Designated Reference Temperature For This Calibration (ºC)",NomValUnit="Nominal Volume (gal)"),(VLOOKUP('Prover Data Entry'!B52,CustomaryVol.Stds,5,FALSE)-32)/1.8,IF(AND(RefTempUnit="Designated Reference Temperature For This Calibration (ºF)",NomValUnit="Nominal Volume (L)"),VLOOKUP('Prover Data Entry'!B52,MetricVol.Stds,5,FALSE),VLOOKUP('Prover Data Entry'!B52,CustomaryVol.Stds,5,FALSE)))))</f>
      </c>
      <c r="C11" s="332">
        <f>IF(ISBLANK('Prover Data Entry'!B52),"",IF(RefTempUnit="Designated Reference Temperature For This Calibration (ºC)",'Prover Data Entry'!D52+StdTempCorr,('Prover Data Entry'!D52+StdTempCorr)*1.8+32))</f>
      </c>
      <c r="D11" s="333">
        <f>IF(ISBLANK('Prover Data Entry'!B52),"",(999.97358*(1-(0.000000070134*(('Prover Data Entry'!D52+StdTempCorr)-3.9818)+0.000007926504*(('Prover Data Entry'!D52+StdTempCorr)-3.9818)^2+-0.00000007575677*(('Prover Data Entry'!D52+StdTempCorr)-3.9818)^3+0.0000000007314894*(('Prover Data Entry'!D52+StdTempCorr)-3.9818)^4+-0.000000000003596458*(('Prover Data Entry'!D52+StdTempCorr)-3.9818)^5)))/1000)</f>
      </c>
      <c r="E11" s="334">
        <f>IF(ISBLANK('Prover Data Entry'!B52),"",IF(AND(RefTempUnit="Designated Reference Temperature For This Calibration (ºC)",NomValUnit="Nominal Volume (L)"),D11*(('Prover Data Entry'!C52+('Prover Data Entry'!E52/1000))*(1+(VLOOKUP('Prover Data Entry'!B52,MetricVol.Stds,8)*1.8)*(Calculations!C11-B11))),IF(AND(RefTempUnit="Designated Reference Temperature For This Calibration (ºF)",NomValUnit="Nominal Volume (L)"),D11*(('Prover Data Entry'!C52+('Prover Data Entry'!E52/1000))*(1+VLOOKUP('Prover Data Entry'!B52,MetricVol.Stds,8)*(Calculations!C11-B11))),IF(AND(RefTempUnit="Designated Reference Temperature For This Calibration (ºC)",NomValUnit="Nominal Volume (gal)"),D11*(('Prover Data Entry'!C52+('Prover Data Entry'!E52/231))*(1+(VLOOKUP('Prover Data Entry'!B52,CustomaryVol.Stds,8)*1.8)*(Calculations!C11-B11))),D11*(('Prover Data Entry'!C52+('Prover Data Entry'!E52/231))*(1+VLOOKUP('Prover Data Entry'!B52,CustomaryVol.Stds,8)*(Calculations!C11-B11)))))))</f>
      </c>
      <c r="F11" s="118">
        <v>6</v>
      </c>
      <c r="G11" s="332">
        <f>IF(ISBLANK('Prover Data Entry'!G52),"",IF(AND(RefTempUnit="Designated Reference Temperature For This Calibration (ºC)",NomValUnit="Nominal Volume (L)"),(VLOOKUP('Prover Data Entry'!G52,MetricVol.Stds,5,FALSE)-32)/1.8,IF(AND(RefTempUnit="Designated Reference Temperature For This Calibration (ºC)",NomValUnit="Nominal Volume (gal)"),(VLOOKUP('Prover Data Entry'!G52,CustomaryVol.Stds,5,FALSE)-32)/1.8,IF(AND(RefTempUnit="Designated Reference Temperature For This Calibration (ºF)",NomValUnit="Nominal Volume (L)"),VLOOKUP('Prover Data Entry'!G52,MetricVol.Stds,5,FALSE),VLOOKUP('Prover Data Entry'!G52,CustomaryVol.Stds,5,FALSE)))))</f>
      </c>
      <c r="H11" s="332">
        <f>IF(ISBLANK('Prover Data Entry'!G52),"",IF(RefTempUnit="Designated Reference Temperature For This Calibration (ºC)",'Prover Data Entry'!I52+StdTempCorr,('Prover Data Entry'!I52+StdTempCorr)*1.8+32))</f>
      </c>
      <c r="I11" s="333">
        <f>IF(ISBLANK('Prover Data Entry'!G52),"",(999.97358*(1-(0.000000070134*(('Prover Data Entry'!I52+StdTempCorr)-3.9818)+0.000007926504*(('Prover Data Entry'!I52+StdTempCorr)-3.9818)^2+-0.00000007575677*(('Prover Data Entry'!I52+StdTempCorr)-3.9818)^3+0.0000000007314894*(('Prover Data Entry'!I52+StdTempCorr)-3.9818)^4+-0.000000000003596458*(('Prover Data Entry'!I52+StdTempCorr)-3.9818)^5)))/1000)</f>
      </c>
      <c r="J11" s="335">
        <f>IF(ISBLANK('Prover Data Entry'!G52),"",IF(AND(RefTempUnit="Designated Reference Temperature For This Calibration (ºC)",NomValUnit="Nominal Volume (L)"),I11*(('Prover Data Entry'!H52+('Prover Data Entry'!J52/1000))*(1+(VLOOKUP('Prover Data Entry'!G52,MetricVol.Stds,8)*1.8)*(Calculations!H11-G11))),IF(AND(RefTempUnit="Designated Reference Temperature For This Calibration (ºF)",NomValUnit="Nominal Volume (L)"),I11*(('Prover Data Entry'!H52+('Prover Data Entry'!J52/1000))*(1+VLOOKUP('Prover Data Entry'!G52,MetricVol.Stds,8)*(Calculations!H11-G11))),IF(AND(RefTempUnit="Designated Reference Temperature For This Calibration (ºC)",NomValUnit="Nominal Volume (gal)"),I11*(('Prover Data Entry'!H52+('Prover Data Entry'!J52/231))*(1+(VLOOKUP('Prover Data Entry'!G52,CustomaryVol.Stds,8)*1.8)*(Calculations!H11-G11))),I11*(('Prover Data Entry'!H52+('Prover Data Entry'!J52/231))*(1+VLOOKUP('Prover Data Entry'!G52,CustomaryVol.Stds,8)*(Calculations!H11-G11)))))))</f>
      </c>
      <c r="K11" s="117"/>
    </row>
    <row r="12" spans="1:11" ht="15.75" customHeight="1">
      <c r="A12" s="118">
        <v>7</v>
      </c>
      <c r="B12" s="332">
        <f>IF(ISBLANK('Prover Data Entry'!B53),"",IF(AND(RefTempUnit="Designated Reference Temperature For This Calibration (ºC)",NomValUnit="Nominal Volume (L)"),(VLOOKUP('Prover Data Entry'!B53,MetricVol.Stds,5,FALSE)-32)/1.8,IF(AND(RefTempUnit="Designated Reference Temperature For This Calibration (ºC)",NomValUnit="Nominal Volume (gal)"),(VLOOKUP('Prover Data Entry'!B53,CustomaryVol.Stds,5,FALSE)-32)/1.8,IF(AND(RefTempUnit="Designated Reference Temperature For This Calibration (ºF)",NomValUnit="Nominal Volume (L)"),VLOOKUP('Prover Data Entry'!B53,MetricVol.Stds,5,FALSE),VLOOKUP('Prover Data Entry'!B53,CustomaryVol.Stds,5,FALSE)))))</f>
      </c>
      <c r="C12" s="332">
        <f>IF(ISBLANK('Prover Data Entry'!B53),"",IF(RefTempUnit="Designated Reference Temperature For This Calibration (ºC)",'Prover Data Entry'!D53+StdTempCorr,('Prover Data Entry'!D53+StdTempCorr)*1.8+32))</f>
      </c>
      <c r="D12" s="333">
        <f>IF(ISBLANK('Prover Data Entry'!B53),"",(999.97358*(1-(0.000000070134*(('Prover Data Entry'!D53+StdTempCorr)-3.9818)+0.000007926504*(('Prover Data Entry'!D53+StdTempCorr)-3.9818)^2+-0.00000007575677*(('Prover Data Entry'!D53+StdTempCorr)-3.9818)^3+0.0000000007314894*(('Prover Data Entry'!D53+StdTempCorr)-3.9818)^4+-0.000000000003596458*(('Prover Data Entry'!D53+StdTempCorr)-3.9818)^5)))/1000)</f>
      </c>
      <c r="E12" s="334">
        <f>IF(ISBLANK('Prover Data Entry'!B53),"",IF(AND(RefTempUnit="Designated Reference Temperature For This Calibration (ºC)",NomValUnit="Nominal Volume (L)"),D12*(('Prover Data Entry'!C53+('Prover Data Entry'!E53/1000))*(1+(VLOOKUP('Prover Data Entry'!B53,MetricVol.Stds,8)*1.8)*(Calculations!C12-B12))),IF(AND(RefTempUnit="Designated Reference Temperature For This Calibration (ºF)",NomValUnit="Nominal Volume (L)"),D12*(('Prover Data Entry'!C53+('Prover Data Entry'!E53/1000))*(1+VLOOKUP('Prover Data Entry'!B53,MetricVol.Stds,8)*(Calculations!C12-B12))),IF(AND(RefTempUnit="Designated Reference Temperature For This Calibration (ºC)",NomValUnit="Nominal Volume (gal)"),D12*(('Prover Data Entry'!C53+('Prover Data Entry'!E53/231))*(1+(VLOOKUP('Prover Data Entry'!B53,CustomaryVol.Stds,8)*1.8)*(Calculations!C12-B12))),D12*(('Prover Data Entry'!C53+('Prover Data Entry'!E53/231))*(1+VLOOKUP('Prover Data Entry'!B53,CustomaryVol.Stds,8)*(Calculations!C12-B12)))))))</f>
      </c>
      <c r="F12" s="118">
        <v>7</v>
      </c>
      <c r="G12" s="332">
        <f>IF(ISBLANK('Prover Data Entry'!G53),"",IF(AND(RefTempUnit="Designated Reference Temperature For This Calibration (ºC)",NomValUnit="Nominal Volume (L)"),(VLOOKUP('Prover Data Entry'!G53,MetricVol.Stds,5,FALSE)-32)/1.8,IF(AND(RefTempUnit="Designated Reference Temperature For This Calibration (ºC)",NomValUnit="Nominal Volume (gal)"),(VLOOKUP('Prover Data Entry'!G53,CustomaryVol.Stds,5,FALSE)-32)/1.8,IF(AND(RefTempUnit="Designated Reference Temperature For This Calibration (ºF)",NomValUnit="Nominal Volume (L)"),VLOOKUP('Prover Data Entry'!G53,MetricVol.Stds,5,FALSE),VLOOKUP('Prover Data Entry'!G53,CustomaryVol.Stds,5,FALSE)))))</f>
      </c>
      <c r="H12" s="332">
        <f>IF(ISBLANK('Prover Data Entry'!G53),"",IF(RefTempUnit="Designated Reference Temperature For This Calibration (ºC)",'Prover Data Entry'!I53+StdTempCorr,('Prover Data Entry'!I53+StdTempCorr)*1.8+32))</f>
      </c>
      <c r="I12" s="333">
        <f>IF(ISBLANK('Prover Data Entry'!G53),"",(999.97358*(1-(0.000000070134*(('Prover Data Entry'!I53+StdTempCorr)-3.9818)+0.000007926504*(('Prover Data Entry'!I53+StdTempCorr)-3.9818)^2+-0.00000007575677*(('Prover Data Entry'!I53+StdTempCorr)-3.9818)^3+0.0000000007314894*(('Prover Data Entry'!I53+StdTempCorr)-3.9818)^4+-0.000000000003596458*(('Prover Data Entry'!I53+StdTempCorr)-3.9818)^5)))/1000)</f>
      </c>
      <c r="J12" s="335">
        <f>IF(ISBLANK('Prover Data Entry'!G53),"",IF(AND(RefTempUnit="Designated Reference Temperature For This Calibration (ºC)",NomValUnit="Nominal Volume (L)"),I12*(('Prover Data Entry'!H53+('Prover Data Entry'!J53/1000))*(1+(VLOOKUP('Prover Data Entry'!G53,MetricVol.Stds,8)*1.8)*(Calculations!H12-G12))),IF(AND(RefTempUnit="Designated Reference Temperature For This Calibration (ºF)",NomValUnit="Nominal Volume (L)"),I12*(('Prover Data Entry'!H53+('Prover Data Entry'!J53/1000))*(1+VLOOKUP('Prover Data Entry'!G53,MetricVol.Stds,8)*(Calculations!H12-G12))),IF(AND(RefTempUnit="Designated Reference Temperature For This Calibration (ºC)",NomValUnit="Nominal Volume (gal)"),I12*(('Prover Data Entry'!H53+('Prover Data Entry'!J53/231))*(1+(VLOOKUP('Prover Data Entry'!G53,CustomaryVol.Stds,8)*1.8)*(Calculations!H12-G12))),I12*(('Prover Data Entry'!H53+('Prover Data Entry'!J53/231))*(1+VLOOKUP('Prover Data Entry'!G53,CustomaryVol.Stds,8)*(Calculations!H12-G12)))))))</f>
      </c>
      <c r="K12" s="117"/>
    </row>
    <row r="13" spans="1:11" ht="15.75" customHeight="1">
      <c r="A13" s="118">
        <v>8</v>
      </c>
      <c r="B13" s="332">
        <f>IF(ISBLANK('Prover Data Entry'!B54),"",IF(AND(RefTempUnit="Designated Reference Temperature For This Calibration (ºC)",NomValUnit="Nominal Volume (L)"),(VLOOKUP('Prover Data Entry'!B54,MetricVol.Stds,5,FALSE)-32)/1.8,IF(AND(RefTempUnit="Designated Reference Temperature For This Calibration (ºC)",NomValUnit="Nominal Volume (gal)"),(VLOOKUP('Prover Data Entry'!B54,CustomaryVol.Stds,5,FALSE)-32)/1.8,IF(AND(RefTempUnit="Designated Reference Temperature For This Calibration (ºF)",NomValUnit="Nominal Volume (L)"),VLOOKUP('Prover Data Entry'!B54,MetricVol.Stds,5,FALSE),VLOOKUP('Prover Data Entry'!B54,CustomaryVol.Stds,5,FALSE)))))</f>
      </c>
      <c r="C13" s="332">
        <f>IF(ISBLANK('Prover Data Entry'!B54),"",IF(RefTempUnit="Designated Reference Temperature For This Calibration (ºC)",'Prover Data Entry'!D54+StdTempCorr,('Prover Data Entry'!D54+StdTempCorr)*1.8+32))</f>
      </c>
      <c r="D13" s="333">
        <f>IF(ISBLANK('Prover Data Entry'!B54),"",(999.97358*(1-(0.000000070134*(('Prover Data Entry'!D54+StdTempCorr)-3.9818)+0.000007926504*(('Prover Data Entry'!D54+StdTempCorr)-3.9818)^2+-0.00000007575677*(('Prover Data Entry'!D54+StdTempCorr)-3.9818)^3+0.0000000007314894*(('Prover Data Entry'!D54+StdTempCorr)-3.9818)^4+-0.000000000003596458*(('Prover Data Entry'!D54+StdTempCorr)-3.9818)^5)))/1000)</f>
      </c>
      <c r="E13" s="334">
        <f>IF(ISBLANK('Prover Data Entry'!B54),"",IF(AND(RefTempUnit="Designated Reference Temperature For This Calibration (ºC)",NomValUnit="Nominal Volume (L)"),D13*(('Prover Data Entry'!C54+('Prover Data Entry'!E54/1000))*(1+(VLOOKUP('Prover Data Entry'!B54,MetricVol.Stds,8)*1.8)*(Calculations!C13-B13))),IF(AND(RefTempUnit="Designated Reference Temperature For This Calibration (ºF)",NomValUnit="Nominal Volume (L)"),D13*(('Prover Data Entry'!C54+('Prover Data Entry'!E54/1000))*(1+VLOOKUP('Prover Data Entry'!B54,MetricVol.Stds,8)*(Calculations!C13-B13))),IF(AND(RefTempUnit="Designated Reference Temperature For This Calibration (ºC)",NomValUnit="Nominal Volume (gal)"),D13*(('Prover Data Entry'!C54+('Prover Data Entry'!E54/231))*(1+(VLOOKUP('Prover Data Entry'!B54,CustomaryVol.Stds,8)*1.8)*(Calculations!C13-B13))),D13*(('Prover Data Entry'!C54+('Prover Data Entry'!E54/231))*(1+VLOOKUP('Prover Data Entry'!B54,CustomaryVol.Stds,8)*(Calculations!C13-B13)))))))</f>
      </c>
      <c r="F13" s="118">
        <v>8</v>
      </c>
      <c r="G13" s="332">
        <f>IF(ISBLANK('Prover Data Entry'!G54),"",IF(AND(RefTempUnit="Designated Reference Temperature For This Calibration (ºC)",NomValUnit="Nominal Volume (L)"),(VLOOKUP('Prover Data Entry'!G54,MetricVol.Stds,5,FALSE)-32)/1.8,IF(AND(RefTempUnit="Designated Reference Temperature For This Calibration (ºC)",NomValUnit="Nominal Volume (gal)"),(VLOOKUP('Prover Data Entry'!G54,CustomaryVol.Stds,5,FALSE)-32)/1.8,IF(AND(RefTempUnit="Designated Reference Temperature For This Calibration (ºF)",NomValUnit="Nominal Volume (L)"),VLOOKUP('Prover Data Entry'!G54,MetricVol.Stds,5,FALSE),VLOOKUP('Prover Data Entry'!G54,CustomaryVol.Stds,5,FALSE)))))</f>
      </c>
      <c r="H13" s="332">
        <f>IF(ISBLANK('Prover Data Entry'!G54),"",IF(RefTempUnit="Designated Reference Temperature For This Calibration (ºC)",'Prover Data Entry'!I54+StdTempCorr,('Prover Data Entry'!I54+StdTempCorr)*1.8+32))</f>
      </c>
      <c r="I13" s="333">
        <f>IF(ISBLANK('Prover Data Entry'!G54),"",(999.97358*(1-(0.000000070134*(('Prover Data Entry'!I54+StdTempCorr)-3.9818)+0.000007926504*(('Prover Data Entry'!I54+StdTempCorr)-3.9818)^2+-0.00000007575677*(('Prover Data Entry'!I54+StdTempCorr)-3.9818)^3+0.0000000007314894*(('Prover Data Entry'!I54+StdTempCorr)-3.9818)^4+-0.000000000003596458*(('Prover Data Entry'!I54+StdTempCorr)-3.9818)^5)))/1000)</f>
      </c>
      <c r="J13" s="335">
        <f>IF(ISBLANK('Prover Data Entry'!G54),"",IF(AND(RefTempUnit="Designated Reference Temperature For This Calibration (ºC)",NomValUnit="Nominal Volume (L)"),I13*(('Prover Data Entry'!H54+('Prover Data Entry'!J54/1000))*(1+(VLOOKUP('Prover Data Entry'!G54,MetricVol.Stds,8)*1.8)*(Calculations!H13-G13))),IF(AND(RefTempUnit="Designated Reference Temperature For This Calibration (ºF)",NomValUnit="Nominal Volume (L)"),I13*(('Prover Data Entry'!H54+('Prover Data Entry'!J54/1000))*(1+VLOOKUP('Prover Data Entry'!G54,MetricVol.Stds,8)*(Calculations!H13-G13))),IF(AND(RefTempUnit="Designated Reference Temperature For This Calibration (ºC)",NomValUnit="Nominal Volume (gal)"),I13*(('Prover Data Entry'!H54+('Prover Data Entry'!J54/231))*(1+(VLOOKUP('Prover Data Entry'!G54,CustomaryVol.Stds,8)*1.8)*(Calculations!H13-G13))),I13*(('Prover Data Entry'!H54+('Prover Data Entry'!J54/231))*(1+VLOOKUP('Prover Data Entry'!G54,CustomaryVol.Stds,8)*(Calculations!H13-G13)))))))</f>
      </c>
      <c r="K13" s="117"/>
    </row>
    <row r="14" spans="1:11" ht="15.75" customHeight="1">
      <c r="A14" s="118">
        <v>9</v>
      </c>
      <c r="B14" s="332">
        <f>IF(ISBLANK('Prover Data Entry'!B55),"",IF(AND(RefTempUnit="Designated Reference Temperature For This Calibration (ºC)",NomValUnit="Nominal Volume (L)"),(VLOOKUP('Prover Data Entry'!B55,MetricVol.Stds,5,FALSE)-32)/1.8,IF(AND(RefTempUnit="Designated Reference Temperature For This Calibration (ºC)",NomValUnit="Nominal Volume (gal)"),(VLOOKUP('Prover Data Entry'!B55,CustomaryVol.Stds,5,FALSE)-32)/1.8,IF(AND(RefTempUnit="Designated Reference Temperature For This Calibration (ºF)",NomValUnit="Nominal Volume (L)"),VLOOKUP('Prover Data Entry'!B55,MetricVol.Stds,5,FALSE),VLOOKUP('Prover Data Entry'!B55,CustomaryVol.Stds,5,FALSE)))))</f>
      </c>
      <c r="C14" s="332">
        <f>IF(ISBLANK('Prover Data Entry'!B55),"",IF(RefTempUnit="Designated Reference Temperature For This Calibration (ºC)",'Prover Data Entry'!D55+StdTempCorr,('Prover Data Entry'!D55+StdTempCorr)*1.8+32))</f>
      </c>
      <c r="D14" s="333">
        <f>IF(ISBLANK('Prover Data Entry'!B55),"",(999.97358*(1-(0.000000070134*(('Prover Data Entry'!D55+StdTempCorr)-3.9818)+0.000007926504*(('Prover Data Entry'!D55+StdTempCorr)-3.9818)^2+-0.00000007575677*(('Prover Data Entry'!D55+StdTempCorr)-3.9818)^3+0.0000000007314894*(('Prover Data Entry'!D55+StdTempCorr)-3.9818)^4+-0.000000000003596458*(('Prover Data Entry'!D55+StdTempCorr)-3.9818)^5)))/1000)</f>
      </c>
      <c r="E14" s="334">
        <f>IF(ISBLANK('Prover Data Entry'!B55),"",IF(AND(RefTempUnit="Designated Reference Temperature For This Calibration (ºC)",NomValUnit="Nominal Volume (L)"),D14*(('Prover Data Entry'!C55+('Prover Data Entry'!E55/1000))*(1+(VLOOKUP('Prover Data Entry'!B55,MetricVol.Stds,8)*1.8)*(Calculations!C14-B14))),IF(AND(RefTempUnit="Designated Reference Temperature For This Calibration (ºF)",NomValUnit="Nominal Volume (L)"),D14*(('Prover Data Entry'!C55+('Prover Data Entry'!E55/1000))*(1+VLOOKUP('Prover Data Entry'!B55,MetricVol.Stds,8)*(Calculations!C14-B14))),IF(AND(RefTempUnit="Designated Reference Temperature For This Calibration (ºC)",NomValUnit="Nominal Volume (gal)"),D14*(('Prover Data Entry'!C55+('Prover Data Entry'!E55/231))*(1+(VLOOKUP('Prover Data Entry'!B55,CustomaryVol.Stds,8)*1.8)*(Calculations!C14-B14))),D14*(('Prover Data Entry'!C55+('Prover Data Entry'!E55/231))*(1+VLOOKUP('Prover Data Entry'!B55,CustomaryVol.Stds,8)*(Calculations!C14-B14)))))))</f>
      </c>
      <c r="F14" s="118">
        <v>9</v>
      </c>
      <c r="G14" s="332">
        <f>IF(ISBLANK('Prover Data Entry'!G55),"",IF(AND(RefTempUnit="Designated Reference Temperature For This Calibration (ºC)",NomValUnit="Nominal Volume (L)"),(VLOOKUP('Prover Data Entry'!G55,MetricVol.Stds,5,FALSE)-32)/1.8,IF(AND(RefTempUnit="Designated Reference Temperature For This Calibration (ºC)",NomValUnit="Nominal Volume (gal)"),(VLOOKUP('Prover Data Entry'!G55,CustomaryVol.Stds,5,FALSE)-32)/1.8,IF(AND(RefTempUnit="Designated Reference Temperature For This Calibration (ºF)",NomValUnit="Nominal Volume (L)"),VLOOKUP('Prover Data Entry'!G55,MetricVol.Stds,5,FALSE),VLOOKUP('Prover Data Entry'!G55,CustomaryVol.Stds,5,FALSE)))))</f>
      </c>
      <c r="H14" s="332">
        <f>IF(ISBLANK('Prover Data Entry'!G55),"",IF(RefTempUnit="Designated Reference Temperature For This Calibration (ºC)",'Prover Data Entry'!I55+StdTempCorr,('Prover Data Entry'!I55+StdTempCorr)*1.8+32))</f>
      </c>
      <c r="I14" s="333">
        <f>IF(ISBLANK('Prover Data Entry'!G55),"",(999.97358*(1-(0.000000070134*(('Prover Data Entry'!I55+StdTempCorr)-3.9818)+0.000007926504*(('Prover Data Entry'!I55+StdTempCorr)-3.9818)^2+-0.00000007575677*(('Prover Data Entry'!I55+StdTempCorr)-3.9818)^3+0.0000000007314894*(('Prover Data Entry'!I55+StdTempCorr)-3.9818)^4+-0.000000000003596458*(('Prover Data Entry'!I55+StdTempCorr)-3.9818)^5)))/1000)</f>
      </c>
      <c r="J14" s="335">
        <f>IF(ISBLANK('Prover Data Entry'!G55),"",IF(AND(RefTempUnit="Designated Reference Temperature For This Calibration (ºC)",NomValUnit="Nominal Volume (L)"),I14*(('Prover Data Entry'!H55+('Prover Data Entry'!J55/1000))*(1+(VLOOKUP('Prover Data Entry'!G55,MetricVol.Stds,8)*1.8)*(Calculations!H14-G14))),IF(AND(RefTempUnit="Designated Reference Temperature For This Calibration (ºF)",NomValUnit="Nominal Volume (L)"),I14*(('Prover Data Entry'!H55+('Prover Data Entry'!J55/1000))*(1+VLOOKUP('Prover Data Entry'!G55,MetricVol.Stds,8)*(Calculations!H14-G14))),IF(AND(RefTempUnit="Designated Reference Temperature For This Calibration (ºC)",NomValUnit="Nominal Volume (gal)"),I14*(('Prover Data Entry'!H55+('Prover Data Entry'!J55/231))*(1+(VLOOKUP('Prover Data Entry'!G55,CustomaryVol.Stds,8)*1.8)*(Calculations!H14-G14))),I14*(('Prover Data Entry'!H55+('Prover Data Entry'!J55/231))*(1+VLOOKUP('Prover Data Entry'!G55,CustomaryVol.Stds,8)*(Calculations!H14-G14)))))))</f>
      </c>
      <c r="K14" s="117"/>
    </row>
    <row r="15" spans="1:11" ht="15.75" customHeight="1">
      <c r="A15" s="118">
        <v>10</v>
      </c>
      <c r="B15" s="332">
        <f>IF(ISBLANK('Prover Data Entry'!B56),"",IF(AND(RefTempUnit="Designated Reference Temperature For This Calibration (ºC)",NomValUnit="Nominal Volume (L)"),(VLOOKUP('Prover Data Entry'!B56,MetricVol.Stds,5,FALSE)-32)/1.8,IF(AND(RefTempUnit="Designated Reference Temperature For This Calibration (ºC)",NomValUnit="Nominal Volume (gal)"),(VLOOKUP('Prover Data Entry'!B56,CustomaryVol.Stds,5,FALSE)-32)/1.8,IF(AND(RefTempUnit="Designated Reference Temperature For This Calibration (ºF)",NomValUnit="Nominal Volume (L)"),VLOOKUP('Prover Data Entry'!B56,MetricVol.Stds,5,FALSE),VLOOKUP('Prover Data Entry'!B56,CustomaryVol.Stds,5,FALSE)))))</f>
      </c>
      <c r="C15" s="332">
        <f>IF(ISBLANK('Prover Data Entry'!B56),"",IF(RefTempUnit="Designated Reference Temperature For This Calibration (ºC)",'Prover Data Entry'!D56+StdTempCorr,('Prover Data Entry'!D56+StdTempCorr)*1.8+32))</f>
      </c>
      <c r="D15" s="333">
        <f>IF(ISBLANK('Prover Data Entry'!B56),"",(999.97358*(1-(0.000000070134*(('Prover Data Entry'!D56+StdTempCorr)-3.9818)+0.000007926504*(('Prover Data Entry'!D56+StdTempCorr)-3.9818)^2+-0.00000007575677*(('Prover Data Entry'!D56+StdTempCorr)-3.9818)^3+0.0000000007314894*(('Prover Data Entry'!D56+StdTempCorr)-3.9818)^4+-0.000000000003596458*(('Prover Data Entry'!D56+StdTempCorr)-3.9818)^5)))/1000)</f>
      </c>
      <c r="E15" s="334">
        <f>IF(ISBLANK('Prover Data Entry'!B56),"",IF(AND(RefTempUnit="Designated Reference Temperature For This Calibration (ºC)",NomValUnit="Nominal Volume (L)"),D15*(('Prover Data Entry'!C56+('Prover Data Entry'!E56/1000))*(1+(VLOOKUP('Prover Data Entry'!B56,MetricVol.Stds,8)*1.8)*(Calculations!C15-B15))),IF(AND(RefTempUnit="Designated Reference Temperature For This Calibration (ºF)",NomValUnit="Nominal Volume (L)"),D15*(('Prover Data Entry'!C56+('Prover Data Entry'!E56/1000))*(1+VLOOKUP('Prover Data Entry'!B56,MetricVol.Stds,8)*(Calculations!C15-B15))),IF(AND(RefTempUnit="Designated Reference Temperature For This Calibration (ºC)",NomValUnit="Nominal Volume (gal)"),D15*(('Prover Data Entry'!C56+('Prover Data Entry'!E56/231))*(1+(VLOOKUP('Prover Data Entry'!B56,CustomaryVol.Stds,8)*1.8)*(Calculations!C15-B15))),D15*(('Prover Data Entry'!C56+('Prover Data Entry'!E56/231))*(1+VLOOKUP('Prover Data Entry'!B56,CustomaryVol.Stds,8)*(Calculations!C15-B15)))))))</f>
      </c>
      <c r="F15" s="118">
        <v>10</v>
      </c>
      <c r="G15" s="332">
        <f>IF(ISBLANK('Prover Data Entry'!G56),"",IF(AND(RefTempUnit="Designated Reference Temperature For This Calibration (ºC)",NomValUnit="Nominal Volume (L)"),(VLOOKUP('Prover Data Entry'!G56,MetricVol.Stds,5,FALSE)-32)/1.8,IF(AND(RefTempUnit="Designated Reference Temperature For This Calibration (ºC)",NomValUnit="Nominal Volume (gal)"),(VLOOKUP('Prover Data Entry'!G56,CustomaryVol.Stds,5,FALSE)-32)/1.8,IF(AND(RefTempUnit="Designated Reference Temperature For This Calibration (ºF)",NomValUnit="Nominal Volume (L)"),VLOOKUP('Prover Data Entry'!G56,MetricVol.Stds,5,FALSE),VLOOKUP('Prover Data Entry'!G56,CustomaryVol.Stds,5,FALSE)))))</f>
      </c>
      <c r="H15" s="332">
        <f>IF(ISBLANK('Prover Data Entry'!G56),"",IF(RefTempUnit="Designated Reference Temperature For This Calibration (ºC)",'Prover Data Entry'!I56+StdTempCorr,('Prover Data Entry'!I56+StdTempCorr)*1.8+32))</f>
      </c>
      <c r="I15" s="333">
        <f>IF(ISBLANK('Prover Data Entry'!G56),"",(999.97358*(1-(0.000000070134*(('Prover Data Entry'!I56+StdTempCorr)-3.9818)+0.000007926504*(('Prover Data Entry'!I56+StdTempCorr)-3.9818)^2+-0.00000007575677*(('Prover Data Entry'!I56+StdTempCorr)-3.9818)^3+0.0000000007314894*(('Prover Data Entry'!I56+StdTempCorr)-3.9818)^4+-0.000000000003596458*(('Prover Data Entry'!I56+StdTempCorr)-3.9818)^5)))/1000)</f>
      </c>
      <c r="J15" s="335">
        <f>IF(ISBLANK('Prover Data Entry'!G56),"",IF(AND(RefTempUnit="Designated Reference Temperature For This Calibration (ºC)",NomValUnit="Nominal Volume (L)"),I15*(('Prover Data Entry'!H56+('Prover Data Entry'!J56/1000))*(1+(VLOOKUP('Prover Data Entry'!G56,MetricVol.Stds,8)*1.8)*(Calculations!H15-G15))),IF(AND(RefTempUnit="Designated Reference Temperature For This Calibration (ºF)",NomValUnit="Nominal Volume (L)"),I15*(('Prover Data Entry'!H56+('Prover Data Entry'!J56/1000))*(1+VLOOKUP('Prover Data Entry'!G56,MetricVol.Stds,8)*(Calculations!H15-G15))),IF(AND(RefTempUnit="Designated Reference Temperature For This Calibration (ºC)",NomValUnit="Nominal Volume (gal)"),I15*(('Prover Data Entry'!H56+('Prover Data Entry'!J56/231))*(1+(VLOOKUP('Prover Data Entry'!G56,CustomaryVol.Stds,8)*1.8)*(Calculations!H15-G15))),I15*(('Prover Data Entry'!H56+('Prover Data Entry'!J56/231))*(1+VLOOKUP('Prover Data Entry'!G56,CustomaryVol.Stds,8)*(Calculations!H15-G15)))))))</f>
      </c>
      <c r="K15" s="117"/>
    </row>
    <row r="16" spans="1:11" ht="15.75" customHeight="1">
      <c r="A16" s="118">
        <v>11</v>
      </c>
      <c r="B16" s="332">
        <f>IF(ISBLANK('Prover Data Entry'!B57),"",IF(AND(RefTempUnit="Designated Reference Temperature For This Calibration (ºC)",NomValUnit="Nominal Volume (L)"),(VLOOKUP('Prover Data Entry'!B57,MetricVol.Stds,5,FALSE)-32)/1.8,IF(AND(RefTempUnit="Designated Reference Temperature For This Calibration (ºC)",NomValUnit="Nominal Volume (gal)"),(VLOOKUP('Prover Data Entry'!B57,CustomaryVol.Stds,5,FALSE)-32)/1.8,IF(AND(RefTempUnit="Designated Reference Temperature For This Calibration (ºF)",NomValUnit="Nominal Volume (L)"),VLOOKUP('Prover Data Entry'!B57,MetricVol.Stds,5,FALSE),VLOOKUP('Prover Data Entry'!B57,CustomaryVol.Stds,5,FALSE)))))</f>
      </c>
      <c r="C16" s="332">
        <f>IF(ISBLANK('Prover Data Entry'!B57),"",IF(RefTempUnit="Designated Reference Temperature For This Calibration (ºC)",'Prover Data Entry'!D57+StdTempCorr,('Prover Data Entry'!D57+StdTempCorr)*1.8+32))</f>
      </c>
      <c r="D16" s="333">
        <f>IF(ISBLANK('Prover Data Entry'!B57),"",(999.97358*(1-(0.000000070134*(('Prover Data Entry'!D57+StdTempCorr)-3.9818)+0.000007926504*(('Prover Data Entry'!D57+StdTempCorr)-3.9818)^2+-0.00000007575677*(('Prover Data Entry'!D57+StdTempCorr)-3.9818)^3+0.0000000007314894*(('Prover Data Entry'!D57+StdTempCorr)-3.9818)^4+-0.000000000003596458*(('Prover Data Entry'!D57+StdTempCorr)-3.9818)^5)))/1000)</f>
      </c>
      <c r="E16" s="334">
        <f>IF(ISBLANK('Prover Data Entry'!B57),"",IF(AND(RefTempUnit="Designated Reference Temperature For This Calibration (ºC)",NomValUnit="Nominal Volume (L)"),D16*(('Prover Data Entry'!C57+('Prover Data Entry'!E57/1000))*(1+(VLOOKUP('Prover Data Entry'!B57,MetricVol.Stds,8)*1.8)*(Calculations!C16-B16))),IF(AND(RefTempUnit="Designated Reference Temperature For This Calibration (ºF)",NomValUnit="Nominal Volume (L)"),D16*(('Prover Data Entry'!C57+('Prover Data Entry'!E57/1000))*(1+VLOOKUP('Prover Data Entry'!B57,MetricVol.Stds,8)*(Calculations!C16-B16))),IF(AND(RefTempUnit="Designated Reference Temperature For This Calibration (ºC)",NomValUnit="Nominal Volume (gal)"),D16*(('Prover Data Entry'!C57+('Prover Data Entry'!E57/231))*(1+(VLOOKUP('Prover Data Entry'!B57,CustomaryVol.Stds,8)*1.8)*(Calculations!C16-B16))),D16*(('Prover Data Entry'!C57+('Prover Data Entry'!E57/231))*(1+VLOOKUP('Prover Data Entry'!B57,CustomaryVol.Stds,8)*(Calculations!C16-B16)))))))</f>
      </c>
      <c r="F16" s="118">
        <v>11</v>
      </c>
      <c r="G16" s="332">
        <f>IF(ISBLANK('Prover Data Entry'!G57),"",IF(AND(RefTempUnit="Designated Reference Temperature For This Calibration (ºC)",NomValUnit="Nominal Volume (L)"),(VLOOKUP('Prover Data Entry'!G57,MetricVol.Stds,5,FALSE)-32)/1.8,IF(AND(RefTempUnit="Designated Reference Temperature For This Calibration (ºC)",NomValUnit="Nominal Volume (gal)"),(VLOOKUP('Prover Data Entry'!G57,CustomaryVol.Stds,5,FALSE)-32)/1.8,IF(AND(RefTempUnit="Designated Reference Temperature For This Calibration (ºF)",NomValUnit="Nominal Volume (L)"),VLOOKUP('Prover Data Entry'!G57,MetricVol.Stds,5,FALSE),VLOOKUP('Prover Data Entry'!G57,CustomaryVol.Stds,5,FALSE)))))</f>
      </c>
      <c r="H16" s="332">
        <f>IF(ISBLANK('Prover Data Entry'!G57),"",IF(RefTempUnit="Designated Reference Temperature For This Calibration (ºC)",'Prover Data Entry'!I57+StdTempCorr,('Prover Data Entry'!I57+StdTempCorr)*1.8+32))</f>
      </c>
      <c r="I16" s="333">
        <f>IF(ISBLANK('Prover Data Entry'!G57),"",(999.97358*(1-(0.000000070134*(('Prover Data Entry'!I57+StdTempCorr)-3.9818)+0.000007926504*(('Prover Data Entry'!I57+StdTempCorr)-3.9818)^2+-0.00000007575677*(('Prover Data Entry'!I57+StdTempCorr)-3.9818)^3+0.0000000007314894*(('Prover Data Entry'!I57+StdTempCorr)-3.9818)^4+-0.000000000003596458*(('Prover Data Entry'!I57+StdTempCorr)-3.9818)^5)))/1000)</f>
      </c>
      <c r="J16" s="335">
        <f>IF(ISBLANK('Prover Data Entry'!G57),"",IF(AND(RefTempUnit="Designated Reference Temperature For This Calibration (ºC)",NomValUnit="Nominal Volume (L)"),I16*(('Prover Data Entry'!H57+('Prover Data Entry'!J57/1000))*(1+(VLOOKUP('Prover Data Entry'!G57,MetricVol.Stds,8)*1.8)*(Calculations!H16-G16))),IF(AND(RefTempUnit="Designated Reference Temperature For This Calibration (ºF)",NomValUnit="Nominal Volume (L)"),I16*(('Prover Data Entry'!H57+('Prover Data Entry'!J57/1000))*(1+VLOOKUP('Prover Data Entry'!G57,MetricVol.Stds,8)*(Calculations!H16-G16))),IF(AND(RefTempUnit="Designated Reference Temperature For This Calibration (ºC)",NomValUnit="Nominal Volume (gal)"),I16*(('Prover Data Entry'!H57+('Prover Data Entry'!J57/231))*(1+(VLOOKUP('Prover Data Entry'!G57,CustomaryVol.Stds,8)*1.8)*(Calculations!H16-G16))),I16*(('Prover Data Entry'!H57+('Prover Data Entry'!J57/231))*(1+VLOOKUP('Prover Data Entry'!G57,CustomaryVol.Stds,8)*(Calculations!H16-G16)))))))</f>
      </c>
      <c r="K16" s="117"/>
    </row>
    <row r="17" spans="1:11" ht="15.75" customHeight="1">
      <c r="A17" s="118">
        <v>12</v>
      </c>
      <c r="B17" s="332">
        <f>IF(ISBLANK('Prover Data Entry'!B58),"",IF(AND(RefTempUnit="Designated Reference Temperature For This Calibration (ºC)",NomValUnit="Nominal Volume (L)"),(VLOOKUP('Prover Data Entry'!B58,MetricVol.Stds,5,FALSE)-32)/1.8,IF(AND(RefTempUnit="Designated Reference Temperature For This Calibration (ºC)",NomValUnit="Nominal Volume (gal)"),(VLOOKUP('Prover Data Entry'!B58,CustomaryVol.Stds,5,FALSE)-32)/1.8,IF(AND(RefTempUnit="Designated Reference Temperature For This Calibration (ºF)",NomValUnit="Nominal Volume (L)"),VLOOKUP('Prover Data Entry'!B58,MetricVol.Stds,5,FALSE),VLOOKUP('Prover Data Entry'!B58,CustomaryVol.Stds,5,FALSE)))))</f>
      </c>
      <c r="C17" s="332">
        <f>IF(ISBLANK('Prover Data Entry'!B58),"",IF(RefTempUnit="Designated Reference Temperature For This Calibration (ºC)",'Prover Data Entry'!D58+StdTempCorr,('Prover Data Entry'!D58+StdTempCorr)*1.8+32))</f>
      </c>
      <c r="D17" s="333">
        <f>IF(ISBLANK('Prover Data Entry'!B58),"",(999.97358*(1-(0.000000070134*(('Prover Data Entry'!D58+StdTempCorr)-3.9818)+0.000007926504*(('Prover Data Entry'!D58+StdTempCorr)-3.9818)^2+-0.00000007575677*(('Prover Data Entry'!D58+StdTempCorr)-3.9818)^3+0.0000000007314894*(('Prover Data Entry'!D58+StdTempCorr)-3.9818)^4+-0.000000000003596458*(('Prover Data Entry'!D58+StdTempCorr)-3.9818)^5)))/1000)</f>
      </c>
      <c r="E17" s="334">
        <f>IF(ISBLANK('Prover Data Entry'!B58),"",IF(AND(RefTempUnit="Designated Reference Temperature For This Calibration (ºC)",NomValUnit="Nominal Volume (L)"),D17*(('Prover Data Entry'!C58+('Prover Data Entry'!E58/1000))*(1+(VLOOKUP('Prover Data Entry'!B58,MetricVol.Stds,8)*1.8)*(Calculations!C17-B17))),IF(AND(RefTempUnit="Designated Reference Temperature For This Calibration (ºF)",NomValUnit="Nominal Volume (L)"),D17*(('Prover Data Entry'!C58+('Prover Data Entry'!E58/1000))*(1+VLOOKUP('Prover Data Entry'!B58,MetricVol.Stds,8)*(Calculations!C17-B17))),IF(AND(RefTempUnit="Designated Reference Temperature For This Calibration (ºC)",NomValUnit="Nominal Volume (gal)"),D17*(('Prover Data Entry'!C58+('Prover Data Entry'!E58/231))*(1+(VLOOKUP('Prover Data Entry'!B58,CustomaryVol.Stds,8)*1.8)*(Calculations!C17-B17))),D17*(('Prover Data Entry'!C58+('Prover Data Entry'!E58/231))*(1+VLOOKUP('Prover Data Entry'!B58,CustomaryVol.Stds,8)*(Calculations!C17-B17)))))))</f>
      </c>
      <c r="F17" s="118">
        <v>12</v>
      </c>
      <c r="G17" s="332">
        <f>IF(ISBLANK('Prover Data Entry'!G58),"",IF(AND(RefTempUnit="Designated Reference Temperature For This Calibration (ºC)",NomValUnit="Nominal Volume (L)"),(VLOOKUP('Prover Data Entry'!G58,MetricVol.Stds,5,FALSE)-32)/1.8,IF(AND(RefTempUnit="Designated Reference Temperature For This Calibration (ºC)",NomValUnit="Nominal Volume (gal)"),(VLOOKUP('Prover Data Entry'!G58,CustomaryVol.Stds,5,FALSE)-32)/1.8,IF(AND(RefTempUnit="Designated Reference Temperature For This Calibration (ºF)",NomValUnit="Nominal Volume (L)"),VLOOKUP('Prover Data Entry'!G58,MetricVol.Stds,5,FALSE),VLOOKUP('Prover Data Entry'!G58,CustomaryVol.Stds,5,FALSE)))))</f>
      </c>
      <c r="H17" s="332">
        <f>IF(ISBLANK('Prover Data Entry'!G58),"",IF(RefTempUnit="Designated Reference Temperature For This Calibration (ºC)",'Prover Data Entry'!I58+StdTempCorr,('Prover Data Entry'!I58+StdTempCorr)*1.8+32))</f>
      </c>
      <c r="I17" s="333">
        <f>IF(ISBLANK('Prover Data Entry'!G58),"",(999.97358*(1-(0.000000070134*(('Prover Data Entry'!I58+StdTempCorr)-3.9818)+0.000007926504*(('Prover Data Entry'!I58+StdTempCorr)-3.9818)^2+-0.00000007575677*(('Prover Data Entry'!I58+StdTempCorr)-3.9818)^3+0.0000000007314894*(('Prover Data Entry'!I58+StdTempCorr)-3.9818)^4+-0.000000000003596458*(('Prover Data Entry'!I58+StdTempCorr)-3.9818)^5)))/1000)</f>
      </c>
      <c r="J17" s="335">
        <f>IF(ISBLANK('Prover Data Entry'!G58),"",IF(AND(RefTempUnit="Designated Reference Temperature For This Calibration (ºC)",NomValUnit="Nominal Volume (L)"),I17*(('Prover Data Entry'!H58+('Prover Data Entry'!J58/1000))*(1+(VLOOKUP('Prover Data Entry'!G58,MetricVol.Stds,8)*1.8)*(Calculations!H17-G17))),IF(AND(RefTempUnit="Designated Reference Temperature For This Calibration (ºF)",NomValUnit="Nominal Volume (L)"),I17*(('Prover Data Entry'!H58+('Prover Data Entry'!J58/1000))*(1+VLOOKUP('Prover Data Entry'!G58,MetricVol.Stds,8)*(Calculations!H17-G17))),IF(AND(RefTempUnit="Designated Reference Temperature For This Calibration (ºC)",NomValUnit="Nominal Volume (gal)"),I17*(('Prover Data Entry'!H58+('Prover Data Entry'!J58/231))*(1+(VLOOKUP('Prover Data Entry'!G58,CustomaryVol.Stds,8)*1.8)*(Calculations!H17-G17))),I17*(('Prover Data Entry'!H58+('Prover Data Entry'!J58/231))*(1+VLOOKUP('Prover Data Entry'!G58,CustomaryVol.Stds,8)*(Calculations!H17-G17)))))))</f>
      </c>
      <c r="K17" s="117"/>
    </row>
    <row r="18" spans="1:11" ht="15.75" customHeight="1">
      <c r="A18" s="118">
        <v>13</v>
      </c>
      <c r="B18" s="332">
        <f>IF(ISBLANK('Prover Data Entry'!B59),"",IF(AND(RefTempUnit="Designated Reference Temperature For This Calibration (ºC)",NomValUnit="Nominal Volume (L)"),(VLOOKUP('Prover Data Entry'!B59,MetricVol.Stds,5,FALSE)-32)/1.8,IF(AND(RefTempUnit="Designated Reference Temperature For This Calibration (ºC)",NomValUnit="Nominal Volume (gal)"),(VLOOKUP('Prover Data Entry'!B59,CustomaryVol.Stds,5,FALSE)-32)/1.8,IF(AND(RefTempUnit="Designated Reference Temperature For This Calibration (ºF)",NomValUnit="Nominal Volume (L)"),VLOOKUP('Prover Data Entry'!B59,MetricVol.Stds,5,FALSE),VLOOKUP('Prover Data Entry'!B59,CustomaryVol.Stds,5,FALSE)))))</f>
      </c>
      <c r="C18" s="332">
        <f>IF(ISBLANK('Prover Data Entry'!B59),"",IF(RefTempUnit="Designated Reference Temperature For This Calibration (ºC)",'Prover Data Entry'!D59+StdTempCorr,('Prover Data Entry'!D59+StdTempCorr)*1.8+32))</f>
      </c>
      <c r="D18" s="333">
        <f>IF(ISBLANK('Prover Data Entry'!B59),"",(999.97358*(1-(0.000000070134*(('Prover Data Entry'!D59+StdTempCorr)-3.9818)+0.000007926504*(('Prover Data Entry'!D59+StdTempCorr)-3.9818)^2+-0.00000007575677*(('Prover Data Entry'!D59+StdTempCorr)-3.9818)^3+0.0000000007314894*(('Prover Data Entry'!D59+StdTempCorr)-3.9818)^4+-0.000000000003596458*(('Prover Data Entry'!D59+StdTempCorr)-3.9818)^5)))/1000)</f>
      </c>
      <c r="E18" s="334">
        <f>IF(ISBLANK('Prover Data Entry'!B59),"",IF(AND(RefTempUnit="Designated Reference Temperature For This Calibration (ºC)",NomValUnit="Nominal Volume (L)"),D18*(('Prover Data Entry'!C59+('Prover Data Entry'!E59/1000))*(1+(VLOOKUP('Prover Data Entry'!B59,MetricVol.Stds,8)*1.8)*(Calculations!C18-B18))),IF(AND(RefTempUnit="Designated Reference Temperature For This Calibration (ºF)",NomValUnit="Nominal Volume (L)"),D18*(('Prover Data Entry'!C59+('Prover Data Entry'!E59/1000))*(1+VLOOKUP('Prover Data Entry'!B59,MetricVol.Stds,8)*(Calculations!C18-B18))),IF(AND(RefTempUnit="Designated Reference Temperature For This Calibration (ºC)",NomValUnit="Nominal Volume (gal)"),D18*(('Prover Data Entry'!C59+('Prover Data Entry'!E59/231))*(1+(VLOOKUP('Prover Data Entry'!B59,CustomaryVol.Stds,8)*1.8)*(Calculations!C18-B18))),D18*(('Prover Data Entry'!C59+('Prover Data Entry'!E59/231))*(1+VLOOKUP('Prover Data Entry'!B59,CustomaryVol.Stds,8)*(Calculations!C18-B18)))))))</f>
      </c>
      <c r="F18" s="118">
        <v>13</v>
      </c>
      <c r="G18" s="332">
        <f>IF(ISBLANK('Prover Data Entry'!G59),"",IF(AND(RefTempUnit="Designated Reference Temperature For This Calibration (ºC)",NomValUnit="Nominal Volume (L)"),(VLOOKUP('Prover Data Entry'!G59,MetricVol.Stds,5,FALSE)-32)/1.8,IF(AND(RefTempUnit="Designated Reference Temperature For This Calibration (ºC)",NomValUnit="Nominal Volume (gal)"),(VLOOKUP('Prover Data Entry'!G59,CustomaryVol.Stds,5,FALSE)-32)/1.8,IF(AND(RefTempUnit="Designated Reference Temperature For This Calibration (ºF)",NomValUnit="Nominal Volume (L)"),VLOOKUP('Prover Data Entry'!G59,MetricVol.Stds,5,FALSE),VLOOKUP('Prover Data Entry'!G59,CustomaryVol.Stds,5,FALSE)))))</f>
      </c>
      <c r="H18" s="332">
        <f>IF(ISBLANK('Prover Data Entry'!G59),"",IF(RefTempUnit="Designated Reference Temperature For This Calibration (ºC)",'Prover Data Entry'!I59+StdTempCorr,('Prover Data Entry'!I59+StdTempCorr)*1.8+32))</f>
      </c>
      <c r="I18" s="333">
        <f>IF(ISBLANK('Prover Data Entry'!G59),"",(999.97358*(1-(0.000000070134*(('Prover Data Entry'!I59+StdTempCorr)-3.9818)+0.000007926504*(('Prover Data Entry'!I59+StdTempCorr)-3.9818)^2+-0.00000007575677*(('Prover Data Entry'!I59+StdTempCorr)-3.9818)^3+0.0000000007314894*(('Prover Data Entry'!I59+StdTempCorr)-3.9818)^4+-0.000000000003596458*(('Prover Data Entry'!I59+StdTempCorr)-3.9818)^5)))/1000)</f>
      </c>
      <c r="J18" s="335">
        <f>IF(ISBLANK('Prover Data Entry'!G59),"",IF(AND(RefTempUnit="Designated Reference Temperature For This Calibration (ºC)",NomValUnit="Nominal Volume (L)"),I18*(('Prover Data Entry'!H59+('Prover Data Entry'!J59/1000))*(1+(VLOOKUP('Prover Data Entry'!G59,MetricVol.Stds,8)*1.8)*(Calculations!H18-G18))),IF(AND(RefTempUnit="Designated Reference Temperature For This Calibration (ºF)",NomValUnit="Nominal Volume (L)"),I18*(('Prover Data Entry'!H59+('Prover Data Entry'!J59/1000))*(1+VLOOKUP('Prover Data Entry'!G59,MetricVol.Stds,8)*(Calculations!H18-G18))),IF(AND(RefTempUnit="Designated Reference Temperature For This Calibration (ºC)",NomValUnit="Nominal Volume (gal)"),I18*(('Prover Data Entry'!H59+('Prover Data Entry'!J59/231))*(1+(VLOOKUP('Prover Data Entry'!G59,CustomaryVol.Stds,8)*1.8)*(Calculations!H18-G18))),I18*(('Prover Data Entry'!H59+('Prover Data Entry'!J59/231))*(1+VLOOKUP('Prover Data Entry'!G59,CustomaryVol.Stds,8)*(Calculations!H18-G18)))))))</f>
      </c>
      <c r="K18" s="117"/>
    </row>
    <row r="19" spans="1:11" ht="15.75" customHeight="1">
      <c r="A19" s="118">
        <v>14</v>
      </c>
      <c r="B19" s="332">
        <f>IF(ISBLANK('Prover Data Entry'!B60),"",IF(AND(RefTempUnit="Designated Reference Temperature For This Calibration (ºC)",NomValUnit="Nominal Volume (L)"),(VLOOKUP('Prover Data Entry'!B60,MetricVol.Stds,5,FALSE)-32)/1.8,IF(AND(RefTempUnit="Designated Reference Temperature For This Calibration (ºC)",NomValUnit="Nominal Volume (gal)"),(VLOOKUP('Prover Data Entry'!B60,CustomaryVol.Stds,5,FALSE)-32)/1.8,IF(AND(RefTempUnit="Designated Reference Temperature For This Calibration (ºF)",NomValUnit="Nominal Volume (L)"),VLOOKUP('Prover Data Entry'!B60,MetricVol.Stds,5,FALSE),VLOOKUP('Prover Data Entry'!B60,CustomaryVol.Stds,5,FALSE)))))</f>
      </c>
      <c r="C19" s="332">
        <f>IF(ISBLANK('Prover Data Entry'!B60),"",IF(RefTempUnit="Designated Reference Temperature For This Calibration (ºC)",'Prover Data Entry'!D60+StdTempCorr,('Prover Data Entry'!D60+StdTempCorr)*1.8+32))</f>
      </c>
      <c r="D19" s="333">
        <f>IF(ISBLANK('Prover Data Entry'!B60),"",(999.97358*(1-(0.000000070134*(('Prover Data Entry'!D60+StdTempCorr)-3.9818)+0.000007926504*(('Prover Data Entry'!D60+StdTempCorr)-3.9818)^2+-0.00000007575677*(('Prover Data Entry'!D60+StdTempCorr)-3.9818)^3+0.0000000007314894*(('Prover Data Entry'!D60+StdTempCorr)-3.9818)^4+-0.000000000003596458*(('Prover Data Entry'!D60+StdTempCorr)-3.9818)^5)))/1000)</f>
      </c>
      <c r="E19" s="334">
        <f>IF(ISBLANK('Prover Data Entry'!B60),"",IF(AND(RefTempUnit="Designated Reference Temperature For This Calibration (ºC)",NomValUnit="Nominal Volume (L)"),D19*(('Prover Data Entry'!C60+('Prover Data Entry'!E60/1000))*(1+(VLOOKUP('Prover Data Entry'!B60,MetricVol.Stds,8)*1.8)*(Calculations!C19-B19))),IF(AND(RefTempUnit="Designated Reference Temperature For This Calibration (ºF)",NomValUnit="Nominal Volume (L)"),D19*(('Prover Data Entry'!C60+('Prover Data Entry'!E60/1000))*(1+VLOOKUP('Prover Data Entry'!B60,MetricVol.Stds,8)*(Calculations!C19-B19))),IF(AND(RefTempUnit="Designated Reference Temperature For This Calibration (ºC)",NomValUnit="Nominal Volume (gal)"),D19*(('Prover Data Entry'!C60+('Prover Data Entry'!E60/231))*(1+(VLOOKUP('Prover Data Entry'!B60,CustomaryVol.Stds,8)*1.8)*(Calculations!C19-B19))),D19*(('Prover Data Entry'!C60+('Prover Data Entry'!E60/231))*(1+VLOOKUP('Prover Data Entry'!B60,CustomaryVol.Stds,8)*(Calculations!C19-B19)))))))</f>
      </c>
      <c r="F19" s="118">
        <v>14</v>
      </c>
      <c r="G19" s="332">
        <f>IF(ISBLANK('Prover Data Entry'!G60),"",IF(AND(RefTempUnit="Designated Reference Temperature For This Calibration (ºC)",NomValUnit="Nominal Volume (L)"),(VLOOKUP('Prover Data Entry'!G60,MetricVol.Stds,5,FALSE)-32)/1.8,IF(AND(RefTempUnit="Designated Reference Temperature For This Calibration (ºC)",NomValUnit="Nominal Volume (gal)"),(VLOOKUP('Prover Data Entry'!G60,CustomaryVol.Stds,5,FALSE)-32)/1.8,IF(AND(RefTempUnit="Designated Reference Temperature For This Calibration (ºF)",NomValUnit="Nominal Volume (L)"),VLOOKUP('Prover Data Entry'!G60,MetricVol.Stds,5,FALSE),VLOOKUP('Prover Data Entry'!G60,CustomaryVol.Stds,5,FALSE)))))</f>
      </c>
      <c r="H19" s="332">
        <f>IF(ISBLANK('Prover Data Entry'!G60),"",IF(RefTempUnit="Designated Reference Temperature For This Calibration (ºC)",'Prover Data Entry'!I60+StdTempCorr,('Prover Data Entry'!I60+StdTempCorr)*1.8+32))</f>
      </c>
      <c r="I19" s="333">
        <f>IF(ISBLANK('Prover Data Entry'!G60),"",(999.97358*(1-(0.000000070134*(('Prover Data Entry'!I60+StdTempCorr)-3.9818)+0.000007926504*(('Prover Data Entry'!I60+StdTempCorr)-3.9818)^2+-0.00000007575677*(('Prover Data Entry'!I60+StdTempCorr)-3.9818)^3+0.0000000007314894*(('Prover Data Entry'!I60+StdTempCorr)-3.9818)^4+-0.000000000003596458*(('Prover Data Entry'!I60+StdTempCorr)-3.9818)^5)))/1000)</f>
      </c>
      <c r="J19" s="335">
        <f>IF(ISBLANK('Prover Data Entry'!G60),"",IF(AND(RefTempUnit="Designated Reference Temperature For This Calibration (ºC)",NomValUnit="Nominal Volume (L)"),I19*(('Prover Data Entry'!H60+('Prover Data Entry'!J60/1000))*(1+(VLOOKUP('Prover Data Entry'!G60,MetricVol.Stds,8)*1.8)*(Calculations!H19-G19))),IF(AND(RefTempUnit="Designated Reference Temperature For This Calibration (ºF)",NomValUnit="Nominal Volume (L)"),I19*(('Prover Data Entry'!H60+('Prover Data Entry'!J60/1000))*(1+VLOOKUP('Prover Data Entry'!G60,MetricVol.Stds,8)*(Calculations!H19-G19))),IF(AND(RefTempUnit="Designated Reference Temperature For This Calibration (ºC)",NomValUnit="Nominal Volume (gal)"),I19*(('Prover Data Entry'!H60+('Prover Data Entry'!J60/231))*(1+(VLOOKUP('Prover Data Entry'!G60,CustomaryVol.Stds,8)*1.8)*(Calculations!H19-G19))),I19*(('Prover Data Entry'!H60+('Prover Data Entry'!J60/231))*(1+VLOOKUP('Prover Data Entry'!G60,CustomaryVol.Stds,8)*(Calculations!H19-G19)))))))</f>
      </c>
      <c r="K19" s="117"/>
    </row>
    <row r="20" spans="1:11" ht="15.75" customHeight="1">
      <c r="A20" s="167">
        <v>15</v>
      </c>
      <c r="B20" s="332">
        <f>IF(ISBLANK('Prover Data Entry'!B61),"",IF(AND(RefTempUnit="Designated Reference Temperature For This Calibration (ºC)",NomValUnit="Nominal Volume (L)"),(VLOOKUP('Prover Data Entry'!B61,MetricVol.Stds,5,FALSE)-32)/1.8,IF(AND(RefTempUnit="Designated Reference Temperature For This Calibration (ºC)",NomValUnit="Nominal Volume (gal)"),(VLOOKUP('Prover Data Entry'!B61,CustomaryVol.Stds,5,FALSE)-32)/1.8,IF(AND(RefTempUnit="Designated Reference Temperature For This Calibration (ºF)",NomValUnit="Nominal Volume (L)"),VLOOKUP('Prover Data Entry'!B61,MetricVol.Stds,5,FALSE),VLOOKUP('Prover Data Entry'!B61,CustomaryVol.Stds,5,FALSE)))))</f>
      </c>
      <c r="C20" s="332">
        <f>IF(ISBLANK('Prover Data Entry'!B61),"",IF(RefTempUnit="Designated Reference Temperature For This Calibration (ºC)",'Prover Data Entry'!D61+StdTempCorr,('Prover Data Entry'!D61+StdTempCorr)*1.8+32))</f>
      </c>
      <c r="D20" s="333">
        <f>IF(ISBLANK('Prover Data Entry'!B61),"",(999.97358*(1-(0.000000070134*(('Prover Data Entry'!D61+StdTempCorr)-3.9818)+0.000007926504*(('Prover Data Entry'!D61+StdTempCorr)-3.9818)^2+-0.00000007575677*(('Prover Data Entry'!D61+StdTempCorr)-3.9818)^3+0.0000000007314894*(('Prover Data Entry'!D61+StdTempCorr)-3.9818)^4+-0.000000000003596458*(('Prover Data Entry'!D61+StdTempCorr)-3.9818)^5)))/1000)</f>
      </c>
      <c r="E20" s="334">
        <f>IF(ISBLANK('Prover Data Entry'!B61),"",IF(AND(RefTempUnit="Designated Reference Temperature For This Calibration (ºC)",NomValUnit="Nominal Volume (L)"),D20*(('Prover Data Entry'!C61+('Prover Data Entry'!E61/1000))*(1+(VLOOKUP('Prover Data Entry'!B61,MetricVol.Stds,8)*1.8)*(Calculations!C20-B20))),IF(AND(RefTempUnit="Designated Reference Temperature For This Calibration (ºF)",NomValUnit="Nominal Volume (L)"),D20*(('Prover Data Entry'!C61+('Prover Data Entry'!E61/1000))*(1+VLOOKUP('Prover Data Entry'!B61,MetricVol.Stds,8)*(Calculations!C20-B20))),IF(AND(RefTempUnit="Designated Reference Temperature For This Calibration (ºC)",NomValUnit="Nominal Volume (gal)"),D20*(('Prover Data Entry'!C61+('Prover Data Entry'!E61/231))*(1+(VLOOKUP('Prover Data Entry'!B61,CustomaryVol.Stds,8)*1.8)*(Calculations!C20-B20))),D20*(('Prover Data Entry'!C61+('Prover Data Entry'!E61/231))*(1+VLOOKUP('Prover Data Entry'!B61,CustomaryVol.Stds,8)*(Calculations!C20-B20)))))))</f>
      </c>
      <c r="F20" s="167">
        <v>15</v>
      </c>
      <c r="G20" s="332">
        <f>IF(ISBLANK('Prover Data Entry'!G61),"",IF(AND(RefTempUnit="Designated Reference Temperature For This Calibration (ºC)",NomValUnit="Nominal Volume (L)"),(VLOOKUP('Prover Data Entry'!G61,MetricVol.Stds,5,FALSE)-32)/1.8,IF(AND(RefTempUnit="Designated Reference Temperature For This Calibration (ºC)",NomValUnit="Nominal Volume (gal)"),(VLOOKUP('Prover Data Entry'!G61,CustomaryVol.Stds,5,FALSE)-32)/1.8,IF(AND(RefTempUnit="Designated Reference Temperature For This Calibration (ºF)",NomValUnit="Nominal Volume (L)"),VLOOKUP('Prover Data Entry'!G61,MetricVol.Stds,5,FALSE),VLOOKUP('Prover Data Entry'!G61,CustomaryVol.Stds,5,FALSE)))))</f>
      </c>
      <c r="H20" s="332">
        <f>IF(ISBLANK('Prover Data Entry'!G61),"",IF(RefTempUnit="Designated Reference Temperature For This Calibration (ºC)",'Prover Data Entry'!I61+StdTempCorr,('Prover Data Entry'!I61+StdTempCorr)*1.8+32))</f>
      </c>
      <c r="I20" s="333">
        <f>IF(ISBLANK('Prover Data Entry'!G61),"",(999.97358*(1-(0.000000070134*(('Prover Data Entry'!I61+StdTempCorr)-3.9818)+0.000007926504*(('Prover Data Entry'!I61+StdTempCorr)-3.9818)^2+-0.00000007575677*(('Prover Data Entry'!I61+StdTempCorr)-3.9818)^3+0.0000000007314894*(('Prover Data Entry'!I61+StdTempCorr)-3.9818)^4+-0.000000000003596458*(('Prover Data Entry'!I61+StdTempCorr)-3.9818)^5)))/1000)</f>
      </c>
      <c r="J20" s="335">
        <f>IF(ISBLANK('Prover Data Entry'!G61),"",IF(AND(RefTempUnit="Designated Reference Temperature For This Calibration (ºC)",NomValUnit="Nominal Volume (L)"),I20*(('Prover Data Entry'!H61+('Prover Data Entry'!J61/1000))*(1+(VLOOKUP('Prover Data Entry'!G61,MetricVol.Stds,8)*1.8)*(Calculations!H20-G20))),IF(AND(RefTempUnit="Designated Reference Temperature For This Calibration (ºF)",NomValUnit="Nominal Volume (L)"),I20*(('Prover Data Entry'!H61+('Prover Data Entry'!J61/1000))*(1+VLOOKUP('Prover Data Entry'!G61,MetricVol.Stds,8)*(Calculations!H20-G20))),IF(AND(RefTempUnit="Designated Reference Temperature For This Calibration (ºC)",NomValUnit="Nominal Volume (gal)"),I20*(('Prover Data Entry'!H61+('Prover Data Entry'!J61/231))*(1+(VLOOKUP('Prover Data Entry'!G61,CustomaryVol.Stds,8)*1.8)*(Calculations!H20-G20))),I20*(('Prover Data Entry'!H61+('Prover Data Entry'!J61/231))*(1+VLOOKUP('Prover Data Entry'!G61,CustomaryVol.Stds,8)*(Calculations!H20-G20)))))))</f>
      </c>
      <c r="K20" s="117"/>
    </row>
    <row r="21" spans="1:11" ht="16.5" customHeight="1" thickBot="1">
      <c r="A21" s="584" t="str">
        <f>IF(NomValUnit="Nominal Volume (L)","Trial 1 Delivered Volume (L) =","Trial 1 Delivered Volume (gal) =")</f>
        <v>Trial 1 Delivered Volume (gal) =</v>
      </c>
      <c r="B21" s="585"/>
      <c r="C21" s="585"/>
      <c r="D21" s="585"/>
      <c r="E21" s="215">
        <f>IF(t_1="","",SUM(E6:E20))</f>
      </c>
      <c r="F21" s="584" t="str">
        <f>IF(NomValUnit="Nominal Volume (L)","Trial 2 Delivered Volume (L) =","Trial 2 Delivered Volume (gal) =")</f>
        <v>Trial 2 Delivered Volume (gal) =</v>
      </c>
      <c r="G21" s="585"/>
      <c r="H21" s="585"/>
      <c r="I21" s="585"/>
      <c r="J21" s="223">
        <f>IF(t_2="","",SUM(J6:J20))</f>
      </c>
      <c r="K21" s="119"/>
    </row>
    <row r="22" spans="1:11" ht="16.5" customHeight="1">
      <c r="A22" s="580" t="str">
        <f>Description&amp;" Trial 1"</f>
        <v> Trial 1</v>
      </c>
      <c r="B22" s="580"/>
      <c r="C22" s="580"/>
      <c r="D22" s="580"/>
      <c r="E22" s="580"/>
      <c r="F22" s="580" t="str">
        <f>Description&amp;" Trial 2"</f>
        <v> Trial 2</v>
      </c>
      <c r="G22" s="580"/>
      <c r="H22" s="580"/>
      <c r="I22" s="580"/>
      <c r="J22" s="580"/>
      <c r="K22" s="119"/>
    </row>
    <row r="23" spans="1:11" ht="16.5" customHeight="1">
      <c r="A23" s="572" t="s">
        <v>110</v>
      </c>
      <c r="B23" s="573"/>
      <c r="C23" s="573"/>
      <c r="D23" s="576">
        <f>IF(t_1="","",(999.97358*(1-(0.000000070134*(('Prover Data Entry'!E69+ProverTempCorr)-3.9818)+0.000007926504*(('Prover Data Entry'!E69+ProverTempCorr)-3.9818)^2+-0.00000007575677*(('Prover Data Entry'!E69+ProverTempCorr)-3.9818)^3+0.0000000007314894*(('Prover Data Entry'!E69+ProverTempCorr)-3.9818)^4+-0.000000000003596458*(('Prover Data Entry'!E69+ProverTempCorr)-3.9818)^5)))/1000)</f>
      </c>
      <c r="E23" s="576"/>
      <c r="F23" s="572" t="s">
        <v>110</v>
      </c>
      <c r="G23" s="573"/>
      <c r="H23" s="573"/>
      <c r="I23" s="576">
        <f>IF(t_2="","",(999.97358*(1-(0.000000070134*(('Prover Data Entry'!J69+ProverTempCorr)-3.9818)+0.000007926504*(('Prover Data Entry'!J69+ProverTempCorr)-3.9818)^2+-0.00000007575677*(('Prover Data Entry'!J69+ProverTempCorr)-3.9818)^3+0.0000000007314894*(('Prover Data Entry'!J69+ProverTempCorr)-3.9818)^4+-0.000000000003596458*(('Prover Data Entry'!J69+ProverTempCorr)-3.9818)^5)))/1000)</f>
      </c>
      <c r="J23" s="578"/>
      <c r="K23" s="117"/>
    </row>
    <row r="24" spans="1:11" ht="16.5" customHeight="1">
      <c r="A24" s="574" t="str">
        <f>IF(RefTempUnit="Designated Reference Temperature For This Calibration (ºC)","Water Temperature (ºC) =","Water Temperature (ºF) =")</f>
        <v>Water Temperature (ºF) =</v>
      </c>
      <c r="B24" s="575"/>
      <c r="C24" s="575"/>
      <c r="D24" s="577">
        <f>IF(t_1="","",IF(RefTempUnit="Designated Reference Temperature For This Calibration (ºC)",t_1+ProverTempCorr,(t_1+ProverTempCorr)*1.8+32))</f>
      </c>
      <c r="E24" s="577"/>
      <c r="F24" s="574" t="str">
        <f>IF(RefTempUnit="Designated Reference Temperature For This Calibration (ºC)","Water Temperature (ºC) =","Water Temperature (ºF) =")</f>
        <v>Water Temperature (ºF) =</v>
      </c>
      <c r="G24" s="575"/>
      <c r="H24" s="575"/>
      <c r="I24" s="577">
        <f>IF(t_2="","",IF(RefTempUnit="Designated Reference Temperature For This Calibration (ºC)",t_2+ProverTempCorr,(t_2+ProverTempCorr)*1.8+32))</f>
      </c>
      <c r="J24" s="579"/>
      <c r="K24" s="117"/>
    </row>
    <row r="25" spans="1:11" ht="12" customHeight="1">
      <c r="A25" s="113"/>
      <c r="B25" s="113"/>
      <c r="C25" s="113"/>
      <c r="D25" s="113"/>
      <c r="E25" s="113"/>
      <c r="F25" s="114"/>
      <c r="G25" s="114"/>
      <c r="H25" s="115"/>
      <c r="I25" s="113"/>
      <c r="J25" s="113"/>
      <c r="K25" s="113"/>
    </row>
    <row r="26" spans="1:11" ht="16.5" customHeight="1" thickBot="1">
      <c r="A26" s="120" t="str">
        <f>Description&amp;" Volume Determinations At The Designated Reference Temperature"</f>
        <v> Volume Determinations At The Designated Reference Temperature</v>
      </c>
      <c r="B26" s="120"/>
      <c r="C26" s="121"/>
      <c r="D26" s="122"/>
      <c r="E26" s="123"/>
      <c r="F26" s="123"/>
      <c r="G26" s="123"/>
      <c r="H26" s="124"/>
      <c r="I26" s="125"/>
      <c r="J26" s="125"/>
      <c r="K26" s="126"/>
    </row>
    <row r="27" spans="3:11" ht="16.5" customHeight="1">
      <c r="C27" s="156"/>
      <c r="D27" s="116" t="s">
        <v>233</v>
      </c>
      <c r="E27" s="569">
        <f>IF(E21="","",E21/(D23*(1+B*(Calculations!D24-RefT))))</f>
      </c>
      <c r="F27" s="569"/>
      <c r="G27" s="127">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I27" s="113"/>
      <c r="J27" s="113"/>
      <c r="K27" s="113"/>
    </row>
    <row r="28" spans="1:11" ht="16.5" customHeight="1">
      <c r="A28" s="163"/>
      <c r="B28" s="163"/>
      <c r="C28" s="164"/>
      <c r="D28" s="325" t="s">
        <v>234</v>
      </c>
      <c r="E28" s="570">
        <f>IF(J21="","",J21/(I23*(1+B*(Calculations!I24-RefT))))</f>
      </c>
      <c r="F28" s="570"/>
      <c r="G28" s="165">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H28" s="163"/>
      <c r="I28" s="166"/>
      <c r="J28" s="166"/>
      <c r="K28" s="113"/>
    </row>
    <row r="29" spans="1:11" ht="16.5" customHeight="1">
      <c r="A29" s="201"/>
      <c r="B29" s="201"/>
      <c r="C29" s="144"/>
      <c r="D29" s="116" t="str">
        <f>Description&amp;" Volume As Found ="</f>
        <v> Volume As Found =</v>
      </c>
      <c r="E29" s="571">
        <f>IF(E27="","",IF(OR(Scale.Unit="Scale Graduations (gal)",Scale.Unit="Scale Graduations (L)"),E27-('Prover Data Entry'!E65*NSCV),IF(Scale.Unit="Scale Graduations (mL)",E27-('Prover Data Entry'!E65/1000*NSCV),E27-('Prover Data Entry'!E65/231*NSCV))))</f>
      </c>
      <c r="F29" s="571"/>
      <c r="G29" s="204">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I29" s="126"/>
      <c r="J29" s="126"/>
      <c r="K29" s="113"/>
    </row>
    <row r="30" spans="1:11" ht="16.5" customHeight="1">
      <c r="A30" s="201"/>
      <c r="B30" s="201"/>
      <c r="C30" s="144"/>
      <c r="D30" s="116" t="str">
        <f>Description&amp;" Volume As Adjusted ="</f>
        <v> Volume As Adjusted =</v>
      </c>
      <c r="E30" s="566">
        <f>IF(E27="","",IF(OR(Scale.Unit="Scale Graduations (gal)",Scale.Unit="Scale Graduations (L)"),E27-('Prover Data Entry'!E71*NSCV),IF(Scale.Unit="Scale Graduations (mL)",E27-('Prover Data Entry'!E71/1000*NSCV),E27-('Prover Data Entry'!E71/231*NSCV))))</f>
      </c>
      <c r="F30" s="566"/>
      <c r="G30" s="128">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I30" s="203"/>
      <c r="J30" s="126"/>
      <c r="K30" s="113"/>
    </row>
    <row r="31" spans="1:11" ht="16.5" customHeight="1">
      <c r="A31" s="201"/>
      <c r="B31" s="201"/>
      <c r="C31" s="144"/>
      <c r="D31" s="116" t="str">
        <f>"Trial 2 "&amp;Description&amp;" Volume ="</f>
        <v>Trial 2  Volume =</v>
      </c>
      <c r="E31" s="566">
        <f>IF(E28="","",IF(OR(Scale.Unit="Scale Graduations (gal)",Scale.Unit="Scale Graduations (L)"),E28-('Prover Data Entry'!J65*NSCV),IF(Scale.Unit="Scale Graduations (mL)",E28-('Prover Data Entry'!J65/1000*NSCV),E28-('Prover Data Entry'!J65/231*NSCV))))</f>
      </c>
      <c r="F31" s="566"/>
      <c r="G31" s="202">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I31" s="126"/>
      <c r="J31" s="126"/>
      <c r="K31" s="113"/>
    </row>
    <row r="32" spans="1:11" ht="12" customHeight="1">
      <c r="A32" s="113"/>
      <c r="B32" s="113"/>
      <c r="C32" s="113"/>
      <c r="D32" s="113"/>
      <c r="E32" s="113"/>
      <c r="F32" s="114"/>
      <c r="G32" s="114"/>
      <c r="H32" s="115"/>
      <c r="I32" s="113"/>
      <c r="J32" s="113"/>
      <c r="K32" s="113"/>
    </row>
    <row r="33" spans="1:10" s="206" customFormat="1" ht="19.5" customHeight="1" thickBot="1">
      <c r="A33" s="205" t="s">
        <v>147</v>
      </c>
      <c r="B33" s="205"/>
      <c r="C33" s="205"/>
      <c r="D33" s="205"/>
      <c r="E33" s="205"/>
      <c r="F33" s="205"/>
      <c r="G33" s="205"/>
      <c r="H33" s="205"/>
      <c r="I33" s="205"/>
      <c r="J33" s="205"/>
    </row>
    <row r="34" spans="1:10" s="206" customFormat="1" ht="35.25" customHeight="1">
      <c r="A34" s="567" t="s">
        <v>150</v>
      </c>
      <c r="B34" s="567"/>
      <c r="C34" s="567"/>
      <c r="D34" s="567"/>
      <c r="E34" s="567"/>
      <c r="F34" s="567"/>
      <c r="G34" s="567"/>
      <c r="H34" s="567"/>
      <c r="I34" s="567"/>
      <c r="J34" s="567"/>
    </row>
    <row r="35" spans="4:10" s="206" customFormat="1" ht="19.5" customHeight="1">
      <c r="D35" s="207" t="s">
        <v>151</v>
      </c>
      <c r="E35" s="568">
        <f>IF(E29="","",0.07%*E29)</f>
      </c>
      <c r="F35" s="568"/>
      <c r="G35" s="209">
        <f>IF(Nom_Val="","",IF(NomValUnit="Nominal Volume (L)","L","gal"))</f>
      </c>
      <c r="H35" s="564">
        <f>IF(OR(E35="",E35="N/A"),"",IF(E36&lt;E35,"Uncertainty Meets Criteria.","Uncertainty Fails Criteria, Re-evaluate or Use Different Calibration Method."))</f>
      </c>
      <c r="I35" s="564"/>
      <c r="J35" s="564"/>
    </row>
    <row r="36" spans="1:10" s="206" customFormat="1" ht="19.5" customHeight="1">
      <c r="A36" s="209"/>
      <c r="B36" s="209"/>
      <c r="D36" s="207" t="s">
        <v>148</v>
      </c>
      <c r="E36" s="568">
        <f>IF(ReportedUnc="","",ReportedUnc)</f>
      </c>
      <c r="F36" s="568"/>
      <c r="G36" s="209">
        <f>IF(Nom_Val="","",IF(NomValUnit="Nominal Volume (L)","L","gal"))</f>
      </c>
      <c r="H36" s="564"/>
      <c r="I36" s="564"/>
      <c r="J36" s="564"/>
    </row>
    <row r="37" spans="1:10" s="206" customFormat="1" ht="12" customHeight="1">
      <c r="A37" s="209"/>
      <c r="B37" s="209"/>
      <c r="C37" s="207"/>
      <c r="D37" s="208"/>
      <c r="E37" s="208"/>
      <c r="F37" s="209"/>
      <c r="G37" s="209"/>
      <c r="H37" s="210"/>
      <c r="I37" s="211"/>
      <c r="J37" s="211"/>
    </row>
    <row r="38" spans="1:10" s="206" customFormat="1" ht="19.5" customHeight="1" thickBot="1">
      <c r="A38" s="205" t="s">
        <v>149</v>
      </c>
      <c r="B38" s="205"/>
      <c r="C38" s="205"/>
      <c r="D38" s="205"/>
      <c r="E38" s="205"/>
      <c r="F38" s="205"/>
      <c r="G38" s="205"/>
      <c r="H38" s="205"/>
      <c r="I38" s="205"/>
      <c r="J38" s="205"/>
    </row>
    <row r="39" spans="1:10" s="206" customFormat="1" ht="35.25" customHeight="1">
      <c r="A39" s="567" t="s">
        <v>154</v>
      </c>
      <c r="B39" s="567"/>
      <c r="C39" s="567"/>
      <c r="D39" s="567"/>
      <c r="E39" s="567"/>
      <c r="F39" s="567"/>
      <c r="G39" s="567"/>
      <c r="H39" s="567"/>
      <c r="I39" s="567"/>
      <c r="J39" s="567"/>
    </row>
    <row r="40" spans="1:7" s="206" customFormat="1" ht="19.5" customHeight="1">
      <c r="A40" s="209"/>
      <c r="B40" s="209"/>
      <c r="D40" s="207" t="s">
        <v>236</v>
      </c>
      <c r="E40" s="568">
        <f>IF(ReportedUnc="","",ABS(Tolerance-ReportedUnc))</f>
      </c>
      <c r="F40" s="568"/>
      <c r="G40" s="209">
        <f>IF(Nom_Val="","",IF(NomValUnit="Nominal Volume (L)","L","gal"))</f>
      </c>
    </row>
    <row r="41" spans="1:10" s="206" customFormat="1" ht="19.5" customHeight="1">
      <c r="A41" s="209"/>
      <c r="B41" s="209"/>
      <c r="D41" s="207" t="str">
        <f>Description&amp;" Volume Error As Found ="</f>
        <v> Volume Error As Found =</v>
      </c>
      <c r="E41" s="568">
        <f>IF(E29="","",E29-Nom_Val)</f>
      </c>
      <c r="F41" s="568"/>
      <c r="G41" s="209">
        <f>IF(Nom_Val="","",IF(NomValUnit="Nominal Volume (L)","L","gal"))</f>
      </c>
      <c r="H41" s="564">
        <f>IF(E41="","",IF(ABS(E41)&lt;=E40,"Artifact Found Within Tolerence.","Artifact Found Out-Of-Tolerance."))</f>
      </c>
      <c r="I41" s="564"/>
      <c r="J41" s="564"/>
    </row>
    <row r="42" spans="1:10" s="206" customFormat="1" ht="19.5" customHeight="1">
      <c r="A42" s="209"/>
      <c r="B42" s="209"/>
      <c r="D42" s="207" t="str">
        <f>Description&amp;" Volume Error As Left ="</f>
        <v> Volume Error As Left =</v>
      </c>
      <c r="E42" s="568">
        <f>IF(E31="","",IF('Prover Data Entry'!E65='Prover Data Entry'!E71,AVERAGE(E29,E31)-Nom_Val,AVERAGE(E30,E31)-Nom_Val))</f>
      </c>
      <c r="F42" s="568"/>
      <c r="G42" s="209">
        <f>IF(Nom_Val="","",IF(NomValUnit="Nominal Volume (L)","L","gal"))</f>
      </c>
      <c r="H42" s="564">
        <f>IF(E42="","",IF(ABS(E42)&lt;=E40,"Artifact Left Within Tolerence.","Artifact Left Out-Of-Tolerance."))</f>
      </c>
      <c r="I42" s="564"/>
      <c r="J42" s="564"/>
    </row>
    <row r="43" s="206" customFormat="1" ht="12" customHeight="1"/>
    <row r="44" spans="1:11" ht="16.5" customHeight="1" thickBot="1">
      <c r="A44" s="130" t="s">
        <v>237</v>
      </c>
      <c r="B44" s="130"/>
      <c r="C44" s="121"/>
      <c r="D44" s="131"/>
      <c r="E44" s="123"/>
      <c r="F44" s="123"/>
      <c r="G44" s="123"/>
      <c r="H44" s="124"/>
      <c r="I44" s="125"/>
      <c r="J44" s="125"/>
      <c r="K44" s="113"/>
    </row>
    <row r="45" spans="1:10" s="206" customFormat="1" ht="35.25" customHeight="1">
      <c r="A45" s="567" t="s">
        <v>155</v>
      </c>
      <c r="B45" s="567"/>
      <c r="C45" s="567"/>
      <c r="D45" s="567"/>
      <c r="E45" s="567"/>
      <c r="F45" s="567"/>
      <c r="G45" s="567"/>
      <c r="H45" s="567"/>
      <c r="I45" s="567"/>
      <c r="J45" s="567"/>
    </row>
    <row r="46" spans="3:11" ht="47.25" customHeight="1">
      <c r="C46" s="144"/>
      <c r="D46" s="116" t="s">
        <v>30</v>
      </c>
      <c r="E46" s="566">
        <f>IF(ISERROR(ABS(E30-E31)),"",IF(Range.Unit="Range Mean from CC (mL)",ABS(E30-E31)*1000,IF(Range.Unit="Range Mean from CC (in³)",ABS(E30-E31)*231,ABS(E30-E31))))</f>
      </c>
      <c r="F46" s="566"/>
      <c r="G46" s="128">
        <f>IF(Nom_Val="","",IF(Range.Unit="Range Mean from CC (L)","L",IF(Range.Unit="Range Mean from CC (mL)","mL",IF(Range.Unit="Range Mean from CC (gal)","gal","in³"))))</f>
      </c>
      <c r="H46" s="565">
        <f>IF(E46="","",IF(ABS(E30-E31)&lt;=Nom_Val*0.0002,"The Range of the Trials is Within 0.02% of the Prover Volume, Plot Range on Control Chart.","Range Test Fails, Investigate and Correct Any Problems, Then Redo Measurements"))</f>
      </c>
      <c r="I46" s="565"/>
      <c r="J46" s="565"/>
      <c r="K46" s="113"/>
    </row>
    <row r="47" spans="1:11" ht="12" customHeight="1">
      <c r="A47" s="113"/>
      <c r="B47" s="113"/>
      <c r="C47" s="113"/>
      <c r="D47" s="113"/>
      <c r="E47" s="113"/>
      <c r="F47" s="114"/>
      <c r="G47" s="114"/>
      <c r="H47" s="115"/>
      <c r="I47" s="113"/>
      <c r="J47" s="113"/>
      <c r="K47" s="113"/>
    </row>
    <row r="48" spans="1:11" ht="16.5" customHeight="1" thickBot="1">
      <c r="A48" s="130" t="s">
        <v>91</v>
      </c>
      <c r="B48" s="130"/>
      <c r="C48" s="124"/>
      <c r="D48" s="132"/>
      <c r="E48" s="124"/>
      <c r="F48" s="124"/>
      <c r="G48" s="124"/>
      <c r="H48" s="124"/>
      <c r="I48" s="125"/>
      <c r="J48" s="125"/>
      <c r="K48" s="113"/>
    </row>
    <row r="49" spans="1:11" ht="16.5" customHeight="1">
      <c r="A49" s="171"/>
      <c r="B49" s="171"/>
      <c r="C49" s="160"/>
      <c r="D49" s="145" t="s">
        <v>76</v>
      </c>
      <c r="E49" s="561">
        <f>IF(E27="","",VLOOKUP(ReportedUnc,Rnd.Table,2))</f>
      </c>
      <c r="F49" s="561"/>
      <c r="G49" s="133"/>
      <c r="H49" s="134"/>
      <c r="I49" s="133"/>
      <c r="J49" s="133"/>
      <c r="K49" s="113"/>
    </row>
    <row r="50" spans="3:11" ht="16.5" customHeight="1">
      <c r="C50" s="158"/>
      <c r="D50" s="159" t="str">
        <f>Description&amp;" Nominal Value ="</f>
        <v> Nominal Value =</v>
      </c>
      <c r="E50" s="562">
        <f>IF(ISBLANK(Nom_Val),"",Nom_Val)</f>
      </c>
      <c r="F50" s="562"/>
      <c r="G50" s="128">
        <f>IF(Nom_Val="","",IF(NomValUnit="Nominal Volume (L)","L","gal"))</f>
      </c>
      <c r="H50" s="129"/>
      <c r="I50" s="126"/>
      <c r="J50" s="126"/>
      <c r="K50" s="113"/>
    </row>
    <row r="51" spans="3:11" ht="16.5" customHeight="1">
      <c r="C51" s="157"/>
      <c r="D51" s="116" t="str">
        <f>Specification&amp;" Tolerance ="</f>
        <v> Tolerance =</v>
      </c>
      <c r="E51" s="563">
        <f>IF(Nom_Val="","",FIXED(Nom_Val*'Prover Data Entry'!I15%,Rnd.Factor))</f>
      </c>
      <c r="F51" s="563"/>
      <c r="G51" s="128">
        <f>IF(Nom_Val="","",IF(NomValUnit="Nominal Volume (L)","L","gal"))</f>
      </c>
      <c r="H51" s="129"/>
      <c r="I51" s="126"/>
      <c r="J51" s="126"/>
      <c r="K51" s="113"/>
    </row>
    <row r="52" spans="3:11" ht="15.75">
      <c r="C52" s="157"/>
      <c r="D52" s="116" t="str">
        <f>Description&amp;" Volume As Found ="</f>
        <v> Volume As Found =</v>
      </c>
      <c r="E52" s="563">
        <f>IF(E29="","",IF('Prover Data Entry'!E65='Prover Data Entry'!E71,FIXED(AVERAGE(E29,E31),Rnd.Factor),FIXED(E29,Rnd.Factor)))</f>
      </c>
      <c r="F52" s="563"/>
      <c r="G52" s="128">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H52" s="115"/>
      <c r="I52" s="113"/>
      <c r="J52" s="113"/>
      <c r="K52" s="113"/>
    </row>
    <row r="53" spans="3:11" ht="15.75">
      <c r="C53" s="157"/>
      <c r="D53" s="116" t="str">
        <f>Description&amp;" Volume As Left ="</f>
        <v> Volume As Left =</v>
      </c>
      <c r="E53" s="563">
        <f>IF(E31="","",IF('Prover Data Entry'!E65='Prover Data Entry'!E71,FIXED(AVERAGE(E29,E31),Rnd.Factor),FIXED(AVERAGE(E30,E31),Rnd.Factor)))</f>
      </c>
      <c r="F53" s="563"/>
      <c r="G53" s="128">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H53" s="113"/>
      <c r="I53" s="113"/>
      <c r="J53" s="113"/>
      <c r="K53" s="113"/>
    </row>
    <row r="54" spans="3:11" ht="15.75">
      <c r="C54" s="157"/>
      <c r="D54" s="116" t="s">
        <v>40</v>
      </c>
      <c r="E54" s="563">
        <f>IF(E49="","",FIXED(ReportedUnc,Rnd.Factor))</f>
      </c>
      <c r="F54" s="563"/>
      <c r="G54" s="128">
        <f>IF(Nom_Val="","",IF(NomValUnit="Nominal Volume (L)","L","gal"))</f>
      </c>
      <c r="H54" s="113"/>
      <c r="I54" s="113"/>
      <c r="J54" s="113"/>
      <c r="K54" s="113"/>
    </row>
    <row r="55" spans="3:11" ht="15.75">
      <c r="C55" s="157"/>
      <c r="D55" s="116" t="s">
        <v>36</v>
      </c>
      <c r="E55" s="560">
        <f>IF(ISBLANK(NSCV),"",NSCV)</f>
      </c>
      <c r="F55" s="560"/>
      <c r="G55" s="113"/>
      <c r="H55" s="113"/>
      <c r="I55" s="113"/>
      <c r="J55" s="113"/>
      <c r="K55" s="113"/>
    </row>
    <row r="56" ht="15.75"/>
    <row r="57" ht="15.75" hidden="1"/>
    <row r="58" ht="15.75" hidden="1"/>
    <row r="59" ht="15.75" hidden="1"/>
    <row r="60" ht="16.5" customHeight="1" hidden="1"/>
    <row r="61" ht="16.5" customHeight="1" hidden="1"/>
    <row r="62" ht="16.5" customHeight="1" hidden="1"/>
    <row r="63" ht="16.5" customHeight="1" hidden="1"/>
    <row r="64" ht="16.5" customHeight="1" hidden="1"/>
    <row r="65" ht="16.5" customHeight="1" hidden="1"/>
    <row r="66" ht="19.5" customHeight="1" hidden="1"/>
    <row r="67" ht="19.5" customHeight="1" hidden="1"/>
  </sheetData>
  <sheetProtection password="FFED" sheet="1" objects="1" scenarios="1" selectLockedCells="1" selectUnlockedCells="1"/>
  <mergeCells count="39">
    <mergeCell ref="I24:J24"/>
    <mergeCell ref="F22:J22"/>
    <mergeCell ref="F4:J4"/>
    <mergeCell ref="A4:E4"/>
    <mergeCell ref="A21:D21"/>
    <mergeCell ref="F21:I21"/>
    <mergeCell ref="A22:E22"/>
    <mergeCell ref="A34:J34"/>
    <mergeCell ref="E35:F35"/>
    <mergeCell ref="E36:F36"/>
    <mergeCell ref="A23:C23"/>
    <mergeCell ref="A24:C24"/>
    <mergeCell ref="F23:H23"/>
    <mergeCell ref="F24:H24"/>
    <mergeCell ref="D23:E23"/>
    <mergeCell ref="D24:E24"/>
    <mergeCell ref="I23:J23"/>
    <mergeCell ref="E31:F31"/>
    <mergeCell ref="E27:F27"/>
    <mergeCell ref="E28:F28"/>
    <mergeCell ref="E29:F29"/>
    <mergeCell ref="E30:F30"/>
    <mergeCell ref="E46:F46"/>
    <mergeCell ref="A45:J45"/>
    <mergeCell ref="A39:J39"/>
    <mergeCell ref="E41:F41"/>
    <mergeCell ref="E40:F40"/>
    <mergeCell ref="E42:F42"/>
    <mergeCell ref="H35:J36"/>
    <mergeCell ref="H41:J41"/>
    <mergeCell ref="H42:J42"/>
    <mergeCell ref="H46:J46"/>
    <mergeCell ref="E55:F55"/>
    <mergeCell ref="E49:F49"/>
    <mergeCell ref="E50:F50"/>
    <mergeCell ref="E52:F52"/>
    <mergeCell ref="E53:F53"/>
    <mergeCell ref="E54:F54"/>
    <mergeCell ref="E51:F51"/>
  </mergeCells>
  <conditionalFormatting sqref="H46">
    <cfRule type="expression" priority="1" dxfId="3" stopIfTrue="1">
      <formula>AND(ISNUMBER(E46),ABS(E30-E31)&lt;=Nom_Val*0.0002)</formula>
    </cfRule>
    <cfRule type="expression" priority="2" dxfId="2" stopIfTrue="1">
      <formula>AND(ISNUMBER(E46),ABS(E30-E31)&gt;=Nom_Val*0.0002)</formula>
    </cfRule>
  </conditionalFormatting>
  <conditionalFormatting sqref="H35">
    <cfRule type="expression" priority="3" dxfId="3" stopIfTrue="1">
      <formula>$D$25&lt;$D$24</formula>
    </cfRule>
    <cfRule type="expression" priority="4" dxfId="2" stopIfTrue="1">
      <formula>$D$25&gt;$D$24</formula>
    </cfRule>
    <cfRule type="expression" priority="5" dxfId="5" stopIfTrue="1">
      <formula>"spec=""Not Applicable"""</formula>
    </cfRule>
  </conditionalFormatting>
  <conditionalFormatting sqref="H42">
    <cfRule type="expression" priority="6" dxfId="3" stopIfTrue="1">
      <formula>AND(ISNUMBER($E$42),ABS($E$42)&lt;=$E$40)</formula>
    </cfRule>
    <cfRule type="expression" priority="7" dxfId="2" stopIfTrue="1">
      <formula>ABS($E$42)&gt;$E$40</formula>
    </cfRule>
  </conditionalFormatting>
  <conditionalFormatting sqref="H41">
    <cfRule type="expression" priority="8" dxfId="3" stopIfTrue="1">
      <formula>AND(ISNUMBER($E$41),ABS($E$41)&lt;=$E$40)</formula>
    </cfRule>
    <cfRule type="expression" priority="9" dxfId="2" stopIfTrue="1">
      <formula>ABS($E$41)&gt;$E$40</formula>
    </cfRule>
  </conditionalFormatting>
  <printOptions horizontalCentered="1"/>
  <pageMargins left="0.5" right="0.5" top="1.25" bottom="0.75" header="0.75" footer="0.5"/>
  <pageSetup fitToHeight="3" horizontalDpi="180" verticalDpi="180" orientation="portrait" scale="82" r:id="rId1"/>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rowBreaks count="1" manualBreakCount="1">
    <brk id="43" max="9" man="1"/>
  </rowBreaks>
</worksheet>
</file>

<file path=xl/worksheets/sheet6.xml><?xml version="1.0" encoding="utf-8"?>
<worksheet xmlns="http://schemas.openxmlformats.org/spreadsheetml/2006/main" xmlns:r="http://schemas.openxmlformats.org/officeDocument/2006/relationships">
  <sheetPr>
    <tabColor indexed="20"/>
  </sheetPr>
  <dimension ref="A1:Q137"/>
  <sheetViews>
    <sheetView showGridLines="0" workbookViewId="0" topLeftCell="A1">
      <selection activeCell="A1" sqref="A1"/>
    </sheetView>
  </sheetViews>
  <sheetFormatPr defaultColWidth="8.88671875" defaultRowHeight="15.75" zeroHeight="1"/>
  <cols>
    <col min="1" max="1" width="12.10546875" style="3" customWidth="1"/>
    <col min="2" max="14" width="10.3359375" style="3" customWidth="1"/>
    <col min="15" max="15" width="1.77734375" style="3" customWidth="1"/>
    <col min="16" max="16384" width="7.10546875" style="3" hidden="1" customWidth="1"/>
  </cols>
  <sheetData>
    <row r="1" spans="1:14" ht="19.5" thickBot="1">
      <c r="A1" s="154" t="s">
        <v>105</v>
      </c>
      <c r="B1" s="5"/>
      <c r="C1" s="5"/>
      <c r="D1" s="5"/>
      <c r="E1" s="5"/>
      <c r="F1" s="5"/>
      <c r="G1" s="5"/>
      <c r="H1" s="5"/>
      <c r="I1" s="153"/>
      <c r="J1" s="5"/>
      <c r="K1" s="5"/>
      <c r="L1" s="5"/>
      <c r="M1" s="5"/>
      <c r="N1" s="263">
        <f>IF(ISBLANK(RptNo),"","Report Number: "&amp;RptNo)</f>
      </c>
    </row>
    <row r="2" spans="1:9" ht="12" customHeight="1">
      <c r="A2" s="101"/>
      <c r="B2" s="101"/>
      <c r="C2" s="101"/>
      <c r="D2" s="101"/>
      <c r="E2" s="102"/>
      <c r="F2" s="102"/>
      <c r="G2" s="102"/>
      <c r="H2" s="102"/>
      <c r="I2" s="102"/>
    </row>
    <row r="3" spans="1:14" ht="18.75" thickBot="1">
      <c r="A3" s="71" t="s">
        <v>48</v>
      </c>
      <c r="B3" s="5"/>
      <c r="C3" s="5"/>
      <c r="D3" s="5"/>
      <c r="E3" s="6"/>
      <c r="F3" s="6"/>
      <c r="G3" s="6"/>
      <c r="H3" s="6"/>
      <c r="I3" s="5"/>
      <c r="J3" s="5"/>
      <c r="K3" s="5"/>
      <c r="L3" s="5"/>
      <c r="M3" s="5"/>
      <c r="N3" s="5"/>
    </row>
    <row r="4" spans="1:9" ht="16.5">
      <c r="A4" s="143" t="s">
        <v>239</v>
      </c>
      <c r="B4" s="7"/>
      <c r="C4" s="7"/>
      <c r="D4" s="7"/>
      <c r="E4" s="4"/>
      <c r="F4" s="4"/>
      <c r="G4" s="4"/>
      <c r="H4" s="4"/>
      <c r="I4" s="7"/>
    </row>
    <row r="5" spans="1:9" ht="12" customHeight="1">
      <c r="A5" s="101"/>
      <c r="B5" s="101"/>
      <c r="C5" s="101"/>
      <c r="D5" s="101"/>
      <c r="E5" s="102"/>
      <c r="F5" s="102"/>
      <c r="G5" s="102"/>
      <c r="H5" s="102"/>
      <c r="I5" s="102"/>
    </row>
    <row r="6" spans="1:14" ht="18.75" thickBot="1">
      <c r="A6" s="71" t="s">
        <v>49</v>
      </c>
      <c r="B6" s="6"/>
      <c r="C6" s="5"/>
      <c r="D6" s="6"/>
      <c r="E6" s="6"/>
      <c r="F6" s="6"/>
      <c r="G6" s="6"/>
      <c r="H6" s="6"/>
      <c r="I6" s="5"/>
      <c r="J6" s="5"/>
      <c r="K6" s="5"/>
      <c r="L6" s="5"/>
      <c r="M6" s="5"/>
      <c r="N6" s="5"/>
    </row>
    <row r="7" spans="1:9" ht="15.75">
      <c r="A7" s="136" t="s">
        <v>244</v>
      </c>
      <c r="B7" s="4"/>
      <c r="C7" s="7"/>
      <c r="D7" s="4"/>
      <c r="E7" s="4"/>
      <c r="F7" s="4"/>
      <c r="G7" s="4"/>
      <c r="H7" s="4"/>
      <c r="I7" s="7"/>
    </row>
    <row r="8" spans="1:8" s="7" customFormat="1" ht="53.25" customHeight="1">
      <c r="A8" s="77"/>
      <c r="C8" s="4"/>
      <c r="D8" s="4"/>
      <c r="E8" s="4"/>
      <c r="F8" s="4"/>
      <c r="G8" s="4"/>
      <c r="H8" s="4"/>
    </row>
    <row r="9" spans="1:8" s="7" customFormat="1" ht="18.75">
      <c r="A9" s="324" t="str">
        <f>Description&amp;" Volume = VXtrefX - gauge reading"</f>
        <v> Volume = VXtrefX - gauge reading</v>
      </c>
      <c r="C9" s="4"/>
      <c r="D9" s="4"/>
      <c r="E9" s="4"/>
      <c r="F9" s="4"/>
      <c r="G9" s="4"/>
      <c r="H9" s="4"/>
    </row>
    <row r="10" spans="1:8" s="7" customFormat="1" ht="15.75">
      <c r="A10" s="77"/>
      <c r="C10" s="4"/>
      <c r="D10" s="4"/>
      <c r="E10" s="4"/>
      <c r="F10" s="4"/>
      <c r="G10" s="4"/>
      <c r="H10" s="4"/>
    </row>
    <row r="11" spans="2:9" ht="15.75">
      <c r="B11" s="135" t="s">
        <v>44</v>
      </c>
      <c r="C11" s="137"/>
      <c r="D11" s="137"/>
      <c r="E11" s="137"/>
      <c r="F11" s="137"/>
      <c r="G11" s="137"/>
      <c r="H11" s="137"/>
      <c r="I11" s="138"/>
    </row>
    <row r="12" spans="2:14" ht="17.25" customHeight="1">
      <c r="B12" s="195" t="s">
        <v>157</v>
      </c>
      <c r="C12" s="616" t="s">
        <v>159</v>
      </c>
      <c r="D12" s="616"/>
      <c r="E12" s="616"/>
      <c r="F12" s="616"/>
      <c r="G12" s="616"/>
      <c r="H12" s="616"/>
      <c r="I12" s="616"/>
      <c r="J12" s="616"/>
      <c r="K12" s="616"/>
      <c r="L12" s="616"/>
      <c r="M12" s="616"/>
      <c r="N12" s="616"/>
    </row>
    <row r="13" spans="2:14" ht="17.25">
      <c r="B13" s="195" t="s">
        <v>158</v>
      </c>
      <c r="C13" s="616" t="s">
        <v>160</v>
      </c>
      <c r="D13" s="616"/>
      <c r="E13" s="616"/>
      <c r="F13" s="616"/>
      <c r="G13" s="616"/>
      <c r="H13" s="616"/>
      <c r="I13" s="616"/>
      <c r="J13" s="616"/>
      <c r="K13" s="616"/>
      <c r="L13" s="616"/>
      <c r="M13" s="616"/>
      <c r="N13" s="616"/>
    </row>
    <row r="14" spans="2:14" ht="33" customHeight="1">
      <c r="B14" s="78" t="s">
        <v>133</v>
      </c>
      <c r="C14" s="616" t="s">
        <v>161</v>
      </c>
      <c r="D14" s="616"/>
      <c r="E14" s="616"/>
      <c r="F14" s="616"/>
      <c r="G14" s="616"/>
      <c r="H14" s="616"/>
      <c r="I14" s="616"/>
      <c r="J14" s="616"/>
      <c r="K14" s="616"/>
      <c r="L14" s="616"/>
      <c r="M14" s="616"/>
      <c r="N14" s="616"/>
    </row>
    <row r="15" spans="2:14" ht="48" customHeight="1">
      <c r="B15" s="78" t="s">
        <v>132</v>
      </c>
      <c r="C15" s="616" t="s">
        <v>162</v>
      </c>
      <c r="D15" s="616"/>
      <c r="E15" s="616"/>
      <c r="F15" s="616"/>
      <c r="G15" s="616"/>
      <c r="H15" s="616"/>
      <c r="I15" s="616"/>
      <c r="J15" s="616"/>
      <c r="K15" s="616"/>
      <c r="L15" s="616"/>
      <c r="M15" s="616"/>
      <c r="N15" s="616"/>
    </row>
    <row r="16" spans="2:14" ht="17.25">
      <c r="B16" s="195" t="s">
        <v>134</v>
      </c>
      <c r="C16" s="616" t="s">
        <v>50</v>
      </c>
      <c r="D16" s="616"/>
      <c r="E16" s="616"/>
      <c r="F16" s="616"/>
      <c r="G16" s="616"/>
      <c r="H16" s="616"/>
      <c r="I16" s="616"/>
      <c r="J16" s="616"/>
      <c r="K16" s="616"/>
      <c r="L16" s="616"/>
      <c r="M16" s="616"/>
      <c r="N16" s="616"/>
    </row>
    <row r="17" spans="2:14" ht="15.75">
      <c r="B17" s="195" t="s">
        <v>78</v>
      </c>
      <c r="C17" s="616" t="s">
        <v>163</v>
      </c>
      <c r="D17" s="616"/>
      <c r="E17" s="616"/>
      <c r="F17" s="616"/>
      <c r="G17" s="616"/>
      <c r="H17" s="616"/>
      <c r="I17" s="616"/>
      <c r="J17" s="616"/>
      <c r="K17" s="616"/>
      <c r="L17" s="616"/>
      <c r="M17" s="616"/>
      <c r="N17" s="616"/>
    </row>
    <row r="18" spans="2:14" ht="15.75">
      <c r="B18" s="195" t="s">
        <v>75</v>
      </c>
      <c r="C18" s="616" t="s">
        <v>164</v>
      </c>
      <c r="D18" s="616"/>
      <c r="E18" s="616"/>
      <c r="F18" s="616"/>
      <c r="G18" s="616"/>
      <c r="H18" s="616"/>
      <c r="I18" s="616"/>
      <c r="J18" s="616"/>
      <c r="K18" s="616"/>
      <c r="L18" s="616"/>
      <c r="M18" s="616"/>
      <c r="N18" s="616"/>
    </row>
    <row r="19" spans="2:14" ht="17.25">
      <c r="B19" s="195" t="s">
        <v>135</v>
      </c>
      <c r="C19" s="616" t="s">
        <v>165</v>
      </c>
      <c r="D19" s="616"/>
      <c r="E19" s="616"/>
      <c r="F19" s="616"/>
      <c r="G19" s="616"/>
      <c r="H19" s="616"/>
      <c r="I19" s="616"/>
      <c r="J19" s="616"/>
      <c r="K19" s="616"/>
      <c r="L19" s="616"/>
      <c r="M19" s="616"/>
      <c r="N19" s="616"/>
    </row>
    <row r="20" spans="2:14" ht="17.25">
      <c r="B20" s="195" t="s">
        <v>136</v>
      </c>
      <c r="C20" s="616" t="s">
        <v>166</v>
      </c>
      <c r="D20" s="616"/>
      <c r="E20" s="616"/>
      <c r="F20" s="616"/>
      <c r="G20" s="616"/>
      <c r="H20" s="616"/>
      <c r="I20" s="616"/>
      <c r="J20" s="616"/>
      <c r="K20" s="616"/>
      <c r="L20" s="616"/>
      <c r="M20" s="616"/>
      <c r="N20" s="616"/>
    </row>
    <row r="21" spans="1:9" ht="12" customHeight="1">
      <c r="A21" s="101"/>
      <c r="B21" s="101"/>
      <c r="C21" s="101"/>
      <c r="D21" s="101"/>
      <c r="E21" s="102"/>
      <c r="F21" s="102"/>
      <c r="G21" s="102"/>
      <c r="H21" s="102"/>
      <c r="I21" s="102"/>
    </row>
    <row r="22" spans="1:14" s="226" customFormat="1" ht="18.75" thickBot="1">
      <c r="A22" s="253" t="s">
        <v>167</v>
      </c>
      <c r="B22" s="254"/>
      <c r="C22" s="254"/>
      <c r="D22" s="254"/>
      <c r="E22" s="255"/>
      <c r="F22" s="255"/>
      <c r="G22" s="255"/>
      <c r="H22" s="255"/>
      <c r="I22" s="255"/>
      <c r="J22" s="256"/>
      <c r="K22" s="256"/>
      <c r="L22" s="256"/>
      <c r="M22" s="256"/>
      <c r="N22" s="256"/>
    </row>
    <row r="23" spans="1:14" s="226" customFormat="1" ht="16.5" customHeight="1">
      <c r="A23" s="617" t="s">
        <v>240</v>
      </c>
      <c r="B23" s="617"/>
      <c r="C23" s="617"/>
      <c r="D23" s="617"/>
      <c r="E23" s="617"/>
      <c r="F23" s="618"/>
      <c r="G23" s="622" t="s">
        <v>241</v>
      </c>
      <c r="H23" s="622"/>
      <c r="I23" s="622"/>
      <c r="J23" s="622"/>
      <c r="K23" s="622"/>
      <c r="L23" s="622"/>
      <c r="M23" s="622"/>
      <c r="N23" s="623"/>
    </row>
    <row r="24" spans="1:14" s="226" customFormat="1" ht="33.75" customHeight="1">
      <c r="A24" s="311">
        <f>IF('Prover Data Entry'!C47="","",SUM('Prover Data Entry'!C47:C61))</f>
      </c>
      <c r="B24" s="314" t="str">
        <f>IF(NomValUnit="Nominal Volume (L)","L","gal")</f>
        <v>gal</v>
      </c>
      <c r="C24" s="619" t="s">
        <v>235</v>
      </c>
      <c r="D24" s="620"/>
      <c r="E24" s="620"/>
      <c r="F24" s="621"/>
      <c r="G24" s="329">
        <f>IF(unc1=0,"",unc1/k_1*drops1+unc2/k_2*drops2+unc3/k_3*drops3+unc4/k_4*drops4)</f>
      </c>
      <c r="H24" s="314" t="str">
        <f>IF(NomValUnit="Nominal Volume (L)","L","gal")</f>
        <v>gal</v>
      </c>
      <c r="I24" s="624" t="s">
        <v>182</v>
      </c>
      <c r="J24" s="625"/>
      <c r="K24" s="625"/>
      <c r="L24" s="625"/>
      <c r="M24" s="625"/>
      <c r="N24" s="625"/>
    </row>
    <row r="25" spans="1:14" s="226" customFormat="1" ht="32.25" customHeight="1">
      <c r="A25" s="312">
        <f>IF('Prover Data Entry'!E47="","",IF(NomValUnit="Nominal Volume (L)",SUM('Prover Data Entry'!E47:E61)/1000,SUM('Prover Data Entry'!E47:E61)/231))</f>
      </c>
      <c r="B25" s="315" t="str">
        <f>IF(NomValUnit="Nominal Volume (L)","L","gal")</f>
        <v>gal</v>
      </c>
      <c r="C25" s="599" t="s">
        <v>174</v>
      </c>
      <c r="D25" s="600"/>
      <c r="E25" s="600"/>
      <c r="F25" s="601"/>
      <c r="G25" s="330">
        <f>IF(Rmean="","",IF(Range.Unit="Range Mean from CC (mL)",(Rmean/VLOOKUP(dup_sets,Table_9.1,2,TRUE))/1000,IF(Range.Unit="Range Mean from CC (in³)",(Rmean/VLOOKUP(dup_sets,Table_9.1,2,TRUE))/231,Rmean/VLOOKUP(dup_sets,Table_9.1,2,TRUE))))</f>
      </c>
      <c r="H25" s="315" t="str">
        <f>IF(NomValUnit="Nominal Volume (L)","L","gal")</f>
        <v>gal</v>
      </c>
      <c r="I25" s="597" t="s">
        <v>207</v>
      </c>
      <c r="J25" s="598"/>
      <c r="K25" s="598"/>
      <c r="L25" s="598"/>
      <c r="M25" s="598"/>
      <c r="N25" s="598"/>
    </row>
    <row r="26" spans="1:14" s="226" customFormat="1" ht="30.75" customHeight="1">
      <c r="A26" s="327">
        <f>IF(a_1=0,"",a_1)</f>
      </c>
      <c r="B26" s="316" t="str">
        <f>IF(RefTempUnit="Designated Reference Temperature For This Calibration (ºC)","/ºC","/ºF")</f>
        <v>/ºF</v>
      </c>
      <c r="C26" s="610" t="s">
        <v>231</v>
      </c>
      <c r="D26" s="610"/>
      <c r="E26" s="610"/>
      <c r="F26" s="611"/>
      <c r="G26" s="331">
        <f>IF(Nom_Val="","",IF(NomValUnit="Nominal Volume (L)",0.000009,0.000005))</f>
      </c>
      <c r="H26" s="316" t="str">
        <f>IF(RefTempUnit="Designated Reference Temperature For This Calibration (ºC)","/ºC","/ºF")</f>
        <v>/ºF</v>
      </c>
      <c r="I26" s="612" t="s">
        <v>169</v>
      </c>
      <c r="J26" s="613"/>
      <c r="K26" s="613"/>
      <c r="L26" s="613"/>
      <c r="M26" s="613"/>
      <c r="N26" s="613"/>
    </row>
    <row r="27" spans="1:14" s="226" customFormat="1" ht="31.5" customHeight="1">
      <c r="A27" s="328">
        <f>IF(B="","",B)</f>
      </c>
      <c r="B27" s="315" t="str">
        <f>IF(RefTempUnit="Designated Reference Temperature For This Calibration (ºC)","/ºC","/ºF")</f>
        <v>/ºF</v>
      </c>
      <c r="C27" s="599" t="s">
        <v>176</v>
      </c>
      <c r="D27" s="600"/>
      <c r="E27" s="600"/>
      <c r="F27" s="601"/>
      <c r="G27" s="330">
        <f>IF(Nom_Val="","",IF(NomValUnit="Nominal Volume (L)",0.000009,0.000005))</f>
      </c>
      <c r="H27" s="315" t="str">
        <f>IF(RefTempUnit="Designated Reference Temperature For This Calibration (ºC)","/ºC","/ºF")</f>
        <v>/ºF</v>
      </c>
      <c r="I27" s="597" t="s">
        <v>169</v>
      </c>
      <c r="J27" s="598"/>
      <c r="K27" s="598"/>
      <c r="L27" s="598"/>
      <c r="M27" s="598"/>
      <c r="N27" s="598"/>
    </row>
    <row r="28" spans="1:14" s="226" customFormat="1" ht="31.5" customHeight="1">
      <c r="A28" s="313">
        <f>IF(Calculations!C6="","",AVERAGE(Calculations!C6:C20))</f>
      </c>
      <c r="B28" s="316" t="str">
        <f>IF(RefTempUnit="Designated Reference Temperature For This Calibration (ºC)","ºC","ºF")</f>
        <v>ºF</v>
      </c>
      <c r="C28" s="614" t="s">
        <v>178</v>
      </c>
      <c r="D28" s="614"/>
      <c r="E28" s="614"/>
      <c r="F28" s="615"/>
      <c r="G28" s="331">
        <f>IF(ISBLANK('Prover Data Entry'!D32),"",IF(H28="ºF",'Prover Data Entry'!G32*1.8,'Prover Data Entry'!G32))</f>
      </c>
      <c r="H28" s="316" t="str">
        <f>IF(RefTempUnit="Designated Reference Temperature For This Calibration (ºC)","ºC","ºF")</f>
        <v>ºF</v>
      </c>
      <c r="I28" s="612" t="s">
        <v>203</v>
      </c>
      <c r="J28" s="613"/>
      <c r="K28" s="613"/>
      <c r="L28" s="613"/>
      <c r="M28" s="613"/>
      <c r="N28" s="613"/>
    </row>
    <row r="29" spans="1:14" s="226" customFormat="1" ht="30" customHeight="1">
      <c r="A29" s="312">
        <f>IF(Calculations!D24="","",Calculations!D24)</f>
      </c>
      <c r="B29" s="315" t="str">
        <f>IF(RefTempUnit="Designated Reference Temperature For This Calibration (ºC)","ºC","ºF")</f>
        <v>ºF</v>
      </c>
      <c r="C29" s="599" t="s">
        <v>179</v>
      </c>
      <c r="D29" s="600"/>
      <c r="E29" s="600"/>
      <c r="F29" s="601"/>
      <c r="G29" s="330">
        <f>IF(ISBLANK('Prover Data Entry'!D33),"",IF(H29="ºF",'Prover Data Entry'!G33*1.8,'Prover Data Entry'!G33))</f>
      </c>
      <c r="H29" s="315" t="str">
        <f>IF(RefTempUnit="Designated Reference Temperature For This Calibration (ºC)","ºC","ºF")</f>
        <v>ºF</v>
      </c>
      <c r="I29" s="597" t="s">
        <v>203</v>
      </c>
      <c r="J29" s="598"/>
      <c r="K29" s="598"/>
      <c r="L29" s="598"/>
      <c r="M29" s="598"/>
      <c r="N29" s="598"/>
    </row>
    <row r="30" spans="1:14" s="226" customFormat="1" ht="30.75" customHeight="1">
      <c r="A30" s="327">
        <f>IF(Calculations!D6="","",AVERAGE(Calculations!D6:D20))</f>
      </c>
      <c r="B30" s="316" t="s">
        <v>57</v>
      </c>
      <c r="C30" s="610" t="s">
        <v>180</v>
      </c>
      <c r="D30" s="610"/>
      <c r="E30" s="610"/>
      <c r="F30" s="611"/>
      <c r="G30" s="331">
        <f>IF(A30="","",0.00004)</f>
      </c>
      <c r="H30" s="316" t="s">
        <v>57</v>
      </c>
      <c r="I30" s="612" t="s">
        <v>168</v>
      </c>
      <c r="J30" s="613"/>
      <c r="K30" s="613"/>
      <c r="L30" s="613"/>
      <c r="M30" s="613"/>
      <c r="N30" s="613"/>
    </row>
    <row r="31" spans="1:14" s="226" customFormat="1" ht="30.75" customHeight="1">
      <c r="A31" s="328">
        <f>IF(Calculations!D23="","",Calculations!D23)</f>
      </c>
      <c r="B31" s="315" t="s">
        <v>57</v>
      </c>
      <c r="C31" s="599" t="s">
        <v>181</v>
      </c>
      <c r="D31" s="600"/>
      <c r="E31" s="600"/>
      <c r="F31" s="601"/>
      <c r="G31" s="330">
        <f>IF(A31="","",0.00004)</f>
      </c>
      <c r="H31" s="315" t="s">
        <v>57</v>
      </c>
      <c r="I31" s="597" t="s">
        <v>168</v>
      </c>
      <c r="J31" s="598"/>
      <c r="K31" s="598"/>
      <c r="L31" s="598"/>
      <c r="M31" s="598"/>
      <c r="N31" s="598"/>
    </row>
    <row r="32" spans="1:14" s="226" customFormat="1" ht="45.75" customHeight="1">
      <c r="A32" s="327">
        <f>IF('Prover Data Entry'!E65="","",IF(Scale.Unit="Scale Graduations (mL)",'Prover Data Entry'!E65/1000,IF(Scale.Unit="Scale Graduations (in³)",'Prover Data Entry'!E65/231,'Prover Data Entry'!E65)))</f>
      </c>
      <c r="B32" s="316" t="str">
        <f>IF(NomValUnit="Nominal Volume (L)","L","gal")</f>
        <v>gal</v>
      </c>
      <c r="C32" s="614" t="s">
        <v>177</v>
      </c>
      <c r="D32" s="614"/>
      <c r="E32" s="614"/>
      <c r="F32" s="615"/>
      <c r="G32" s="331">
        <f>IF(increment="","",IF(grads1=0,0,grads1*drops1/10+grads2*drops2/10+grads3*drops3/10+grads4*drops4/10)+IF(Scale.Unit="Scale Graduations (mL)",increment/1000/10,IF(Scale.Unit="Scale Graduations (in³)",increment/231/10,increment/10)))</f>
      </c>
      <c r="H32" s="316" t="str">
        <f>IF(NomValUnit="Nominal Volume (L)","L","gal")</f>
        <v>gal</v>
      </c>
      <c r="I32" s="612" t="s">
        <v>232</v>
      </c>
      <c r="J32" s="613"/>
      <c r="K32" s="613"/>
      <c r="L32" s="613"/>
      <c r="M32" s="613"/>
      <c r="N32" s="613"/>
    </row>
    <row r="33" spans="1:14" s="226" customFormat="1" ht="15" customHeight="1">
      <c r="A33" s="328">
        <f>IF(RefT="","",RefT)</f>
      </c>
      <c r="B33" s="315" t="str">
        <f>IF(RefTempUnit="Designated Reference Temperature For This Calibration (ºC)","ºC","ºF")</f>
        <v>ºF</v>
      </c>
      <c r="C33" s="599" t="s">
        <v>170</v>
      </c>
      <c r="D33" s="600"/>
      <c r="E33" s="600"/>
      <c r="F33" s="601"/>
      <c r="G33" s="317">
        <f>IF(RefT="","",0)</f>
      </c>
      <c r="H33" s="315" t="str">
        <f>IF(RefTempUnit="Designated Reference Temperature For This Calibration (ºC)","ºC","ºF")</f>
        <v>ºF</v>
      </c>
      <c r="I33" s="597" t="s">
        <v>171</v>
      </c>
      <c r="J33" s="598"/>
      <c r="K33" s="598"/>
      <c r="L33" s="598"/>
      <c r="M33" s="598"/>
      <c r="N33" s="598"/>
    </row>
    <row r="34" spans="1:12" s="226" customFormat="1" ht="15">
      <c r="A34" s="227"/>
      <c r="B34" s="228"/>
      <c r="C34" s="228"/>
      <c r="D34" s="228"/>
      <c r="E34" s="230"/>
      <c r="F34" s="230"/>
      <c r="G34" s="229"/>
      <c r="H34" s="228"/>
      <c r="I34" s="231"/>
      <c r="J34" s="231"/>
      <c r="K34" s="231"/>
      <c r="L34" s="231"/>
    </row>
    <row r="35" spans="1:17" s="226" customFormat="1" ht="18.75" thickBot="1">
      <c r="A35" s="251" t="s">
        <v>227</v>
      </c>
      <c r="B35" s="251"/>
      <c r="C35" s="251"/>
      <c r="D35" s="251"/>
      <c r="E35" s="251"/>
      <c r="F35" s="251"/>
      <c r="G35" s="251"/>
      <c r="H35" s="251"/>
      <c r="I35" s="251"/>
      <c r="J35" s="251"/>
      <c r="K35" s="251"/>
      <c r="L35" s="251"/>
      <c r="M35" s="251"/>
      <c r="N35" s="251"/>
      <c r="O35" s="252"/>
      <c r="P35" s="252"/>
      <c r="Q35" s="252"/>
    </row>
    <row r="36" spans="1:17" s="226" customFormat="1" ht="49.5">
      <c r="A36" s="608" t="s">
        <v>183</v>
      </c>
      <c r="B36" s="609"/>
      <c r="C36" s="301" t="s">
        <v>184</v>
      </c>
      <c r="D36" s="302" t="s">
        <v>185</v>
      </c>
      <c r="E36" s="300" t="s">
        <v>186</v>
      </c>
      <c r="F36" s="300" t="s">
        <v>187</v>
      </c>
      <c r="G36" s="303" t="s">
        <v>31</v>
      </c>
      <c r="H36" s="303" t="s">
        <v>51</v>
      </c>
      <c r="I36" s="300" t="s">
        <v>188</v>
      </c>
      <c r="J36" s="304" t="s">
        <v>216</v>
      </c>
      <c r="K36" s="300" t="s">
        <v>217</v>
      </c>
      <c r="L36" s="294" t="s">
        <v>189</v>
      </c>
      <c r="M36" s="235"/>
      <c r="N36" s="235"/>
      <c r="O36" s="235"/>
      <c r="P36" s="235"/>
      <c r="Q36" s="235"/>
    </row>
    <row r="37" spans="1:17" s="226" customFormat="1" ht="30" customHeight="1">
      <c r="A37" s="606" t="s">
        <v>193</v>
      </c>
      <c r="B37" s="607"/>
      <c r="C37" s="295" t="s">
        <v>218</v>
      </c>
      <c r="D37" s="288">
        <f>A24</f>
      </c>
      <c r="E37" s="297" t="str">
        <f>B24</f>
        <v>gal</v>
      </c>
      <c r="F37" s="289">
        <f>G24</f>
      </c>
      <c r="G37" s="290" t="s">
        <v>32</v>
      </c>
      <c r="H37" s="290" t="s">
        <v>225</v>
      </c>
      <c r="I37" s="291">
        <v>1</v>
      </c>
      <c r="J37" s="240" t="e">
        <f>F37/I37</f>
        <v>#VALUE!</v>
      </c>
      <c r="K37" s="292" t="e">
        <f>J37/D37</f>
        <v>#VALUE!</v>
      </c>
      <c r="L37" s="293"/>
      <c r="M37" s="235"/>
      <c r="N37" s="235"/>
      <c r="O37" s="235"/>
      <c r="P37" s="235"/>
      <c r="Q37" s="235"/>
    </row>
    <row r="38" spans="1:17" s="226" customFormat="1" ht="30" customHeight="1">
      <c r="A38" s="604" t="s">
        <v>172</v>
      </c>
      <c r="B38" s="605"/>
      <c r="C38" s="296" t="s">
        <v>219</v>
      </c>
      <c r="D38" s="236">
        <f>A25</f>
      </c>
      <c r="E38" s="297" t="str">
        <f aca="true" t="shared" si="0" ref="E38:E46">B25</f>
        <v>gal</v>
      </c>
      <c r="F38" s="237">
        <f>G25</f>
      </c>
      <c r="G38" s="238" t="s">
        <v>33</v>
      </c>
      <c r="H38" s="238" t="s">
        <v>52</v>
      </c>
      <c r="I38" s="239">
        <v>1</v>
      </c>
      <c r="J38" s="240" t="e">
        <f>F38/I38</f>
        <v>#VALUE!</v>
      </c>
      <c r="K38" s="241" t="e">
        <f>J38/D37</f>
        <v>#VALUE!</v>
      </c>
      <c r="L38" s="242"/>
      <c r="M38" s="235"/>
      <c r="N38" s="235"/>
      <c r="O38" s="235"/>
      <c r="P38" s="235"/>
      <c r="Q38" s="235"/>
    </row>
    <row r="39" spans="1:17" s="226" customFormat="1" ht="28.5" customHeight="1">
      <c r="A39" s="604" t="s">
        <v>198</v>
      </c>
      <c r="B39" s="605"/>
      <c r="C39" s="296" t="s">
        <v>191</v>
      </c>
      <c r="D39" s="236">
        <f aca="true" t="shared" si="1" ref="D39:D46">A26</f>
      </c>
      <c r="E39" s="297" t="str">
        <f t="shared" si="0"/>
        <v>/ºF</v>
      </c>
      <c r="F39" s="237">
        <f aca="true" t="shared" si="2" ref="F39:F46">G26</f>
      </c>
      <c r="G39" s="238" t="s">
        <v>32</v>
      </c>
      <c r="H39" s="238" t="s">
        <v>190</v>
      </c>
      <c r="I39" s="239">
        <f>SQRT(3)</f>
        <v>1.7320508075688772</v>
      </c>
      <c r="J39" s="240" t="e">
        <f aca="true" t="shared" si="3" ref="J39:J46">F39/I39</f>
        <v>#VALUE!</v>
      </c>
      <c r="K39" s="241" t="e">
        <f aca="true" t="shared" si="4" ref="K39:K46">J39/D39</f>
        <v>#VALUE!</v>
      </c>
      <c r="L39" s="242"/>
      <c r="M39" s="235"/>
      <c r="N39" s="235"/>
      <c r="O39" s="235"/>
      <c r="P39" s="235"/>
      <c r="Q39" s="235"/>
    </row>
    <row r="40" spans="1:17" s="226" customFormat="1" ht="27.75" customHeight="1">
      <c r="A40" s="604" t="s">
        <v>194</v>
      </c>
      <c r="B40" s="605"/>
      <c r="C40" s="296" t="s">
        <v>175</v>
      </c>
      <c r="D40" s="236">
        <f t="shared" si="1"/>
      </c>
      <c r="E40" s="297" t="str">
        <f t="shared" si="0"/>
        <v>/ºF</v>
      </c>
      <c r="F40" s="237">
        <f t="shared" si="2"/>
      </c>
      <c r="G40" s="238" t="s">
        <v>32</v>
      </c>
      <c r="H40" s="238" t="s">
        <v>190</v>
      </c>
      <c r="I40" s="239">
        <f>SQRT(3)</f>
        <v>1.7320508075688772</v>
      </c>
      <c r="J40" s="240" t="e">
        <f t="shared" si="3"/>
        <v>#VALUE!</v>
      </c>
      <c r="K40" s="241" t="e">
        <f t="shared" si="4"/>
        <v>#VALUE!</v>
      </c>
      <c r="L40" s="242"/>
      <c r="M40" s="235"/>
      <c r="N40" s="235"/>
      <c r="O40" s="235"/>
      <c r="P40" s="235"/>
      <c r="Q40" s="235"/>
    </row>
    <row r="41" spans="1:17" s="226" customFormat="1" ht="33" customHeight="1">
      <c r="A41" s="604" t="s">
        <v>195</v>
      </c>
      <c r="B41" s="605"/>
      <c r="C41" s="296" t="s">
        <v>220</v>
      </c>
      <c r="D41" s="236">
        <f t="shared" si="1"/>
      </c>
      <c r="E41" s="297" t="str">
        <f t="shared" si="0"/>
        <v>ºF</v>
      </c>
      <c r="F41" s="237">
        <f t="shared" si="2"/>
      </c>
      <c r="G41" s="238" t="s">
        <v>32</v>
      </c>
      <c r="H41" s="238" t="s">
        <v>190</v>
      </c>
      <c r="I41" s="239">
        <f>SQRT(3)</f>
        <v>1.7320508075688772</v>
      </c>
      <c r="J41" s="240" t="e">
        <f t="shared" si="3"/>
        <v>#VALUE!</v>
      </c>
      <c r="K41" s="241" t="e">
        <f t="shared" si="4"/>
        <v>#VALUE!</v>
      </c>
      <c r="L41" s="242"/>
      <c r="M41" s="235"/>
      <c r="N41" s="235"/>
      <c r="O41" s="235"/>
      <c r="P41" s="235"/>
      <c r="Q41" s="235"/>
    </row>
    <row r="42" spans="1:17" s="226" customFormat="1" ht="30" customHeight="1">
      <c r="A42" s="604" t="s">
        <v>196</v>
      </c>
      <c r="B42" s="605"/>
      <c r="C42" s="296" t="s">
        <v>221</v>
      </c>
      <c r="D42" s="236">
        <f t="shared" si="1"/>
      </c>
      <c r="E42" s="297" t="str">
        <f t="shared" si="0"/>
        <v>ºF</v>
      </c>
      <c r="F42" s="237">
        <f t="shared" si="2"/>
      </c>
      <c r="G42" s="238" t="s">
        <v>32</v>
      </c>
      <c r="H42" s="238" t="s">
        <v>190</v>
      </c>
      <c r="I42" s="237">
        <f>SQRT(3)</f>
        <v>1.7320508075688772</v>
      </c>
      <c r="J42" s="240" t="e">
        <f t="shared" si="3"/>
        <v>#VALUE!</v>
      </c>
      <c r="K42" s="241" t="e">
        <f t="shared" si="4"/>
        <v>#VALUE!</v>
      </c>
      <c r="L42" s="242"/>
      <c r="M42" s="235"/>
      <c r="N42" s="235"/>
      <c r="O42" s="235"/>
      <c r="P42" s="235"/>
      <c r="Q42" s="235"/>
    </row>
    <row r="43" spans="1:17" s="226" customFormat="1" ht="16.5">
      <c r="A43" s="604" t="s">
        <v>197</v>
      </c>
      <c r="B43" s="605"/>
      <c r="C43" s="296" t="s">
        <v>222</v>
      </c>
      <c r="D43" s="236">
        <f t="shared" si="1"/>
      </c>
      <c r="E43" s="297" t="str">
        <f t="shared" si="0"/>
        <v>g/cm³</v>
      </c>
      <c r="F43" s="237">
        <f t="shared" si="2"/>
      </c>
      <c r="G43" s="238" t="s">
        <v>32</v>
      </c>
      <c r="H43" s="238" t="s">
        <v>225</v>
      </c>
      <c r="I43" s="239">
        <v>1</v>
      </c>
      <c r="J43" s="240" t="e">
        <f t="shared" si="3"/>
        <v>#VALUE!</v>
      </c>
      <c r="K43" s="241" t="e">
        <f t="shared" si="4"/>
        <v>#VALUE!</v>
      </c>
      <c r="L43" s="242"/>
      <c r="M43" s="235"/>
      <c r="N43" s="235"/>
      <c r="O43" s="235"/>
      <c r="P43" s="235"/>
      <c r="Q43" s="235"/>
    </row>
    <row r="44" spans="1:17" s="226" customFormat="1" ht="26.25" customHeight="1">
      <c r="A44" s="604" t="s">
        <v>199</v>
      </c>
      <c r="B44" s="605"/>
      <c r="C44" s="296" t="s">
        <v>223</v>
      </c>
      <c r="D44" s="236">
        <f t="shared" si="1"/>
      </c>
      <c r="E44" s="297" t="str">
        <f t="shared" si="0"/>
        <v>g/cm³</v>
      </c>
      <c r="F44" s="237">
        <f t="shared" si="2"/>
      </c>
      <c r="G44" s="238" t="s">
        <v>32</v>
      </c>
      <c r="H44" s="238" t="s">
        <v>225</v>
      </c>
      <c r="I44" s="239">
        <v>1</v>
      </c>
      <c r="J44" s="240" t="e">
        <f t="shared" si="3"/>
        <v>#VALUE!</v>
      </c>
      <c r="K44" s="241" t="e">
        <f t="shared" si="4"/>
        <v>#VALUE!</v>
      </c>
      <c r="L44" s="242"/>
      <c r="M44" s="235"/>
      <c r="N44" s="235"/>
      <c r="O44" s="235"/>
      <c r="P44" s="235"/>
      <c r="Q44" s="235"/>
    </row>
    <row r="45" spans="1:17" s="226" customFormat="1" ht="15.75">
      <c r="A45" s="604" t="s">
        <v>238</v>
      </c>
      <c r="B45" s="605"/>
      <c r="C45" s="296" t="s">
        <v>173</v>
      </c>
      <c r="D45" s="236">
        <f t="shared" si="1"/>
      </c>
      <c r="E45" s="297" t="str">
        <f t="shared" si="0"/>
        <v>gal</v>
      </c>
      <c r="F45" s="237">
        <f t="shared" si="2"/>
      </c>
      <c r="G45" s="238" t="s">
        <v>32</v>
      </c>
      <c r="H45" s="238" t="s">
        <v>190</v>
      </c>
      <c r="I45" s="237">
        <f>SQRT(3)</f>
        <v>1.7320508075688772</v>
      </c>
      <c r="J45" s="240" t="e">
        <f t="shared" si="3"/>
        <v>#VALUE!</v>
      </c>
      <c r="K45" s="241" t="e">
        <f t="shared" si="4"/>
        <v>#VALUE!</v>
      </c>
      <c r="L45" s="242"/>
      <c r="M45" s="235"/>
      <c r="N45" s="235"/>
      <c r="O45" s="235"/>
      <c r="P45" s="235"/>
      <c r="Q45" s="235"/>
    </row>
    <row r="46" spans="1:17" s="226" customFormat="1" ht="16.5">
      <c r="A46" s="604" t="s">
        <v>192</v>
      </c>
      <c r="B46" s="605"/>
      <c r="C46" s="296" t="s">
        <v>224</v>
      </c>
      <c r="D46" s="236">
        <f t="shared" si="1"/>
      </c>
      <c r="E46" s="297" t="str">
        <f t="shared" si="0"/>
        <v>ºF</v>
      </c>
      <c r="F46" s="237">
        <f t="shared" si="2"/>
      </c>
      <c r="G46" s="238" t="s">
        <v>32</v>
      </c>
      <c r="H46" s="238" t="s">
        <v>190</v>
      </c>
      <c r="I46" s="237">
        <f>SQRT(3)</f>
        <v>1.7320508075688772</v>
      </c>
      <c r="J46" s="240" t="e">
        <f t="shared" si="3"/>
        <v>#VALUE!</v>
      </c>
      <c r="K46" s="241" t="e">
        <f t="shared" si="4"/>
        <v>#VALUE!</v>
      </c>
      <c r="L46" s="242"/>
      <c r="M46" s="235"/>
      <c r="N46" s="235"/>
      <c r="O46" s="235"/>
      <c r="P46" s="235"/>
      <c r="Q46" s="235"/>
    </row>
    <row r="47" spans="1:9" s="226" customFormat="1" ht="15">
      <c r="A47" s="224"/>
      <c r="B47" s="224"/>
      <c r="C47" s="224"/>
      <c r="D47" s="224"/>
      <c r="E47" s="225"/>
      <c r="F47" s="225"/>
      <c r="G47" s="225"/>
      <c r="H47" s="225"/>
      <c r="I47" s="225"/>
    </row>
    <row r="48" spans="1:17" s="235" customFormat="1" ht="18.75" thickBot="1">
      <c r="A48" s="251" t="s">
        <v>228</v>
      </c>
      <c r="B48" s="251"/>
      <c r="C48" s="251"/>
      <c r="D48" s="251"/>
      <c r="E48" s="251"/>
      <c r="F48" s="251"/>
      <c r="G48" s="251"/>
      <c r="H48" s="251"/>
      <c r="I48" s="251"/>
      <c r="J48" s="251"/>
      <c r="K48" s="251"/>
      <c r="L48" s="251"/>
      <c r="M48" s="251"/>
      <c r="N48" s="251"/>
      <c r="O48" s="252"/>
      <c r="P48" s="252"/>
      <c r="Q48" s="252"/>
    </row>
    <row r="49" spans="1:14" s="235" customFormat="1" ht="15">
      <c r="A49" s="586"/>
      <c r="B49" s="588"/>
      <c r="C49" s="264" t="str">
        <f>"u("&amp;A53&amp;")"</f>
        <v>u(VStrefS)</v>
      </c>
      <c r="D49" s="264" t="str">
        <f>"u("&amp;A54&amp;")"</f>
        <v>u(Δ (sp))</v>
      </c>
      <c r="E49" s="265" t="str">
        <f>"u("&amp;A55&amp;")"</f>
        <v>u(α)</v>
      </c>
      <c r="F49" s="264" t="str">
        <f>"u("&amp;A56&amp;")"</f>
        <v>u(β)</v>
      </c>
      <c r="G49" s="264" t="str">
        <f>"u("&amp;A57&amp;")"</f>
        <v>u(tS)</v>
      </c>
      <c r="H49" s="264" t="str">
        <f>"u("&amp;A58&amp;")"</f>
        <v>u(tX)</v>
      </c>
      <c r="I49" s="264" t="str">
        <f>"u("&amp;A59&amp;")"</f>
        <v>u(ρwS)</v>
      </c>
      <c r="J49" s="264" t="str">
        <f>"u("&amp;A60&amp;")"</f>
        <v>u(ρwX)</v>
      </c>
      <c r="K49" s="264" t="str">
        <f>"u("&amp;A61&amp;")"</f>
        <v>u(Sr)</v>
      </c>
      <c r="L49" s="265" t="str">
        <f>"u("&amp;A62&amp;")"</f>
        <v>u(trefX)</v>
      </c>
      <c r="M49" s="587"/>
      <c r="N49" s="587"/>
    </row>
    <row r="50" spans="1:14" s="235" customFormat="1" ht="16.5" customHeight="1">
      <c r="A50" s="586"/>
      <c r="B50" s="588"/>
      <c r="C50" s="266" t="e">
        <f>J37</f>
        <v>#VALUE!</v>
      </c>
      <c r="D50" s="266" t="e">
        <f>J38</f>
        <v>#VALUE!</v>
      </c>
      <c r="E50" s="266" t="e">
        <f>J39</f>
        <v>#VALUE!</v>
      </c>
      <c r="F50" s="266" t="e">
        <f>J40</f>
        <v>#VALUE!</v>
      </c>
      <c r="G50" s="266" t="e">
        <f>J41</f>
        <v>#VALUE!</v>
      </c>
      <c r="H50" s="266" t="e">
        <f>J42</f>
        <v>#VALUE!</v>
      </c>
      <c r="I50" s="266" t="e">
        <f>J43</f>
        <v>#VALUE!</v>
      </c>
      <c r="J50" s="266" t="e">
        <f>J44</f>
        <v>#VALUE!</v>
      </c>
      <c r="K50" s="266" t="e">
        <f>J45</f>
        <v>#VALUE!</v>
      </c>
      <c r="L50" s="266" t="e">
        <f>J46</f>
        <v>#VALUE!</v>
      </c>
      <c r="M50" s="587"/>
      <c r="N50" s="587"/>
    </row>
    <row r="51" spans="1:14" s="235" customFormat="1" ht="16.5" customHeight="1">
      <c r="A51" s="587"/>
      <c r="B51" s="243" t="s">
        <v>189</v>
      </c>
      <c r="C51" s="244"/>
      <c r="D51" s="244"/>
      <c r="E51" s="244"/>
      <c r="F51" s="244"/>
      <c r="G51" s="244"/>
      <c r="H51" s="244"/>
      <c r="I51" s="244"/>
      <c r="J51" s="244"/>
      <c r="K51" s="245"/>
      <c r="L51" s="245"/>
      <c r="M51" s="587"/>
      <c r="N51" s="587"/>
    </row>
    <row r="52" spans="1:14" s="235" customFormat="1" ht="49.5">
      <c r="A52" s="299" t="s">
        <v>215</v>
      </c>
      <c r="B52" s="305" t="s">
        <v>185</v>
      </c>
      <c r="C52" s="602"/>
      <c r="D52" s="602"/>
      <c r="E52" s="602"/>
      <c r="F52" s="602"/>
      <c r="G52" s="602"/>
      <c r="H52" s="602"/>
      <c r="I52" s="602"/>
      <c r="J52" s="602"/>
      <c r="K52" s="602"/>
      <c r="L52" s="603"/>
      <c r="M52" s="588"/>
      <c r="N52" s="587"/>
    </row>
    <row r="53" spans="1:14" s="235" customFormat="1" ht="16.5">
      <c r="A53" s="296" t="s">
        <v>218</v>
      </c>
      <c r="B53" s="267">
        <f>D37</f>
      </c>
      <c r="C53" s="268" t="e">
        <f>B53+C50</f>
        <v>#VALUE!</v>
      </c>
      <c r="D53" s="269">
        <f>B53</f>
      </c>
      <c r="E53" s="269">
        <f>B53</f>
      </c>
      <c r="F53" s="269">
        <f>B53</f>
      </c>
      <c r="G53" s="269">
        <f>B53</f>
      </c>
      <c r="H53" s="269">
        <f>B53</f>
      </c>
      <c r="I53" s="269">
        <f aca="true" t="shared" si="5" ref="I53:I58">B53</f>
      </c>
      <c r="J53" s="269">
        <f aca="true" t="shared" si="6" ref="J53:J59">B53</f>
      </c>
      <c r="K53" s="269">
        <f aca="true" t="shared" si="7" ref="K53:K60">B53</f>
      </c>
      <c r="L53" s="269">
        <f aca="true" t="shared" si="8" ref="L53:L61">B53</f>
      </c>
      <c r="M53" s="587"/>
      <c r="N53" s="587"/>
    </row>
    <row r="54" spans="1:14" s="235" customFormat="1" ht="16.5">
      <c r="A54" s="296" t="s">
        <v>219</v>
      </c>
      <c r="B54" s="267">
        <f aca="true" t="shared" si="9" ref="B54:B62">D38</f>
      </c>
      <c r="C54" s="269">
        <f aca="true" t="shared" si="10" ref="C54:C62">B54</f>
      </c>
      <c r="D54" s="268" t="e">
        <f>B54+D50</f>
        <v>#VALUE!</v>
      </c>
      <c r="E54" s="270">
        <f>B54</f>
      </c>
      <c r="F54" s="269">
        <f>B54</f>
      </c>
      <c r="G54" s="269">
        <f>B54</f>
      </c>
      <c r="H54" s="269">
        <f>B54</f>
      </c>
      <c r="I54" s="269">
        <f t="shared" si="5"/>
      </c>
      <c r="J54" s="269">
        <f t="shared" si="6"/>
      </c>
      <c r="K54" s="269">
        <f t="shared" si="7"/>
      </c>
      <c r="L54" s="269">
        <f t="shared" si="8"/>
      </c>
      <c r="M54" s="587"/>
      <c r="N54" s="587"/>
    </row>
    <row r="55" spans="1:14" s="235" customFormat="1" ht="15">
      <c r="A55" s="296" t="s">
        <v>191</v>
      </c>
      <c r="B55" s="267">
        <f t="shared" si="9"/>
      </c>
      <c r="C55" s="271">
        <f t="shared" si="10"/>
      </c>
      <c r="D55" s="270">
        <f aca="true" t="shared" si="11" ref="D55:D62">B55</f>
      </c>
      <c r="E55" s="268" t="e">
        <f>B55+E50</f>
        <v>#VALUE!</v>
      </c>
      <c r="F55" s="269">
        <f>B55</f>
      </c>
      <c r="G55" s="269">
        <f>B55</f>
      </c>
      <c r="H55" s="269">
        <f>B55</f>
      </c>
      <c r="I55" s="269">
        <f t="shared" si="5"/>
      </c>
      <c r="J55" s="269">
        <f t="shared" si="6"/>
      </c>
      <c r="K55" s="269">
        <f t="shared" si="7"/>
      </c>
      <c r="L55" s="269">
        <f t="shared" si="8"/>
      </c>
      <c r="M55" s="587"/>
      <c r="N55" s="587"/>
    </row>
    <row r="56" spans="1:14" s="235" customFormat="1" ht="15">
      <c r="A56" s="296" t="s">
        <v>175</v>
      </c>
      <c r="B56" s="267">
        <f t="shared" si="9"/>
      </c>
      <c r="C56" s="271">
        <f t="shared" si="10"/>
      </c>
      <c r="D56" s="271">
        <f t="shared" si="11"/>
      </c>
      <c r="E56" s="271">
        <f aca="true" t="shared" si="12" ref="E56:E62">B56</f>
      </c>
      <c r="F56" s="268" t="e">
        <f>B56+F50</f>
        <v>#VALUE!</v>
      </c>
      <c r="G56" s="270">
        <f>B56</f>
      </c>
      <c r="H56" s="270">
        <f>B56</f>
      </c>
      <c r="I56" s="270">
        <f t="shared" si="5"/>
      </c>
      <c r="J56" s="270">
        <f t="shared" si="6"/>
      </c>
      <c r="K56" s="269">
        <f t="shared" si="7"/>
      </c>
      <c r="L56" s="269">
        <f t="shared" si="8"/>
      </c>
      <c r="M56" s="587"/>
      <c r="N56" s="587"/>
    </row>
    <row r="57" spans="1:14" s="235" customFormat="1" ht="16.5">
      <c r="A57" s="296" t="s">
        <v>220</v>
      </c>
      <c r="B57" s="267">
        <f t="shared" si="9"/>
      </c>
      <c r="C57" s="271">
        <f t="shared" si="10"/>
      </c>
      <c r="D57" s="271">
        <f t="shared" si="11"/>
      </c>
      <c r="E57" s="271">
        <f t="shared" si="12"/>
      </c>
      <c r="F57" s="270">
        <f aca="true" t="shared" si="13" ref="F57:F62">B57</f>
      </c>
      <c r="G57" s="268" t="e">
        <f>B57+G50</f>
        <v>#VALUE!</v>
      </c>
      <c r="H57" s="270">
        <f>B57</f>
      </c>
      <c r="I57" s="269">
        <f t="shared" si="5"/>
      </c>
      <c r="J57" s="270">
        <f t="shared" si="6"/>
      </c>
      <c r="K57" s="269">
        <f t="shared" si="7"/>
      </c>
      <c r="L57" s="269">
        <f t="shared" si="8"/>
      </c>
      <c r="M57" s="587"/>
      <c r="N57" s="587"/>
    </row>
    <row r="58" spans="1:14" s="235" customFormat="1" ht="16.5">
      <c r="A58" s="296" t="s">
        <v>221</v>
      </c>
      <c r="B58" s="267">
        <f t="shared" si="9"/>
      </c>
      <c r="C58" s="271">
        <f t="shared" si="10"/>
      </c>
      <c r="D58" s="271">
        <f t="shared" si="11"/>
      </c>
      <c r="E58" s="271">
        <f t="shared" si="12"/>
      </c>
      <c r="F58" s="270">
        <f t="shared" si="13"/>
      </c>
      <c r="G58" s="270">
        <f>B58</f>
      </c>
      <c r="H58" s="268" t="e">
        <f>B58+H50</f>
        <v>#VALUE!</v>
      </c>
      <c r="I58" s="269">
        <f t="shared" si="5"/>
      </c>
      <c r="J58" s="270">
        <f t="shared" si="6"/>
      </c>
      <c r="K58" s="269">
        <f t="shared" si="7"/>
      </c>
      <c r="L58" s="269">
        <f t="shared" si="8"/>
      </c>
      <c r="M58" s="587"/>
      <c r="N58" s="587"/>
    </row>
    <row r="59" spans="1:14" s="235" customFormat="1" ht="16.5">
      <c r="A59" s="296" t="s">
        <v>222</v>
      </c>
      <c r="B59" s="267">
        <f t="shared" si="9"/>
      </c>
      <c r="C59" s="271">
        <f t="shared" si="10"/>
      </c>
      <c r="D59" s="271">
        <f t="shared" si="11"/>
      </c>
      <c r="E59" s="271">
        <f t="shared" si="12"/>
      </c>
      <c r="F59" s="270">
        <f t="shared" si="13"/>
      </c>
      <c r="G59" s="271">
        <f>B59</f>
      </c>
      <c r="H59" s="271">
        <f>B59</f>
      </c>
      <c r="I59" s="268" t="e">
        <f>B59+I50</f>
        <v>#VALUE!</v>
      </c>
      <c r="J59" s="270">
        <f t="shared" si="6"/>
      </c>
      <c r="K59" s="269">
        <f t="shared" si="7"/>
      </c>
      <c r="L59" s="269">
        <f t="shared" si="8"/>
      </c>
      <c r="M59" s="587"/>
      <c r="N59" s="587"/>
    </row>
    <row r="60" spans="1:14" s="235" customFormat="1" ht="16.5">
      <c r="A60" s="296" t="s">
        <v>223</v>
      </c>
      <c r="B60" s="267">
        <f t="shared" si="9"/>
      </c>
      <c r="C60" s="271">
        <f t="shared" si="10"/>
      </c>
      <c r="D60" s="271">
        <f t="shared" si="11"/>
      </c>
      <c r="E60" s="271">
        <f t="shared" si="12"/>
      </c>
      <c r="F60" s="270">
        <f t="shared" si="13"/>
      </c>
      <c r="G60" s="270">
        <f>B60</f>
      </c>
      <c r="H60" s="270">
        <f>B60</f>
      </c>
      <c r="I60" s="270">
        <f>B60</f>
      </c>
      <c r="J60" s="268" t="e">
        <f>B60+J50</f>
        <v>#VALUE!</v>
      </c>
      <c r="K60" s="269">
        <f t="shared" si="7"/>
      </c>
      <c r="L60" s="269">
        <f t="shared" si="8"/>
      </c>
      <c r="M60" s="587"/>
      <c r="N60" s="587"/>
    </row>
    <row r="61" spans="1:14" s="235" customFormat="1" ht="15">
      <c r="A61" s="296" t="s">
        <v>173</v>
      </c>
      <c r="B61" s="267">
        <f t="shared" si="9"/>
      </c>
      <c r="C61" s="271">
        <f t="shared" si="10"/>
      </c>
      <c r="D61" s="271">
        <f t="shared" si="11"/>
      </c>
      <c r="E61" s="271">
        <f t="shared" si="12"/>
      </c>
      <c r="F61" s="271">
        <f t="shared" si="13"/>
      </c>
      <c r="G61" s="271">
        <f>B61</f>
      </c>
      <c r="H61" s="271">
        <f>B61</f>
      </c>
      <c r="I61" s="271">
        <f>B61</f>
      </c>
      <c r="J61" s="271">
        <f>B61</f>
      </c>
      <c r="K61" s="268" t="e">
        <f>B61+K50</f>
        <v>#VALUE!</v>
      </c>
      <c r="L61" s="269">
        <f t="shared" si="8"/>
      </c>
      <c r="M61" s="587"/>
      <c r="N61" s="587"/>
    </row>
    <row r="62" spans="1:14" s="235" customFormat="1" ht="16.5">
      <c r="A62" s="296" t="s">
        <v>224</v>
      </c>
      <c r="B62" s="267">
        <f t="shared" si="9"/>
      </c>
      <c r="C62" s="271">
        <f t="shared" si="10"/>
      </c>
      <c r="D62" s="271">
        <f t="shared" si="11"/>
      </c>
      <c r="E62" s="271">
        <f t="shared" si="12"/>
      </c>
      <c r="F62" s="271">
        <f t="shared" si="13"/>
      </c>
      <c r="G62" s="271">
        <f>B62</f>
      </c>
      <c r="H62" s="271">
        <f>B62</f>
      </c>
      <c r="I62" s="271">
        <f>B62</f>
      </c>
      <c r="J62" s="271">
        <f>B62</f>
      </c>
      <c r="K62" s="271">
        <f>B62</f>
      </c>
      <c r="L62" s="272" t="e">
        <f>B62+L50</f>
        <v>#VALUE!</v>
      </c>
      <c r="M62" s="587"/>
      <c r="N62" s="587"/>
    </row>
    <row r="63" spans="1:14" s="235" customFormat="1" ht="15">
      <c r="A63" s="310" t="s">
        <v>200</v>
      </c>
      <c r="B63" s="273" t="e">
        <f>(B59*((B53+B54)*(1+B55*(B57-B62))))/(B60*(1+B56*(B58-B62)))-B61</f>
        <v>#VALUE!</v>
      </c>
      <c r="C63" s="273" t="e">
        <f aca="true" t="shared" si="14" ref="C63:L63">(C59*((C53+C54)*(1+C55*(C57-C62))))/(C60*(1+C56*(C58-C62)))-C61</f>
        <v>#VALUE!</v>
      </c>
      <c r="D63" s="273" t="e">
        <f t="shared" si="14"/>
        <v>#VALUE!</v>
      </c>
      <c r="E63" s="273" t="e">
        <f t="shared" si="14"/>
        <v>#VALUE!</v>
      </c>
      <c r="F63" s="273" t="e">
        <f t="shared" si="14"/>
        <v>#VALUE!</v>
      </c>
      <c r="G63" s="273" t="e">
        <f t="shared" si="14"/>
        <v>#VALUE!</v>
      </c>
      <c r="H63" s="273" t="e">
        <f t="shared" si="14"/>
        <v>#VALUE!</v>
      </c>
      <c r="I63" s="273" t="e">
        <f t="shared" si="14"/>
        <v>#VALUE!</v>
      </c>
      <c r="J63" s="273" t="e">
        <f t="shared" si="14"/>
        <v>#VALUE!</v>
      </c>
      <c r="K63" s="273" t="e">
        <f t="shared" si="14"/>
        <v>#VALUE!</v>
      </c>
      <c r="L63" s="273" t="e">
        <f t="shared" si="14"/>
        <v>#VALUE!</v>
      </c>
      <c r="M63" s="587"/>
      <c r="N63" s="587"/>
    </row>
    <row r="64" spans="1:14" s="235" customFormat="1" ht="16.5">
      <c r="A64" s="298"/>
      <c r="B64" s="274"/>
      <c r="C64" s="269" t="e">
        <f>C63-B63</f>
        <v>#VALUE!</v>
      </c>
      <c r="D64" s="269" t="e">
        <f>D63-B63</f>
        <v>#VALUE!</v>
      </c>
      <c r="E64" s="269" t="e">
        <f>E63-B63</f>
        <v>#VALUE!</v>
      </c>
      <c r="F64" s="269" t="e">
        <f>F63-B63</f>
        <v>#VALUE!</v>
      </c>
      <c r="G64" s="269" t="e">
        <f>G63-B63</f>
        <v>#VALUE!</v>
      </c>
      <c r="H64" s="269" t="e">
        <f>H63-B63</f>
        <v>#VALUE!</v>
      </c>
      <c r="I64" s="269" t="e">
        <f>I63-B63</f>
        <v>#VALUE!</v>
      </c>
      <c r="J64" s="269" t="e">
        <f>J63-B63</f>
        <v>#VALUE!</v>
      </c>
      <c r="K64" s="269" t="e">
        <f>K63-B63</f>
        <v>#VALUE!</v>
      </c>
      <c r="L64" s="269" t="e">
        <f>L63-B63</f>
        <v>#VALUE!</v>
      </c>
      <c r="M64" s="281" t="s">
        <v>209</v>
      </c>
      <c r="N64" s="596"/>
    </row>
    <row r="65" spans="1:14" s="235" customFormat="1" ht="17.25">
      <c r="A65" s="306" t="s">
        <v>226</v>
      </c>
      <c r="B65" s="269" t="e">
        <f>SQRT(SUM(C65:L65))</f>
        <v>#VALUE!</v>
      </c>
      <c r="C65" s="269" t="e">
        <f aca="true" t="shared" si="15" ref="C65:L65">C64^2</f>
        <v>#VALUE!</v>
      </c>
      <c r="D65" s="269" t="e">
        <f t="shared" si="15"/>
        <v>#VALUE!</v>
      </c>
      <c r="E65" s="269" t="e">
        <f t="shared" si="15"/>
        <v>#VALUE!</v>
      </c>
      <c r="F65" s="269" t="e">
        <f t="shared" si="15"/>
        <v>#VALUE!</v>
      </c>
      <c r="G65" s="269" t="e">
        <f t="shared" si="15"/>
        <v>#VALUE!</v>
      </c>
      <c r="H65" s="269" t="e">
        <f t="shared" si="15"/>
        <v>#VALUE!</v>
      </c>
      <c r="I65" s="269" t="e">
        <f t="shared" si="15"/>
        <v>#VALUE!</v>
      </c>
      <c r="J65" s="269" t="e">
        <f t="shared" si="15"/>
        <v>#VALUE!</v>
      </c>
      <c r="K65" s="269" t="e">
        <f t="shared" si="15"/>
        <v>#VALUE!</v>
      </c>
      <c r="L65" s="269" t="e">
        <f t="shared" si="15"/>
        <v>#VALUE!</v>
      </c>
      <c r="M65" s="282" t="s">
        <v>210</v>
      </c>
      <c r="N65" s="596"/>
    </row>
    <row r="66" spans="1:14" s="235" customFormat="1" ht="17.25">
      <c r="A66" s="307" t="s">
        <v>189</v>
      </c>
      <c r="B66" s="275" t="e">
        <f>B65^4/(C64^4/C51+D64^4/D51+E64^4/E51+F64^4/F51+G64^4/G51+H64^4/H51+I64^4/I51+J64^4/J51+K64^4/K51+L64^4/L51)</f>
        <v>#VALUE!</v>
      </c>
      <c r="C66" s="276" t="e">
        <f>C65/B65^2</f>
        <v>#VALUE!</v>
      </c>
      <c r="D66" s="276" t="e">
        <f>D65/B65^2</f>
        <v>#VALUE!</v>
      </c>
      <c r="E66" s="276" t="e">
        <f>E65/B65^2</f>
        <v>#VALUE!</v>
      </c>
      <c r="F66" s="276" t="e">
        <f>F65/B65^2</f>
        <v>#VALUE!</v>
      </c>
      <c r="G66" s="276" t="e">
        <f>G65/B65^2</f>
        <v>#VALUE!</v>
      </c>
      <c r="H66" s="276" t="e">
        <f>H65/B65^2</f>
        <v>#VALUE!</v>
      </c>
      <c r="I66" s="276" t="e">
        <f>I65/B65^2</f>
        <v>#VALUE!</v>
      </c>
      <c r="J66" s="276" t="e">
        <f>J65/B65^2</f>
        <v>#VALUE!</v>
      </c>
      <c r="K66" s="276" t="e">
        <f>K65/B65^2</f>
        <v>#VALUE!</v>
      </c>
      <c r="L66" s="276" t="e">
        <f>L65/B65^2</f>
        <v>#VALUE!</v>
      </c>
      <c r="M66" s="283" t="s">
        <v>211</v>
      </c>
      <c r="N66" s="285" t="e">
        <f>SUM(C66:L66)</f>
        <v>#VALUE!</v>
      </c>
    </row>
    <row r="67" spans="1:14" s="235" customFormat="1" ht="18">
      <c r="A67" s="306" t="s">
        <v>201</v>
      </c>
      <c r="B67" s="269">
        <f>2</f>
        <v>2</v>
      </c>
      <c r="C67" s="277" t="e">
        <f aca="true" t="shared" si="16" ref="C67:L67">C64/C50</f>
        <v>#VALUE!</v>
      </c>
      <c r="D67" s="277" t="e">
        <f t="shared" si="16"/>
        <v>#VALUE!</v>
      </c>
      <c r="E67" s="277" t="e">
        <f t="shared" si="16"/>
        <v>#VALUE!</v>
      </c>
      <c r="F67" s="277" t="e">
        <f t="shared" si="16"/>
        <v>#VALUE!</v>
      </c>
      <c r="G67" s="277" t="e">
        <f t="shared" si="16"/>
        <v>#VALUE!</v>
      </c>
      <c r="H67" s="277" t="e">
        <f t="shared" si="16"/>
        <v>#VALUE!</v>
      </c>
      <c r="I67" s="277" t="e">
        <f t="shared" si="16"/>
        <v>#VALUE!</v>
      </c>
      <c r="J67" s="277" t="e">
        <f t="shared" si="16"/>
        <v>#VALUE!</v>
      </c>
      <c r="K67" s="277" t="e">
        <f t="shared" si="16"/>
        <v>#VALUE!</v>
      </c>
      <c r="L67" s="278" t="e">
        <f t="shared" si="16"/>
        <v>#VALUE!</v>
      </c>
      <c r="M67" s="284" t="s">
        <v>212</v>
      </c>
      <c r="N67" s="286" t="s">
        <v>213</v>
      </c>
    </row>
    <row r="68" spans="1:14" s="235" customFormat="1" ht="16.5">
      <c r="A68" s="308" t="s">
        <v>202</v>
      </c>
      <c r="B68" s="279" t="e">
        <f>B67*B65</f>
        <v>#VALUE!</v>
      </c>
      <c r="C68" s="280" t="str">
        <f>IF(NomValUnit="Nominal Volume (L)","L","gal")</f>
        <v>gal</v>
      </c>
      <c r="D68" s="309" t="e">
        <f>B68/B63</f>
        <v>#VALUE!</v>
      </c>
      <c r="E68" s="287" t="s">
        <v>214</v>
      </c>
      <c r="F68" s="587"/>
      <c r="G68" s="587"/>
      <c r="H68" s="587"/>
      <c r="I68" s="587"/>
      <c r="J68" s="587"/>
      <c r="K68" s="587"/>
      <c r="L68" s="587"/>
      <c r="M68" s="587"/>
      <c r="N68" s="587"/>
    </row>
    <row r="69" spans="1:14" s="235" customFormat="1" ht="12" customHeight="1">
      <c r="A69" s="246"/>
      <c r="B69" s="246"/>
      <c r="C69" s="246"/>
      <c r="D69" s="246"/>
      <c r="E69" s="246"/>
      <c r="F69" s="246"/>
      <c r="G69" s="246"/>
      <c r="H69" s="246"/>
      <c r="I69" s="246"/>
      <c r="J69" s="246"/>
      <c r="K69" s="246"/>
      <c r="L69" s="246"/>
      <c r="M69" s="246"/>
      <c r="N69" s="246"/>
    </row>
    <row r="70" spans="1:14" s="235" customFormat="1" ht="18.75" thickBot="1">
      <c r="A70" s="251" t="s">
        <v>229</v>
      </c>
      <c r="B70" s="251"/>
      <c r="C70" s="251"/>
      <c r="D70" s="251"/>
      <c r="E70" s="251"/>
      <c r="F70" s="251"/>
      <c r="G70" s="251"/>
      <c r="H70" s="251"/>
      <c r="I70" s="251"/>
      <c r="J70" s="251"/>
      <c r="K70" s="251"/>
      <c r="L70" s="251"/>
      <c r="M70" s="251"/>
      <c r="N70" s="251"/>
    </row>
    <row r="71" spans="1:11" s="235" customFormat="1" ht="18">
      <c r="A71" s="247"/>
      <c r="B71" s="248"/>
      <c r="C71" s="249"/>
      <c r="D71" s="249"/>
      <c r="E71" s="248"/>
      <c r="F71" s="249"/>
      <c r="G71" s="249"/>
      <c r="H71" s="248"/>
      <c r="I71" s="249"/>
      <c r="J71" s="249"/>
      <c r="K71" s="250"/>
    </row>
    <row r="72" spans="1:11" s="235" customFormat="1" ht="18">
      <c r="A72" s="247"/>
      <c r="B72" s="248"/>
      <c r="C72" s="249"/>
      <c r="D72" s="249"/>
      <c r="E72" s="248"/>
      <c r="F72" s="249"/>
      <c r="G72" s="249"/>
      <c r="H72" s="248"/>
      <c r="I72" s="249"/>
      <c r="J72" s="249"/>
      <c r="K72" s="250"/>
    </row>
    <row r="73" spans="1:11" s="235" customFormat="1" ht="18">
      <c r="A73" s="247"/>
      <c r="B73" s="248"/>
      <c r="C73" s="249"/>
      <c r="D73" s="249"/>
      <c r="E73" s="248"/>
      <c r="F73" s="249"/>
      <c r="G73" s="249"/>
      <c r="H73" s="248"/>
      <c r="I73" s="249"/>
      <c r="J73" s="249"/>
      <c r="K73" s="250"/>
    </row>
    <row r="74" spans="1:11" s="235" customFormat="1" ht="18">
      <c r="A74" s="247"/>
      <c r="B74" s="248"/>
      <c r="C74" s="249"/>
      <c r="D74" s="249"/>
      <c r="E74" s="248"/>
      <c r="F74" s="249"/>
      <c r="G74" s="249"/>
      <c r="H74" s="248"/>
      <c r="I74" s="249"/>
      <c r="J74" s="249"/>
      <c r="K74" s="250"/>
    </row>
    <row r="75" spans="1:11" s="235" customFormat="1" ht="18">
      <c r="A75" s="247"/>
      <c r="B75" s="248"/>
      <c r="C75" s="249"/>
      <c r="D75" s="249"/>
      <c r="E75" s="248"/>
      <c r="F75" s="249"/>
      <c r="G75" s="249"/>
      <c r="H75" s="248"/>
      <c r="I75" s="249"/>
      <c r="J75" s="249"/>
      <c r="K75" s="250"/>
    </row>
    <row r="76" spans="1:11" s="235" customFormat="1" ht="18">
      <c r="A76" s="247"/>
      <c r="B76" s="248"/>
      <c r="C76" s="249"/>
      <c r="D76" s="249"/>
      <c r="E76" s="248"/>
      <c r="F76" s="249"/>
      <c r="G76" s="249"/>
      <c r="H76" s="248"/>
      <c r="I76" s="249"/>
      <c r="J76" s="249"/>
      <c r="K76" s="250"/>
    </row>
    <row r="77" spans="1:11" s="235" customFormat="1" ht="18">
      <c r="A77" s="247"/>
      <c r="B77" s="248"/>
      <c r="C77" s="249"/>
      <c r="D77" s="249"/>
      <c r="E77" s="248"/>
      <c r="F77" s="249"/>
      <c r="G77" s="249"/>
      <c r="H77" s="248"/>
      <c r="I77" s="249"/>
      <c r="J77" s="249"/>
      <c r="K77" s="250"/>
    </row>
    <row r="78" spans="1:11" s="235" customFormat="1" ht="18">
      <c r="A78" s="247"/>
      <c r="B78" s="248"/>
      <c r="C78" s="249"/>
      <c r="D78" s="249"/>
      <c r="E78" s="248"/>
      <c r="F78" s="249"/>
      <c r="G78" s="249"/>
      <c r="H78" s="248"/>
      <c r="I78" s="249"/>
      <c r="J78" s="249"/>
      <c r="K78" s="250"/>
    </row>
    <row r="79" spans="1:11" s="235" customFormat="1" ht="18">
      <c r="A79" s="247"/>
      <c r="B79" s="248"/>
      <c r="C79" s="249"/>
      <c r="D79" s="249"/>
      <c r="E79" s="248"/>
      <c r="F79" s="249"/>
      <c r="G79" s="249"/>
      <c r="H79" s="248"/>
      <c r="I79" s="249"/>
      <c r="J79" s="249"/>
      <c r="K79" s="250"/>
    </row>
    <row r="80" spans="1:11" s="235" customFormat="1" ht="18">
      <c r="A80" s="247"/>
      <c r="B80" s="248"/>
      <c r="C80" s="249"/>
      <c r="D80" s="249"/>
      <c r="E80" s="248"/>
      <c r="F80" s="249"/>
      <c r="G80" s="249"/>
      <c r="H80" s="248"/>
      <c r="I80" s="249"/>
      <c r="J80" s="249"/>
      <c r="K80" s="250"/>
    </row>
    <row r="81" spans="1:11" s="235" customFormat="1" ht="18">
      <c r="A81" s="247"/>
      <c r="B81" s="248"/>
      <c r="C81" s="249"/>
      <c r="D81" s="249"/>
      <c r="E81" s="248"/>
      <c r="F81" s="249"/>
      <c r="G81" s="249"/>
      <c r="H81" s="248"/>
      <c r="I81" s="249"/>
      <c r="J81" s="249"/>
      <c r="K81" s="250"/>
    </row>
    <row r="82" spans="1:11" s="235" customFormat="1" ht="18">
      <c r="A82" s="247"/>
      <c r="B82" s="248"/>
      <c r="C82" s="249"/>
      <c r="D82" s="249"/>
      <c r="E82" s="248"/>
      <c r="F82" s="249"/>
      <c r="G82" s="249"/>
      <c r="H82" s="248"/>
      <c r="I82" s="249"/>
      <c r="J82" s="249"/>
      <c r="K82" s="250"/>
    </row>
    <row r="83" spans="1:11" s="235" customFormat="1" ht="18">
      <c r="A83" s="247"/>
      <c r="B83" s="248"/>
      <c r="C83" s="249"/>
      <c r="D83" s="249"/>
      <c r="E83" s="248"/>
      <c r="F83" s="249"/>
      <c r="G83" s="249"/>
      <c r="H83" s="248"/>
      <c r="I83" s="249"/>
      <c r="J83" s="249"/>
      <c r="K83" s="250"/>
    </row>
    <row r="84" spans="1:11" s="235" customFormat="1" ht="18">
      <c r="A84" s="247"/>
      <c r="B84" s="248"/>
      <c r="C84" s="249"/>
      <c r="D84" s="249"/>
      <c r="E84" s="248"/>
      <c r="F84" s="249"/>
      <c r="G84" s="249"/>
      <c r="H84" s="248"/>
      <c r="I84" s="249"/>
      <c r="J84" s="249"/>
      <c r="K84" s="250"/>
    </row>
    <row r="85" spans="1:11" s="235" customFormat="1" ht="18">
      <c r="A85" s="247"/>
      <c r="B85" s="248"/>
      <c r="C85" s="249"/>
      <c r="D85" s="249"/>
      <c r="E85" s="248"/>
      <c r="F85" s="249"/>
      <c r="G85" s="249"/>
      <c r="H85" s="248"/>
      <c r="I85" s="249"/>
      <c r="J85" s="249"/>
      <c r="K85" s="250"/>
    </row>
    <row r="86" spans="1:11" s="235" customFormat="1" ht="18">
      <c r="A86" s="247"/>
      <c r="B86" s="248"/>
      <c r="C86" s="249"/>
      <c r="D86" s="249"/>
      <c r="E86" s="248"/>
      <c r="F86" s="249"/>
      <c r="G86" s="249"/>
      <c r="H86" s="248"/>
      <c r="I86" s="249"/>
      <c r="J86" s="249"/>
      <c r="K86" s="250"/>
    </row>
    <row r="87" spans="1:9" s="226" customFormat="1" ht="12" customHeight="1">
      <c r="A87" s="224"/>
      <c r="B87" s="224"/>
      <c r="C87" s="224"/>
      <c r="D87" s="224"/>
      <c r="E87" s="225"/>
      <c r="F87" s="225"/>
      <c r="G87" s="225"/>
      <c r="H87" s="225"/>
      <c r="I87" s="225"/>
    </row>
    <row r="88" spans="1:17" s="226" customFormat="1" ht="18.75" thickBot="1">
      <c r="A88" s="593" t="s">
        <v>230</v>
      </c>
      <c r="B88" s="593"/>
      <c r="C88" s="593"/>
      <c r="D88" s="593"/>
      <c r="E88" s="593"/>
      <c r="F88" s="593"/>
      <c r="G88" s="593"/>
      <c r="H88" s="593"/>
      <c r="I88" s="593"/>
      <c r="J88" s="593"/>
      <c r="K88" s="593"/>
      <c r="L88" s="593"/>
      <c r="M88" s="593"/>
      <c r="N88" s="593"/>
      <c r="O88"/>
      <c r="P88"/>
      <c r="Q88"/>
    </row>
    <row r="89" spans="1:17" s="226" customFormat="1" ht="16.5" customHeight="1">
      <c r="A89" s="594" t="s">
        <v>204</v>
      </c>
      <c r="B89" s="595"/>
      <c r="C89" s="595"/>
      <c r="D89" s="595"/>
      <c r="E89" s="595"/>
      <c r="F89" s="318">
        <f>IF(Nom_Val="","",B68)</f>
      </c>
      <c r="G89" s="319" t="str">
        <f>IF(NomValUnit="Nominal Volume (L)","L","gal")</f>
        <v>gal</v>
      </c>
      <c r="H89" s="248"/>
      <c r="I89" s="249"/>
      <c r="J89" s="249"/>
      <c r="K89" s="250"/>
      <c r="L89" s="235"/>
      <c r="M89" s="235"/>
      <c r="N89" s="235"/>
      <c r="O89" s="235"/>
      <c r="P89" s="235"/>
      <c r="Q89" s="235"/>
    </row>
    <row r="90" spans="1:17" s="226" customFormat="1" ht="15.75">
      <c r="A90" s="589" t="s">
        <v>205</v>
      </c>
      <c r="B90" s="590"/>
      <c r="C90" s="590"/>
      <c r="D90" s="590"/>
      <c r="E90" s="590"/>
      <c r="F90" s="320">
        <f>IF(NVLAP="",0,NVLAP)</f>
        <v>0</v>
      </c>
      <c r="G90" s="321" t="str">
        <f>IF(NomValUnit="Nominal Volume (L)","L","gal")</f>
        <v>gal</v>
      </c>
      <c r="H90" s="248"/>
      <c r="I90" s="249"/>
      <c r="J90" s="249"/>
      <c r="K90" s="250"/>
      <c r="L90" s="235"/>
      <c r="M90" s="235"/>
      <c r="N90" s="235"/>
      <c r="O90" s="235"/>
      <c r="P90" s="235"/>
      <c r="Q90" s="235"/>
    </row>
    <row r="91" spans="1:17" s="226" customFormat="1" ht="15.75">
      <c r="A91" s="591" t="s">
        <v>206</v>
      </c>
      <c r="B91" s="592"/>
      <c r="C91" s="592"/>
      <c r="D91" s="592"/>
      <c r="E91" s="592"/>
      <c r="F91" s="322">
        <f>IF(F89&lt;F90,F90,F89)</f>
      </c>
      <c r="G91" s="323" t="str">
        <f>IF(NomValUnit="Nominal Volume (L)","L","gal")</f>
        <v>gal</v>
      </c>
      <c r="H91" s="248"/>
      <c r="I91" s="249"/>
      <c r="J91" s="249"/>
      <c r="K91" s="250"/>
      <c r="L91" s="235"/>
      <c r="M91" s="235"/>
      <c r="N91" s="235"/>
      <c r="O91" s="235"/>
      <c r="P91" s="235"/>
      <c r="Q91" s="235"/>
    </row>
    <row r="92" spans="1:9" s="226" customFormat="1" ht="15">
      <c r="A92" s="224"/>
      <c r="B92" s="224"/>
      <c r="C92" s="224"/>
      <c r="D92" s="224"/>
      <c r="E92" s="225"/>
      <c r="F92" s="225"/>
      <c r="G92" s="225"/>
      <c r="H92" s="225"/>
      <c r="I92" s="225"/>
    </row>
    <row r="93" spans="1:9" s="226" customFormat="1" ht="15" hidden="1">
      <c r="A93" s="224"/>
      <c r="B93" s="224"/>
      <c r="C93" s="224"/>
      <c r="D93" s="224"/>
      <c r="E93" s="225"/>
      <c r="F93" s="225"/>
      <c r="G93" s="225"/>
      <c r="H93" s="225"/>
      <c r="I93" s="225"/>
    </row>
    <row r="94" spans="1:8" ht="15.75" hidden="1">
      <c r="A94" s="8"/>
      <c r="B94" s="8"/>
      <c r="C94" s="8"/>
      <c r="D94" s="8"/>
      <c r="E94" s="8"/>
      <c r="F94" s="8"/>
      <c r="G94" s="8"/>
      <c r="H94" s="8"/>
    </row>
    <row r="95" spans="1:8" ht="15.75" hidden="1">
      <c r="A95" s="8"/>
      <c r="B95" s="8"/>
      <c r="C95" s="8"/>
      <c r="D95" s="8"/>
      <c r="E95" s="8"/>
      <c r="F95" s="8"/>
      <c r="G95" s="8"/>
      <c r="H95" s="8"/>
    </row>
    <row r="96" spans="1:8" ht="15.75" hidden="1">
      <c r="A96" s="8"/>
      <c r="B96" s="8"/>
      <c r="C96" s="8"/>
      <c r="D96" s="8"/>
      <c r="E96" s="8"/>
      <c r="F96" s="8"/>
      <c r="G96" s="8"/>
      <c r="H96" s="8"/>
    </row>
    <row r="97" spans="1:8" ht="15.75" hidden="1">
      <c r="A97" s="8"/>
      <c r="B97" s="8"/>
      <c r="C97" s="8"/>
      <c r="D97" s="8"/>
      <c r="E97" s="8"/>
      <c r="F97" s="8"/>
      <c r="G97" s="8"/>
      <c r="H97" s="8"/>
    </row>
    <row r="98" spans="1:8" ht="15.75" hidden="1">
      <c r="A98" s="8"/>
      <c r="B98" s="8"/>
      <c r="C98" s="8"/>
      <c r="D98" s="8"/>
      <c r="E98" s="8"/>
      <c r="F98" s="8"/>
      <c r="G98" s="8"/>
      <c r="H98" s="8"/>
    </row>
    <row r="99" spans="1:8" ht="15.75" hidden="1">
      <c r="A99" s="8"/>
      <c r="B99" s="8"/>
      <c r="C99" s="8"/>
      <c r="D99" s="8"/>
      <c r="E99" s="8"/>
      <c r="F99" s="8"/>
      <c r="G99" s="8"/>
      <c r="H99" s="8"/>
    </row>
    <row r="100" spans="1:8" ht="15.75" hidden="1">
      <c r="A100" s="8"/>
      <c r="B100" s="8"/>
      <c r="C100" s="8"/>
      <c r="D100" s="8"/>
      <c r="E100" s="8"/>
      <c r="F100" s="8"/>
      <c r="G100" s="8"/>
      <c r="H100" s="8"/>
    </row>
    <row r="101" spans="1:8" ht="15.75" hidden="1">
      <c r="A101" s="8"/>
      <c r="B101" s="8"/>
      <c r="C101" s="8"/>
      <c r="D101" s="8"/>
      <c r="E101" s="8"/>
      <c r="F101" s="8"/>
      <c r="G101" s="8"/>
      <c r="H101" s="8"/>
    </row>
    <row r="102" spans="1:8" ht="15.75" hidden="1">
      <c r="A102" s="8"/>
      <c r="B102" s="8"/>
      <c r="C102" s="8"/>
      <c r="D102" s="8"/>
      <c r="E102" s="8"/>
      <c r="F102" s="8"/>
      <c r="G102" s="8"/>
      <c r="H102" s="8"/>
    </row>
    <row r="103" spans="1:8" ht="15.75" hidden="1">
      <c r="A103" s="8"/>
      <c r="B103" s="8"/>
      <c r="C103" s="8"/>
      <c r="D103" s="8"/>
      <c r="E103" s="8"/>
      <c r="F103" s="8"/>
      <c r="G103" s="8"/>
      <c r="H103" s="8"/>
    </row>
    <row r="104" spans="1:8" ht="15.75" hidden="1">
      <c r="A104" s="8"/>
      <c r="B104" s="8"/>
      <c r="C104" s="8"/>
      <c r="D104" s="8"/>
      <c r="E104" s="8"/>
      <c r="F104" s="8"/>
      <c r="G104" s="8"/>
      <c r="H104" s="8"/>
    </row>
    <row r="105" spans="1:8" ht="15.75" hidden="1">
      <c r="A105" s="8"/>
      <c r="B105" s="8"/>
      <c r="C105" s="8"/>
      <c r="D105" s="8"/>
      <c r="E105" s="8"/>
      <c r="F105" s="8"/>
      <c r="G105" s="8"/>
      <c r="H105" s="8"/>
    </row>
    <row r="106" spans="1:8" ht="15.75" hidden="1">
      <c r="A106" s="8"/>
      <c r="B106" s="8"/>
      <c r="C106" s="8"/>
      <c r="D106" s="8"/>
      <c r="E106" s="8"/>
      <c r="F106" s="8"/>
      <c r="G106" s="8"/>
      <c r="H106" s="8"/>
    </row>
    <row r="107" spans="1:8" ht="15.75" hidden="1">
      <c r="A107" s="8"/>
      <c r="B107" s="8"/>
      <c r="C107" s="8"/>
      <c r="D107" s="8"/>
      <c r="E107" s="8"/>
      <c r="F107" s="8"/>
      <c r="G107" s="8"/>
      <c r="H107" s="8"/>
    </row>
    <row r="108" spans="1:8" ht="15.75" hidden="1">
      <c r="A108" s="8"/>
      <c r="B108" s="8"/>
      <c r="C108" s="8"/>
      <c r="D108" s="8"/>
      <c r="E108" s="8"/>
      <c r="F108" s="8"/>
      <c r="G108" s="8"/>
      <c r="H108" s="8"/>
    </row>
    <row r="109" spans="1:8" ht="15.75" hidden="1">
      <c r="A109" s="8"/>
      <c r="B109" s="8"/>
      <c r="C109" s="8"/>
      <c r="D109" s="8"/>
      <c r="E109" s="8"/>
      <c r="F109" s="8"/>
      <c r="G109" s="8"/>
      <c r="H109" s="8"/>
    </row>
    <row r="110" spans="1:8" ht="15.75" hidden="1">
      <c r="A110" s="8"/>
      <c r="B110" s="8"/>
      <c r="C110" s="8"/>
      <c r="D110" s="8"/>
      <c r="E110" s="8"/>
      <c r="F110" s="8"/>
      <c r="G110" s="8"/>
      <c r="H110" s="8"/>
    </row>
    <row r="111" ht="15.75" hidden="1"/>
    <row r="112" ht="15.75" hidden="1"/>
    <row r="113" ht="15.75" hidden="1"/>
    <row r="114" ht="15.75" hidden="1"/>
    <row r="115" ht="15.75" hidden="1"/>
    <row r="116" ht="15.75" hidden="1"/>
    <row r="117" ht="15.75" hidden="1"/>
    <row r="118" ht="15.75" hidden="1"/>
    <row r="119" ht="15.75" hidden="1"/>
    <row r="120" ht="15.75" hidden="1"/>
    <row r="121" ht="15.75" hidden="1"/>
    <row r="122" spans="1:12" ht="15.75" hidden="1">
      <c r="A122" s="15"/>
      <c r="B122" s="16"/>
      <c r="C122" s="17"/>
      <c r="D122" s="18"/>
      <c r="E122" s="18"/>
      <c r="F122" s="17"/>
      <c r="G122" s="18"/>
      <c r="L122" s="9"/>
    </row>
    <row r="123" spans="7:12" ht="15.75" hidden="1">
      <c r="G123"/>
      <c r="L123" s="13"/>
    </row>
    <row r="124" spans="7:12" ht="15.75" hidden="1">
      <c r="G124"/>
      <c r="L124" s="12"/>
    </row>
    <row r="125" spans="7:12" ht="15.75" hidden="1">
      <c r="G125"/>
      <c r="L125" s="12"/>
    </row>
    <row r="126" spans="7:12" ht="15.75" hidden="1">
      <c r="G126"/>
      <c r="L126" s="8"/>
    </row>
    <row r="127" spans="7:12" ht="15.75" hidden="1">
      <c r="G127"/>
      <c r="L127" s="8"/>
    </row>
    <row r="128" spans="7:12" ht="15.75" hidden="1">
      <c r="G128"/>
      <c r="L128" s="8"/>
    </row>
    <row r="129" spans="7:12" ht="15.75" hidden="1">
      <c r="G129"/>
      <c r="L129" s="8"/>
    </row>
    <row r="130" spans="7:12" ht="15.75" hidden="1">
      <c r="G130"/>
      <c r="L130" s="8"/>
    </row>
    <row r="131" spans="7:12" ht="15.75" hidden="1">
      <c r="G131"/>
      <c r="L131" s="8"/>
    </row>
    <row r="132" spans="7:12" ht="15.75" hidden="1">
      <c r="G132"/>
      <c r="I132" s="19"/>
      <c r="L132" s="8"/>
    </row>
    <row r="133" spans="1:12" ht="15.75" hidden="1">
      <c r="A133" s="11"/>
      <c r="B133" s="11"/>
      <c r="C133" s="11"/>
      <c r="D133" s="11"/>
      <c r="E133" s="11"/>
      <c r="F133" s="11"/>
      <c r="G133" s="11"/>
      <c r="H133" s="11"/>
      <c r="I133" s="19"/>
      <c r="L133" s="14"/>
    </row>
    <row r="134" spans="1:12" ht="15.75" hidden="1">
      <c r="A134" s="19"/>
      <c r="B134" s="19"/>
      <c r="C134" s="19"/>
      <c r="D134" s="19"/>
      <c r="E134" s="19"/>
      <c r="F134" s="19"/>
      <c r="G134" s="19"/>
      <c r="H134" s="19"/>
      <c r="I134" s="19"/>
      <c r="L134" s="8"/>
    </row>
    <row r="135" spans="5:12" ht="15.75" hidden="1">
      <c r="E135" s="13"/>
      <c r="F135" s="13"/>
      <c r="L135" s="13"/>
    </row>
    <row r="136" spans="5:12" ht="15.75" hidden="1">
      <c r="E136" s="13"/>
      <c r="F136" s="13"/>
      <c r="L136" s="13"/>
    </row>
    <row r="137" spans="1:12" ht="15.75" hidden="1">
      <c r="A137" s="10"/>
      <c r="D137" s="10"/>
      <c r="E137" s="10"/>
      <c r="F137" s="13"/>
      <c r="L137" s="13"/>
    </row>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sheetData>
  <sheetProtection password="FFED" sheet="1" objects="1" scenarios="1" selectLockedCells="1" selectUnlockedCells="1"/>
  <mergeCells count="52">
    <mergeCell ref="C19:N19"/>
    <mergeCell ref="C20:N20"/>
    <mergeCell ref="I28:N28"/>
    <mergeCell ref="I26:N26"/>
    <mergeCell ref="I24:N24"/>
    <mergeCell ref="C28:F28"/>
    <mergeCell ref="I25:N25"/>
    <mergeCell ref="C15:N15"/>
    <mergeCell ref="C16:N16"/>
    <mergeCell ref="C17:N17"/>
    <mergeCell ref="C18:N18"/>
    <mergeCell ref="A42:B42"/>
    <mergeCell ref="A38:B38"/>
    <mergeCell ref="A40:B40"/>
    <mergeCell ref="A39:B39"/>
    <mergeCell ref="A41:B41"/>
    <mergeCell ref="C12:N12"/>
    <mergeCell ref="C13:N13"/>
    <mergeCell ref="C14:N14"/>
    <mergeCell ref="C27:F27"/>
    <mergeCell ref="A23:F23"/>
    <mergeCell ref="C24:F24"/>
    <mergeCell ref="C25:F25"/>
    <mergeCell ref="I27:N27"/>
    <mergeCell ref="C26:F26"/>
    <mergeCell ref="G23:N23"/>
    <mergeCell ref="I32:N32"/>
    <mergeCell ref="I31:N31"/>
    <mergeCell ref="I30:N30"/>
    <mergeCell ref="C29:F29"/>
    <mergeCell ref="I29:N29"/>
    <mergeCell ref="C32:F32"/>
    <mergeCell ref="A37:B37"/>
    <mergeCell ref="A36:B36"/>
    <mergeCell ref="C30:F30"/>
    <mergeCell ref="C31:F31"/>
    <mergeCell ref="A43:B43"/>
    <mergeCell ref="A44:B44"/>
    <mergeCell ref="A45:B45"/>
    <mergeCell ref="A46:B46"/>
    <mergeCell ref="I33:N33"/>
    <mergeCell ref="C33:F33"/>
    <mergeCell ref="M49:N63"/>
    <mergeCell ref="C52:L52"/>
    <mergeCell ref="A49:A51"/>
    <mergeCell ref="B49:B50"/>
    <mergeCell ref="A90:E90"/>
    <mergeCell ref="A91:E91"/>
    <mergeCell ref="A88:N88"/>
    <mergeCell ref="A89:E89"/>
    <mergeCell ref="N64:N65"/>
    <mergeCell ref="F68:N68"/>
  </mergeCells>
  <printOptions horizontalCentered="1"/>
  <pageMargins left="0.5" right="0.5" top="1.25" bottom="0.75" header="0.75" footer="0.5"/>
  <pageSetup horizontalDpi="300" verticalDpi="300" orientation="landscape" scale="64" r:id="rId4"/>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rowBreaks count="1" manualBreakCount="1">
    <brk id="33" max="13" man="1"/>
  </rowBreaks>
  <drawing r:id="rId3"/>
  <legacyDrawing r:id="rId2"/>
  <oleObjects>
    <oleObject progId="Equation.3" shapeId="5349745" r:id="rId1"/>
  </oleObjects>
</worksheet>
</file>

<file path=xl/worksheets/sheet7.xml><?xml version="1.0" encoding="utf-8"?>
<worksheet xmlns="http://schemas.openxmlformats.org/spreadsheetml/2006/main" xmlns:r="http://schemas.openxmlformats.org/officeDocument/2006/relationships">
  <sheetPr>
    <tabColor indexed="61"/>
    <pageSetUpPr fitToPage="1"/>
  </sheetPr>
  <dimension ref="A1:M25"/>
  <sheetViews>
    <sheetView showGridLines="0" zoomScale="90" zoomScaleNormal="90" workbookViewId="0" topLeftCell="A1">
      <selection activeCell="A1" sqref="A1"/>
    </sheetView>
  </sheetViews>
  <sheetFormatPr defaultColWidth="8.88671875" defaultRowHeight="15.75"/>
  <cols>
    <col min="1" max="1" width="9.77734375" style="75" customWidth="1"/>
    <col min="2" max="2" width="19.21484375" style="75" customWidth="1"/>
    <col min="3" max="3" width="12.88671875" style="75" customWidth="1"/>
    <col min="4" max="4" width="11.3359375" style="75" customWidth="1"/>
    <col min="5" max="5" width="11.10546875" style="75" customWidth="1"/>
    <col min="6" max="6" width="11.77734375" style="75" customWidth="1"/>
    <col min="7" max="7" width="13.99609375" style="75" customWidth="1"/>
    <col min="8" max="8" width="10.5546875" style="75" customWidth="1"/>
    <col min="9" max="9" width="10.88671875" style="75" customWidth="1"/>
    <col min="10" max="10" width="7.77734375" style="75" customWidth="1"/>
    <col min="11" max="11" width="10.5546875" style="75" customWidth="1"/>
    <col min="12" max="13" width="9.77734375" style="75" customWidth="1"/>
    <col min="14" max="14" width="1.77734375" style="75" customWidth="1"/>
    <col min="15" max="16384" width="0" style="75" hidden="1" customWidth="1"/>
  </cols>
  <sheetData>
    <row r="1" spans="1:13" ht="19.5" thickBot="1">
      <c r="A1" s="151" t="s">
        <v>104</v>
      </c>
      <c r="B1" s="152"/>
      <c r="C1" s="152"/>
      <c r="D1" s="152"/>
      <c r="E1" s="152"/>
      <c r="F1" s="152"/>
      <c r="G1" s="152"/>
      <c r="H1" s="152"/>
      <c r="I1" s="152"/>
      <c r="J1" s="152"/>
      <c r="K1" s="152"/>
      <c r="L1" s="353"/>
      <c r="M1" s="354">
        <f>IF(ISBLANK(RptNo),"","Report Number: "&amp;RptNo)</f>
      </c>
    </row>
    <row r="2" spans="1:13" ht="12" customHeight="1">
      <c r="A2" s="355"/>
      <c r="B2" s="356"/>
      <c r="C2" s="356"/>
      <c r="D2" s="356"/>
      <c r="E2" s="356"/>
      <c r="F2" s="356"/>
      <c r="G2" s="356"/>
      <c r="H2" s="356"/>
      <c r="I2" s="356"/>
      <c r="J2" s="356"/>
      <c r="K2" s="356"/>
      <c r="L2" s="357"/>
      <c r="M2" s="358"/>
    </row>
    <row r="3" s="1" customFormat="1" ht="158.25" customHeight="1"/>
    <row r="4" s="1" customFormat="1" ht="12" customHeight="1"/>
    <row r="5" spans="1:13" s="97" customFormat="1" ht="17.25" thickBot="1">
      <c r="A5" s="172" t="s">
        <v>153</v>
      </c>
      <c r="B5" s="95"/>
      <c r="C5" s="95"/>
      <c r="D5" s="96"/>
      <c r="E5" s="96"/>
      <c r="F5" s="96"/>
      <c r="G5" s="96"/>
      <c r="H5" s="96"/>
      <c r="I5" s="96"/>
      <c r="J5" s="96"/>
      <c r="K5" s="96"/>
      <c r="L5" s="96"/>
      <c r="M5" s="96"/>
    </row>
    <row r="6" spans="1:13" ht="45">
      <c r="A6" s="347" t="s">
        <v>77</v>
      </c>
      <c r="B6" s="347" t="s">
        <v>8</v>
      </c>
      <c r="C6" s="347" t="s">
        <v>255</v>
      </c>
      <c r="D6" s="348" t="s">
        <v>262</v>
      </c>
      <c r="E6" s="348" t="s">
        <v>256</v>
      </c>
      <c r="F6" s="348" t="s">
        <v>257</v>
      </c>
      <c r="G6" s="349" t="s">
        <v>9</v>
      </c>
      <c r="H6" s="348" t="s">
        <v>263</v>
      </c>
      <c r="I6" s="348" t="s">
        <v>258</v>
      </c>
      <c r="J6" s="348" t="s">
        <v>6</v>
      </c>
      <c r="K6" s="348" t="s">
        <v>259</v>
      </c>
      <c r="L6" s="348" t="s">
        <v>260</v>
      </c>
      <c r="M6" s="348" t="s">
        <v>261</v>
      </c>
    </row>
    <row r="7" spans="1:13" ht="15">
      <c r="A7" s="359"/>
      <c r="B7" s="359"/>
      <c r="C7" s="359"/>
      <c r="D7" s="359"/>
      <c r="E7" s="359"/>
      <c r="F7" s="359"/>
      <c r="G7" s="359"/>
      <c r="H7" s="359"/>
      <c r="I7" s="359"/>
      <c r="J7" s="359"/>
      <c r="K7" s="359"/>
      <c r="L7" s="360"/>
      <c r="M7" s="360"/>
    </row>
    <row r="8" spans="1:13" ht="15.75">
      <c r="A8"/>
      <c r="B8"/>
      <c r="C8"/>
      <c r="D8"/>
      <c r="E8"/>
      <c r="F8"/>
      <c r="G8"/>
      <c r="H8"/>
      <c r="I8"/>
      <c r="J8"/>
      <c r="K8"/>
      <c r="L8"/>
      <c r="M8"/>
    </row>
    <row r="9" spans="1:13" ht="17.25" thickBot="1">
      <c r="A9" s="172" t="s">
        <v>152</v>
      </c>
      <c r="B9" s="95"/>
      <c r="C9" s="95"/>
      <c r="D9" s="96"/>
      <c r="E9" s="96"/>
      <c r="F9" s="96"/>
      <c r="G9" s="96"/>
      <c r="H9" s="96"/>
      <c r="I9" s="96"/>
      <c r="J9" s="96"/>
      <c r="K9" s="96"/>
      <c r="L9" s="96"/>
      <c r="M9" s="96"/>
    </row>
    <row r="10" spans="1:13" s="97" customFormat="1" ht="45">
      <c r="A10" s="347" t="s">
        <v>77</v>
      </c>
      <c r="B10" s="347" t="s">
        <v>8</v>
      </c>
      <c r="C10" s="347" t="s">
        <v>255</v>
      </c>
      <c r="D10" s="348" t="s">
        <v>266</v>
      </c>
      <c r="E10" s="348" t="s">
        <v>256</v>
      </c>
      <c r="F10" s="348" t="s">
        <v>264</v>
      </c>
      <c r="G10" s="349" t="s">
        <v>9</v>
      </c>
      <c r="H10" s="348" t="s">
        <v>263</v>
      </c>
      <c r="I10" s="348" t="s">
        <v>265</v>
      </c>
      <c r="J10" s="348" t="s">
        <v>6</v>
      </c>
      <c r="K10" s="348" t="s">
        <v>259</v>
      </c>
      <c r="L10" s="348" t="s">
        <v>260</v>
      </c>
      <c r="M10" s="348" t="s">
        <v>261</v>
      </c>
    </row>
    <row r="11" spans="1:13" ht="15">
      <c r="A11" s="359"/>
      <c r="B11" s="359"/>
      <c r="C11" s="359"/>
      <c r="D11" s="359"/>
      <c r="E11" s="359"/>
      <c r="F11" s="359"/>
      <c r="G11" s="359"/>
      <c r="H11" s="359"/>
      <c r="I11" s="359"/>
      <c r="J11" s="359"/>
      <c r="K11" s="359"/>
      <c r="L11" s="360"/>
      <c r="M11" s="360"/>
    </row>
    <row r="12" spans="1:13" ht="15.75">
      <c r="A12"/>
      <c r="B12"/>
      <c r="C12"/>
      <c r="D12"/>
      <c r="E12"/>
      <c r="F12"/>
      <c r="G12"/>
      <c r="H12"/>
      <c r="I12"/>
      <c r="J12"/>
      <c r="K12"/>
      <c r="L12"/>
      <c r="M12"/>
    </row>
    <row r="13" spans="1:13" ht="17.25" thickBot="1">
      <c r="A13" s="173" t="s">
        <v>88</v>
      </c>
      <c r="B13" s="98"/>
      <c r="C13" s="98"/>
      <c r="D13" s="99"/>
      <c r="E13" s="99"/>
      <c r="F13" s="99"/>
      <c r="G13" s="99"/>
      <c r="H13" s="99"/>
      <c r="I13" s="99"/>
      <c r="J13" s="99"/>
      <c r="K13" s="139"/>
      <c r="L13" s="97"/>
      <c r="M13" s="97"/>
    </row>
    <row r="14" spans="1:10" ht="60">
      <c r="A14" s="350" t="s">
        <v>77</v>
      </c>
      <c r="B14" s="350" t="s">
        <v>8</v>
      </c>
      <c r="C14" s="350" t="s">
        <v>255</v>
      </c>
      <c r="D14" s="350" t="s">
        <v>120</v>
      </c>
      <c r="E14" s="351" t="s">
        <v>267</v>
      </c>
      <c r="F14" s="351" t="s">
        <v>119</v>
      </c>
      <c r="G14" s="351" t="s">
        <v>6</v>
      </c>
      <c r="H14" s="351" t="s">
        <v>259</v>
      </c>
      <c r="I14" s="351" t="s">
        <v>260</v>
      </c>
      <c r="J14" s="351" t="s">
        <v>261</v>
      </c>
    </row>
    <row r="15" spans="1:10" ht="15">
      <c r="A15" s="359"/>
      <c r="B15" s="359"/>
      <c r="C15" s="359"/>
      <c r="D15" s="359"/>
      <c r="E15" s="359"/>
      <c r="F15" s="359"/>
      <c r="G15" s="359"/>
      <c r="H15" s="359"/>
      <c r="I15" s="360"/>
      <c r="J15" s="360"/>
    </row>
    <row r="16" spans="1:13" ht="15.75">
      <c r="A16"/>
      <c r="B16"/>
      <c r="C16"/>
      <c r="D16"/>
      <c r="E16"/>
      <c r="F16"/>
      <c r="G16"/>
      <c r="H16"/>
      <c r="I16"/>
      <c r="J16"/>
      <c r="K16" s="76"/>
      <c r="L16" s="76"/>
      <c r="M16" s="76"/>
    </row>
    <row r="17" spans="2:13" ht="15">
      <c r="B17" s="76"/>
      <c r="C17" s="76"/>
      <c r="D17" s="76"/>
      <c r="E17" s="76"/>
      <c r="F17" s="76"/>
      <c r="G17" s="76"/>
      <c r="H17" s="76"/>
      <c r="I17" s="76"/>
      <c r="J17" s="76"/>
      <c r="K17" s="76"/>
      <c r="L17" s="76"/>
      <c r="M17" s="76"/>
    </row>
    <row r="18" spans="1:13" ht="15.75">
      <c r="A18" s="352"/>
      <c r="B18" s="76"/>
      <c r="C18" s="76"/>
      <c r="D18" s="76"/>
      <c r="E18" s="76"/>
      <c r="F18" s="76"/>
      <c r="G18" s="76"/>
      <c r="H18" s="76"/>
      <c r="I18" s="76"/>
      <c r="J18" s="76"/>
      <c r="K18" s="76"/>
      <c r="L18" s="76"/>
      <c r="M18" s="76"/>
    </row>
    <row r="19" spans="2:13" ht="15">
      <c r="B19" s="76"/>
      <c r="C19" s="76"/>
      <c r="D19" s="76"/>
      <c r="E19" s="76"/>
      <c r="F19" s="76"/>
      <c r="G19" s="76"/>
      <c r="H19" s="76"/>
      <c r="I19" s="76"/>
      <c r="J19" s="76"/>
      <c r="K19" s="76"/>
      <c r="L19" s="76"/>
      <c r="M19" s="76"/>
    </row>
    <row r="20" spans="2:13" ht="15">
      <c r="B20" s="76"/>
      <c r="C20" s="76"/>
      <c r="D20" s="76"/>
      <c r="E20" s="76"/>
      <c r="F20" s="76"/>
      <c r="G20" s="76"/>
      <c r="H20" s="76"/>
      <c r="I20" s="76"/>
      <c r="J20" s="76"/>
      <c r="K20" s="76"/>
      <c r="L20" s="76"/>
      <c r="M20" s="76"/>
    </row>
    <row r="21" spans="2:13" ht="15">
      <c r="B21" s="76"/>
      <c r="C21" s="76"/>
      <c r="D21" s="76"/>
      <c r="E21" s="76"/>
      <c r="F21" s="76"/>
      <c r="G21" s="76"/>
      <c r="H21" s="76"/>
      <c r="I21" s="76"/>
      <c r="J21" s="76"/>
      <c r="K21" s="76"/>
      <c r="L21" s="76"/>
      <c r="M21" s="76"/>
    </row>
    <row r="22" spans="2:13" ht="15">
      <c r="B22" s="76"/>
      <c r="C22" s="76"/>
      <c r="D22" s="76"/>
      <c r="E22" s="76"/>
      <c r="F22" s="76"/>
      <c r="G22" s="76"/>
      <c r="H22" s="76"/>
      <c r="I22" s="76"/>
      <c r="J22" s="76"/>
      <c r="K22" s="76"/>
      <c r="L22" s="76"/>
      <c r="M22" s="76"/>
    </row>
    <row r="23" spans="2:13" ht="12" customHeight="1">
      <c r="B23" s="76"/>
      <c r="C23" s="76"/>
      <c r="D23" s="76"/>
      <c r="E23" s="76"/>
      <c r="F23" s="76"/>
      <c r="G23" s="76"/>
      <c r="H23" s="76"/>
      <c r="I23" s="76"/>
      <c r="J23" s="76"/>
      <c r="K23" s="76"/>
      <c r="L23" s="76"/>
      <c r="M23" s="76"/>
    </row>
    <row r="24" spans="2:13" ht="15">
      <c r="B24" s="76"/>
      <c r="C24" s="76"/>
      <c r="D24" s="76"/>
      <c r="E24" s="76"/>
      <c r="F24" s="76"/>
      <c r="G24" s="76"/>
      <c r="H24" s="76"/>
      <c r="I24" s="76"/>
      <c r="J24" s="76"/>
      <c r="K24" s="76"/>
      <c r="L24" s="76"/>
      <c r="M24" s="76"/>
    </row>
    <row r="25" spans="2:13" ht="15">
      <c r="B25" s="76"/>
      <c r="C25" s="76"/>
      <c r="D25" s="76"/>
      <c r="E25" s="76"/>
      <c r="F25" s="76"/>
      <c r="G25" s="76"/>
      <c r="H25" s="76"/>
      <c r="I25" s="76"/>
      <c r="J25" s="76"/>
      <c r="K25" s="76"/>
      <c r="L25" s="76"/>
      <c r="M25" s="76"/>
    </row>
  </sheetData>
  <sheetProtection password="FFED" sheet="1" objects="1" scenarios="1" selectLockedCells="1" selectUnlockedCells="1"/>
  <printOptions horizontalCentered="1"/>
  <pageMargins left="0.5" right="0.5" top="1.25" bottom="0.75" header="0.75" footer="0.5"/>
  <pageSetup cellComments="asDisplayed" fitToHeight="1" fitToWidth="1" horizontalDpi="600" verticalDpi="600" orientation="landscape" r:id="rId5"/>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drawing r:id="rId4"/>
  <tableParts>
    <tablePart r:id="rId1"/>
    <tablePart r:id="rId3"/>
    <tablePart r:id="rId2"/>
  </tableParts>
</worksheet>
</file>

<file path=xl/worksheets/sheet8.xml><?xml version="1.0" encoding="utf-8"?>
<worksheet xmlns="http://schemas.openxmlformats.org/spreadsheetml/2006/main" xmlns:r="http://schemas.openxmlformats.org/officeDocument/2006/relationships">
  <sheetPr>
    <tabColor indexed="16"/>
    <pageSetUpPr fitToPage="1"/>
  </sheetPr>
  <dimension ref="A1:J38"/>
  <sheetViews>
    <sheetView showGridLines="0" zoomScale="75" zoomScaleNormal="75" workbookViewId="0" topLeftCell="A1">
      <selection activeCell="A1" sqref="A1"/>
    </sheetView>
  </sheetViews>
  <sheetFormatPr defaultColWidth="8.88671875" defaultRowHeight="15.75" zeroHeight="1"/>
  <cols>
    <col min="1" max="2" width="14.77734375" style="20" customWidth="1"/>
    <col min="3" max="3" width="1.4375" style="20" customWidth="1"/>
    <col min="4" max="5" width="12.77734375" style="20" customWidth="1"/>
    <col min="6" max="6" width="1.77734375" style="20" customWidth="1"/>
    <col min="7" max="7" width="24.10546875" style="20" customWidth="1"/>
    <col min="8" max="8" width="12.6640625" style="20" customWidth="1"/>
    <col min="9" max="9" width="1.66796875" style="20" customWidth="1"/>
    <col min="10" max="10" width="50.21484375" style="20" customWidth="1"/>
    <col min="11" max="11" width="1.77734375" style="20" customWidth="1"/>
    <col min="12" max="16384" width="0" style="20" hidden="1" customWidth="1"/>
  </cols>
  <sheetData>
    <row r="1" spans="1:10" ht="19.5" thickBot="1">
      <c r="A1" s="148" t="s">
        <v>103</v>
      </c>
      <c r="B1" s="149"/>
      <c r="C1" s="149"/>
      <c r="D1" s="149"/>
      <c r="E1" s="149"/>
      <c r="F1" s="149"/>
      <c r="G1" s="149"/>
      <c r="H1" s="149"/>
      <c r="I1" s="150"/>
      <c r="J1" s="153">
        <f>IF(ISBLANK(RptNo),"","Report Number: "&amp;RptNo)</f>
      </c>
    </row>
    <row r="2" spans="1:10" ht="12" customHeight="1">
      <c r="A2" s="146"/>
      <c r="B2"/>
      <c r="C2"/>
      <c r="D2"/>
      <c r="E2"/>
      <c r="F2"/>
      <c r="G2"/>
      <c r="H2"/>
      <c r="I2"/>
      <c r="J2"/>
    </row>
    <row r="3" spans="1:10" ht="72" customHeight="1">
      <c r="A3" s="629" t="s">
        <v>117</v>
      </c>
      <c r="B3" s="630"/>
      <c r="D3" s="629" t="s">
        <v>118</v>
      </c>
      <c r="E3" s="630"/>
      <c r="G3" s="631" t="s">
        <v>128</v>
      </c>
      <c r="H3" s="632"/>
      <c r="J3" s="147" t="s">
        <v>92</v>
      </c>
    </row>
    <row r="4" spans="1:10" ht="18">
      <c r="A4" s="37">
        <v>0</v>
      </c>
      <c r="B4" s="37" t="s">
        <v>35</v>
      </c>
      <c r="D4" s="36">
        <v>1</v>
      </c>
      <c r="E4" s="36">
        <v>1.41</v>
      </c>
      <c r="G4" s="197" t="s">
        <v>9</v>
      </c>
      <c r="H4" s="198" t="s">
        <v>131</v>
      </c>
      <c r="J4" s="40" t="s">
        <v>100</v>
      </c>
    </row>
    <row r="5" spans="1:10" ht="15">
      <c r="A5" s="37">
        <v>1E-12</v>
      </c>
      <c r="B5" s="37">
        <v>13</v>
      </c>
      <c r="D5" s="36">
        <v>2</v>
      </c>
      <c r="E5" s="36">
        <v>1.32</v>
      </c>
      <c r="F5" s="21"/>
      <c r="G5" s="39" t="s">
        <v>47</v>
      </c>
      <c r="H5" s="36">
        <v>3.8E-05</v>
      </c>
      <c r="I5" s="22"/>
      <c r="J5" s="212" t="s">
        <v>101</v>
      </c>
    </row>
    <row r="6" spans="1:10" ht="15">
      <c r="A6" s="37">
        <v>1E-11</v>
      </c>
      <c r="B6" s="37">
        <v>12</v>
      </c>
      <c r="D6" s="36">
        <v>3</v>
      </c>
      <c r="E6" s="36">
        <v>1.23</v>
      </c>
      <c r="G6" s="39" t="s">
        <v>245</v>
      </c>
      <c r="H6" s="36">
        <v>0.00024</v>
      </c>
      <c r="J6" s="212" t="s">
        <v>142</v>
      </c>
    </row>
    <row r="7" spans="1:10" ht="15">
      <c r="A7" s="37">
        <v>1E-10</v>
      </c>
      <c r="B7" s="37">
        <v>11</v>
      </c>
      <c r="D7" s="36">
        <v>4</v>
      </c>
      <c r="E7" s="36">
        <v>1.21</v>
      </c>
      <c r="G7" s="39" t="s">
        <v>42</v>
      </c>
      <c r="H7" s="36">
        <v>1.86E-05</v>
      </c>
      <c r="J7" s="41" t="s">
        <v>143</v>
      </c>
    </row>
    <row r="8" spans="1:10" ht="15">
      <c r="A8" s="37">
        <v>1E-09</v>
      </c>
      <c r="B8" s="37">
        <v>10</v>
      </c>
      <c r="D8" s="36">
        <v>5</v>
      </c>
      <c r="E8" s="36">
        <v>1.19</v>
      </c>
      <c r="G8" s="39" t="s">
        <v>43</v>
      </c>
      <c r="H8" s="36">
        <v>2.65E-05</v>
      </c>
      <c r="J8" s="39"/>
    </row>
    <row r="9" spans="1:10" ht="15">
      <c r="A9" s="37">
        <v>1E-08</v>
      </c>
      <c r="B9" s="37">
        <v>9</v>
      </c>
      <c r="D9" s="36">
        <v>6</v>
      </c>
      <c r="E9" s="36">
        <v>1.184</v>
      </c>
      <c r="G9" s="39" t="s">
        <v>146</v>
      </c>
      <c r="H9" s="36">
        <v>1.95E-05</v>
      </c>
      <c r="J9" s="40" t="s">
        <v>137</v>
      </c>
    </row>
    <row r="10" spans="1:10" ht="15">
      <c r="A10" s="37">
        <v>1E-07</v>
      </c>
      <c r="B10" s="37">
        <v>8</v>
      </c>
      <c r="D10" s="36">
        <v>7</v>
      </c>
      <c r="E10" s="36">
        <v>1.178</v>
      </c>
      <c r="J10" s="212" t="s">
        <v>138</v>
      </c>
    </row>
    <row r="11" spans="1:10" ht="15">
      <c r="A11" s="37">
        <v>1E-06</v>
      </c>
      <c r="B11" s="37">
        <v>7</v>
      </c>
      <c r="D11" s="36">
        <v>8</v>
      </c>
      <c r="E11" s="36">
        <v>1.172</v>
      </c>
      <c r="J11" s="212" t="s">
        <v>144</v>
      </c>
    </row>
    <row r="12" spans="1:10" ht="15">
      <c r="A12" s="37">
        <v>1E-05</v>
      </c>
      <c r="B12" s="37">
        <v>6</v>
      </c>
      <c r="D12" s="36">
        <v>9</v>
      </c>
      <c r="E12" s="36">
        <v>1.166</v>
      </c>
      <c r="J12" s="41" t="s">
        <v>145</v>
      </c>
    </row>
    <row r="13" spans="1:10" ht="15">
      <c r="A13" s="37">
        <v>0.0001</v>
      </c>
      <c r="B13" s="37">
        <v>5</v>
      </c>
      <c r="D13" s="36">
        <v>10</v>
      </c>
      <c r="E13" s="36">
        <v>1.16</v>
      </c>
      <c r="J13" s="39"/>
    </row>
    <row r="14" spans="1:10" ht="15">
      <c r="A14" s="37">
        <v>0.001</v>
      </c>
      <c r="B14" s="37">
        <v>4</v>
      </c>
      <c r="D14" s="36">
        <v>11</v>
      </c>
      <c r="E14" s="36">
        <v>1.158</v>
      </c>
      <c r="J14" s="40" t="s">
        <v>22</v>
      </c>
    </row>
    <row r="15" spans="1:10" ht="15">
      <c r="A15" s="37">
        <v>0.01</v>
      </c>
      <c r="B15" s="37">
        <v>3</v>
      </c>
      <c r="D15" s="36">
        <v>12</v>
      </c>
      <c r="E15" s="36">
        <v>1.156</v>
      </c>
      <c r="J15" s="41" t="s">
        <v>23</v>
      </c>
    </row>
    <row r="16" spans="1:10" ht="15">
      <c r="A16" s="37">
        <v>0.1</v>
      </c>
      <c r="B16" s="37">
        <v>2</v>
      </c>
      <c r="D16" s="36">
        <v>13</v>
      </c>
      <c r="E16" s="36">
        <v>1.154</v>
      </c>
      <c r="J16" s="41"/>
    </row>
    <row r="17" spans="1:10" ht="15">
      <c r="A17" s="37">
        <v>1</v>
      </c>
      <c r="B17" s="37">
        <v>1</v>
      </c>
      <c r="D17" s="36">
        <v>14</v>
      </c>
      <c r="E17" s="36">
        <v>1.152</v>
      </c>
      <c r="J17" s="40" t="s">
        <v>140</v>
      </c>
    </row>
    <row r="18" spans="1:10" ht="15">
      <c r="A18" s="37">
        <v>10</v>
      </c>
      <c r="B18" s="37">
        <v>0</v>
      </c>
      <c r="D18" s="36">
        <v>15</v>
      </c>
      <c r="E18" s="36">
        <v>1.15</v>
      </c>
      <c r="J18" s="41" t="s">
        <v>141</v>
      </c>
    </row>
    <row r="19" spans="1:10" ht="15">
      <c r="A19" s="37">
        <v>100</v>
      </c>
      <c r="B19" s="37">
        <v>-1</v>
      </c>
      <c r="D19" s="36">
        <v>16</v>
      </c>
      <c r="E19" s="36">
        <v>1.148</v>
      </c>
      <c r="J19" s="41"/>
    </row>
    <row r="20" spans="1:10" ht="15">
      <c r="A20" s="37">
        <v>1000</v>
      </c>
      <c r="B20" s="37">
        <v>-2</v>
      </c>
      <c r="D20" s="36">
        <v>17</v>
      </c>
      <c r="E20" s="36">
        <v>1.146</v>
      </c>
      <c r="J20" s="40" t="s">
        <v>242</v>
      </c>
    </row>
    <row r="21" spans="1:10" ht="15">
      <c r="A21" s="37">
        <v>10000</v>
      </c>
      <c r="B21" s="37">
        <v>-3</v>
      </c>
      <c r="D21" s="36">
        <v>18</v>
      </c>
      <c r="E21" s="36">
        <v>1.144</v>
      </c>
      <c r="J21" s="39" t="s">
        <v>243</v>
      </c>
    </row>
    <row r="22" spans="1:10" ht="15">
      <c r="A22" s="37">
        <v>100000</v>
      </c>
      <c r="B22" s="37">
        <v>-4</v>
      </c>
      <c r="D22" s="36">
        <v>19</v>
      </c>
      <c r="E22" s="36">
        <v>1.142</v>
      </c>
      <c r="J22" s="41"/>
    </row>
    <row r="23" spans="1:10" ht="15">
      <c r="A23" s="37">
        <v>1000000</v>
      </c>
      <c r="B23" s="37">
        <v>-5</v>
      </c>
      <c r="D23" s="36">
        <v>20</v>
      </c>
      <c r="E23" s="36">
        <v>1.14</v>
      </c>
      <c r="G23" s="44"/>
      <c r="J23" s="40" t="s">
        <v>246</v>
      </c>
    </row>
    <row r="24" spans="1:10" ht="15">
      <c r="A24" s="37">
        <v>10000000</v>
      </c>
      <c r="B24" s="37">
        <v>-6</v>
      </c>
      <c r="D24" s="36">
        <v>21</v>
      </c>
      <c r="E24" s="36">
        <v>1.1389999999999998</v>
      </c>
      <c r="J24" s="39" t="s">
        <v>247</v>
      </c>
    </row>
    <row r="25" spans="1:10" ht="15">
      <c r="A25" s="37">
        <v>100000000</v>
      </c>
      <c r="B25" s="37">
        <v>-7</v>
      </c>
      <c r="D25" s="36">
        <v>22</v>
      </c>
      <c r="E25" s="36">
        <v>1.138</v>
      </c>
      <c r="J25" s="39"/>
    </row>
    <row r="26" spans="1:10" ht="15">
      <c r="A26" s="37">
        <v>1000000000</v>
      </c>
      <c r="B26" s="37">
        <v>-8</v>
      </c>
      <c r="D26" s="36">
        <v>23</v>
      </c>
      <c r="E26" s="36">
        <v>1.137</v>
      </c>
      <c r="J26" s="39" t="s">
        <v>4</v>
      </c>
    </row>
    <row r="27" spans="1:10" ht="15">
      <c r="A27" s="37">
        <v>10000000000</v>
      </c>
      <c r="B27" s="37">
        <v>-9</v>
      </c>
      <c r="D27" s="36">
        <v>24</v>
      </c>
      <c r="E27" s="36">
        <v>1.1360000000000001</v>
      </c>
      <c r="J27" s="39" t="s">
        <v>250</v>
      </c>
    </row>
    <row r="28" spans="1:10" ht="15">
      <c r="A28" s="37">
        <v>100000000000</v>
      </c>
      <c r="B28" s="37">
        <v>-10</v>
      </c>
      <c r="D28" s="36">
        <v>25</v>
      </c>
      <c r="E28" s="36">
        <v>1.135</v>
      </c>
      <c r="J28" s="39" t="s">
        <v>251</v>
      </c>
    </row>
    <row r="29" spans="1:5" ht="15">
      <c r="A29" s="37">
        <v>1000000000000</v>
      </c>
      <c r="B29" s="37">
        <v>-11</v>
      </c>
      <c r="D29" s="36">
        <v>26</v>
      </c>
      <c r="E29" s="36">
        <v>1.1340000000000003</v>
      </c>
    </row>
    <row r="30" spans="1:5" ht="15">
      <c r="A30" s="37">
        <v>10000000000000</v>
      </c>
      <c r="B30" s="37">
        <v>-12</v>
      </c>
      <c r="D30" s="36">
        <v>27</v>
      </c>
      <c r="E30" s="36">
        <v>1.1330000000000005</v>
      </c>
    </row>
    <row r="31" spans="1:5" ht="15">
      <c r="A31" s="37">
        <v>100000000000000</v>
      </c>
      <c r="B31" s="37">
        <v>-13</v>
      </c>
      <c r="D31" s="36">
        <v>28</v>
      </c>
      <c r="E31" s="36">
        <v>1.1320000000000006</v>
      </c>
    </row>
    <row r="32" spans="1:5" ht="15">
      <c r="A32" s="37">
        <v>1000000000000000</v>
      </c>
      <c r="B32" s="38" t="s">
        <v>35</v>
      </c>
      <c r="D32" s="36">
        <v>29</v>
      </c>
      <c r="E32" s="36">
        <v>1.1310000000000007</v>
      </c>
    </row>
    <row r="33" spans="4:5" ht="15">
      <c r="D33" s="36">
        <v>30</v>
      </c>
      <c r="E33" s="36">
        <v>1.13</v>
      </c>
    </row>
    <row r="34" spans="4:5" ht="15">
      <c r="D34" s="36" t="s">
        <v>41</v>
      </c>
      <c r="E34" s="36">
        <v>1.13</v>
      </c>
    </row>
    <row r="35" ht="12.75"/>
    <row r="36" spans="1:10" ht="32.25" customHeight="1">
      <c r="A36" s="633" t="s">
        <v>248</v>
      </c>
      <c r="B36" s="634"/>
      <c r="C36" s="634"/>
      <c r="D36" s="634"/>
      <c r="E36" s="634"/>
      <c r="F36" s="634"/>
      <c r="G36" s="634"/>
      <c r="H36" s="634"/>
      <c r="I36" s="634"/>
      <c r="J36" s="635"/>
    </row>
    <row r="37" spans="1:10" ht="48" customHeight="1">
      <c r="A37" s="626" t="str">
        <f>"●  The calibration item was calibrated in a wet down condition using water. The "&amp;Description&amp;" delivers the stated volume
    at the reference temperature from the specified graduation line when it is emptied gradually with in a 30 (± 5 seconds) pour
    and a 10-second drain while held at a 10º to 15º angle from vertical."</f>
        <v>●  The calibration item was calibrated in a wet down condition using water. The  delivers the stated volume
    at the reference temperature from the specified graduation line when it is emptied gradually with in a 30 (± 5 seconds) pour
    and a 10-second drain while held at a 10º to 15º angle from vertical.</v>
      </c>
      <c r="B37" s="627"/>
      <c r="C37" s="627"/>
      <c r="D37" s="627"/>
      <c r="E37" s="627"/>
      <c r="F37" s="627"/>
      <c r="G37" s="627"/>
      <c r="H37" s="627"/>
      <c r="I37" s="627"/>
      <c r="J37" s="628"/>
    </row>
    <row r="38" spans="1:10" ht="48" customHeight="1">
      <c r="A38" s="626" t="str">
        <f>"●  The calibration item was calibrated in a wet down condition using water. The "&amp;Description&amp;" delivers the stated volume
    at the reference temperature is when it is drained for a 30 (± 5) second period after cessation of the main flow."</f>
        <v>●  The calibration item was calibrated in a wet down condition using water. The  delivers the stated volume
    at the reference temperature is when it is drained for a 30 (± 5) second period after cessation of the main flow.</v>
      </c>
      <c r="B38" s="627"/>
      <c r="C38" s="627"/>
      <c r="D38" s="627"/>
      <c r="E38" s="627"/>
      <c r="F38" s="627"/>
      <c r="G38" s="627"/>
      <c r="H38" s="627"/>
      <c r="I38" s="627"/>
      <c r="J38" s="628"/>
    </row>
    <row r="39" ht="12.75"/>
  </sheetData>
  <sheetProtection password="FFED" sheet="1" objects="1" scenarios="1" selectLockedCells="1" selectUnlockedCells="1"/>
  <mergeCells count="6">
    <mergeCell ref="A37:J37"/>
    <mergeCell ref="A38:J38"/>
    <mergeCell ref="A3:B3"/>
    <mergeCell ref="D3:E3"/>
    <mergeCell ref="G3:H3"/>
    <mergeCell ref="A36:J36"/>
  </mergeCells>
  <conditionalFormatting sqref="I5">
    <cfRule type="expression" priority="1" dxfId="6" stopIfTrue="1">
      <formula>$A$60</formula>
    </cfRule>
  </conditionalFormatting>
  <printOptions horizontalCentered="1"/>
  <pageMargins left="0.5" right="0.5" top="1.25" bottom="0.75" header="0.75" footer="0.5"/>
  <pageSetup fitToHeight="1" fitToWidth="1" horizontalDpi="600" verticalDpi="600" orientation="landscape" r:id="rId1"/>
  <headerFooter alignWithMargins="0">
    <oddHeader>&amp;L&amp;"Trebuchet MS,Regular"Calibration of Large Neck-Type Metal Provers&amp;R&amp;"Trebuchet MS,Regular"WAMRF-013, Rev. 14, 3/30/2007</oddHeader>
    <oddFooter>&amp;L&amp;"Trebuchet MS,Regular"&amp;F&amp;R&amp;"Trebuchet MS,Regular"&amp;A Worksheet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 Metrology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Transfer, Prover</dc:title>
  <dc:subject>NST HB 145, SOP 19</dc:subject>
  <dc:creator>Dan Wright</dc:creator>
  <cp:keywords/>
  <dc:description/>
  <cp:lastModifiedBy>Dan Wright</cp:lastModifiedBy>
  <cp:lastPrinted>2007-01-25T17:05:23Z</cp:lastPrinted>
  <dcterms:created xsi:type="dcterms:W3CDTF">2000-04-27T22:54:34Z</dcterms:created>
  <dcterms:modified xsi:type="dcterms:W3CDTF">2007-03-30T21:54:15Z</dcterms:modified>
  <cp:category/>
  <cp:version/>
  <cp:contentType/>
  <cp:contentStatus/>
</cp:coreProperties>
</file>