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4DA"/>
  <workbookPr date1904="1"/>
  <bookViews>
    <workbookView xWindow="65521" yWindow="4350" windowWidth="14835" windowHeight="4395" tabRatio="878" activeTab="3"/>
  </bookViews>
  <sheets>
    <sheet name="Meas. Summary" sheetId="1" r:id="rId1"/>
    <sheet name="SMM Summary" sheetId="2" r:id="rId2"/>
    <sheet name="Part Size Summary" sheetId="3" r:id="rId3"/>
    <sheet name="Part Size List" sheetId="4" r:id="rId4"/>
    <sheet name="Plots along length" sheetId="5" r:id="rId5"/>
    <sheet name="Table along length" sheetId="6" r:id="rId6"/>
    <sheet name="Coil Sizing Summary" sheetId="7" r:id="rId7"/>
    <sheet name="I-001 5th sizing" sheetId="8" r:id="rId8"/>
    <sheet name="I-001 2nd sizing" sheetId="9" r:id="rId9"/>
    <sheet name="I-001 3rd sizing" sheetId="10" r:id="rId10"/>
    <sheet name="I-001 4th sizing" sheetId="11" r:id="rId11"/>
    <sheet name="O-004 1st sizing" sheetId="12" r:id="rId12"/>
    <sheet name="O-004 2nd sizing" sheetId="13" r:id="rId13"/>
    <sheet name="O-004 3rd sizing" sheetId="14" r:id="rId14"/>
    <sheet name="O-004 4th sizing" sheetId="15" r:id="rId15"/>
  </sheets>
  <definedNames>
    <definedName name="_xlnm.Print_Area" localSheetId="6">'Coil Sizing Summary'!$A$1:$S$24</definedName>
    <definedName name="_xlnm.Print_Area" localSheetId="8">'I-001 2nd sizing'!$A$1:$X$104</definedName>
    <definedName name="_xlnm.Print_Area" localSheetId="9">'I-001 3rd sizing'!$A$1:$X$104</definedName>
    <definedName name="_xlnm.Print_Area" localSheetId="10">'I-001 4th sizing'!$A$1:$X$104</definedName>
    <definedName name="_xlnm.Print_Area" localSheetId="7">'I-001 5th sizing'!$A$1:$X$104</definedName>
    <definedName name="_xlnm.Print_Area" localSheetId="0">'Meas. Summary'!$A$1:$I$41</definedName>
    <definedName name="_xlnm.Print_Area" localSheetId="11">'O-004 1st sizing'!$A$1:$X$104</definedName>
    <definedName name="_xlnm.Print_Area" localSheetId="12">'O-004 2nd sizing'!$A$1:$X$104</definedName>
    <definedName name="_xlnm.Print_Area" localSheetId="13">'O-004 3rd sizing'!$A$1:$X$104</definedName>
    <definedName name="_xlnm.Print_Area" localSheetId="14">'O-004 4th sizing'!$A$1:$X$104</definedName>
    <definedName name="_xlnm.Print_Area" localSheetId="3">'Part Size List'!$A$10:$AN$119</definedName>
    <definedName name="_xlnm.Print_Area" localSheetId="2">'Part Size Summary'!$A$1:$L$20</definedName>
    <definedName name="_xlnm.Print_Area" localSheetId="4">'Plots along length'!$A$1:$J$133</definedName>
    <definedName name="_xlnm.Print_Area" localSheetId="1">'SMM Summary'!$Y$90:$AG$134</definedName>
    <definedName name="_xlnm.Print_Area" localSheetId="5">'Table along length'!$A$1:$W$71</definedName>
    <definedName name="_xlnm.Print_Titles" localSheetId="3">'Part Size List'!$1:$9</definedName>
  </definedNames>
  <calcPr fullCalcOnLoad="1"/>
</workbook>
</file>

<file path=xl/sharedStrings.xml><?xml version="1.0" encoding="utf-8"?>
<sst xmlns="http://schemas.openxmlformats.org/spreadsheetml/2006/main" count="2532" uniqueCount="267">
  <si>
    <t>Average</t>
  </si>
  <si>
    <t>Magnet number</t>
  </si>
  <si>
    <t>HGQMM01</t>
  </si>
  <si>
    <t>1.  Coil modulus</t>
  </si>
  <si>
    <t>Quad.</t>
  </si>
  <si>
    <t>Inner Coils</t>
  </si>
  <si>
    <t>A</t>
  </si>
  <si>
    <t>Side B</t>
  </si>
  <si>
    <t>B</t>
  </si>
  <si>
    <t>Side A</t>
  </si>
  <si>
    <t>C</t>
  </si>
  <si>
    <t>D</t>
  </si>
  <si>
    <t>2.1   Initial coil size</t>
  </si>
  <si>
    <t>Coil size [mm]  (+ is oversize, - is undersize)</t>
  </si>
  <si>
    <t>2.2  Required additional shim to equalize coil size along the length [1 mil increments]</t>
  </si>
  <si>
    <t xml:space="preserve">2.3  Actual shim added to equalize coil size along the length </t>
  </si>
  <si>
    <t>Coil sizing data and coil preload prediction</t>
  </si>
  <si>
    <t>Magnet  #</t>
  </si>
  <si>
    <t>Finite element model results</t>
  </si>
  <si>
    <t>Inner coil</t>
  </si>
  <si>
    <t>Outer coil</t>
  </si>
  <si>
    <t>A.  Desired coil pressure [MPa]</t>
  </si>
  <si>
    <t>B.  Average coil modulus [GPa]</t>
  </si>
  <si>
    <t>C.  Coil spring rates [MPa/mm]</t>
  </si>
  <si>
    <t>D.  Collared coil spring rate [MPa/mm@key]</t>
  </si>
  <si>
    <t>E.  Desired coil size [mm] = A/C</t>
  </si>
  <si>
    <t>F.  Desired coil size [mils] = E*39.37</t>
  </si>
  <si>
    <t>Individual coil data</t>
  </si>
  <si>
    <t>G.</t>
  </si>
  <si>
    <t>H.</t>
  </si>
  <si>
    <t>I.</t>
  </si>
  <si>
    <t>J.</t>
  </si>
  <si>
    <t>2.4    Actual coil size [mils]</t>
  </si>
  <si>
    <t>Type/ Coil Number</t>
  </si>
  <si>
    <t>Quadrant</t>
  </si>
  <si>
    <t>Side</t>
  </si>
  <si>
    <t>Average size (shimmed, to equalize size along coil length) [mm]</t>
  </si>
  <si>
    <t>Average size per quadrant [mm]</t>
  </si>
  <si>
    <t>Collar pole adjustment [mm]</t>
  </si>
  <si>
    <t>Ground insulation adjustment [mm]</t>
  </si>
  <si>
    <t>Actual average coil size [mm]</t>
  </si>
  <si>
    <t xml:space="preserve">Inner coils </t>
  </si>
  <si>
    <t>Outer Coils</t>
  </si>
  <si>
    <t>Outer coils</t>
  </si>
  <si>
    <t>Average coil data</t>
  </si>
  <si>
    <t>G.  Average flat coil size [mils]</t>
  </si>
  <si>
    <t>H.  Pole size adjustment [mils]</t>
  </si>
  <si>
    <t>I.  Ground insulation adjustment [mils]</t>
  </si>
  <si>
    <t>J.  Actual final coil size [mils] = G + H + I</t>
  </si>
  <si>
    <t>K.  Actual final coil size [mm] = J/39.37</t>
  </si>
  <si>
    <t>Theoretical predictions based on measured coil data</t>
  </si>
  <si>
    <t>L.  Predicted preload [MPa] = K * C</t>
  </si>
  <si>
    <t>M.  Predicted key deflection [mm] = L / D</t>
  </si>
  <si>
    <t>Curing pressure [psi]</t>
  </si>
  <si>
    <t>Coil modulus [x 10^6 psi]</t>
  </si>
  <si>
    <t>Coil size [mils]</t>
  </si>
  <si>
    <t>Added shim [mils]</t>
  </si>
  <si>
    <t>Final size [mils]</t>
  </si>
  <si>
    <t>Actual collared coil deflection at midplane [mils]</t>
  </si>
  <si>
    <t>Actual collared coil deflection at midplane [µm]</t>
  </si>
  <si>
    <t>Actual collared coil deflection at pole [mils]</t>
  </si>
  <si>
    <t>Actual collared coil deflection at pole [µm]</t>
  </si>
  <si>
    <t>Predicted collared coil deflection at midplane [mils]</t>
  </si>
  <si>
    <t>Predicted collared coil deflection at midplane [µm]</t>
  </si>
  <si>
    <t>Predicted collared coil deflection at pole [mils]</t>
  </si>
  <si>
    <t>Predicted collared coil deflection at pole [µm]</t>
  </si>
  <si>
    <t>Coil Modulus</t>
  </si>
  <si>
    <t>Coil</t>
  </si>
  <si>
    <t>Std Dev.</t>
  </si>
  <si>
    <t>HGQ Coil Summary</t>
  </si>
  <si>
    <t>Avg.</t>
  </si>
  <si>
    <t>Stdev.</t>
  </si>
  <si>
    <t>Coil Sizing Data</t>
  </si>
  <si>
    <t>Coil number</t>
  </si>
  <si>
    <t>Coil type</t>
  </si>
  <si>
    <t>inner</t>
  </si>
  <si>
    <t>angle [°]</t>
  </si>
  <si>
    <t>Reel number</t>
  </si>
  <si>
    <t>r001</t>
  </si>
  <si>
    <t>avg radius [in]</t>
  </si>
  <si>
    <t>arc length [in]</t>
  </si>
  <si>
    <t>Date</t>
  </si>
  <si>
    <t>Technicians</t>
  </si>
  <si>
    <t>IG,MW,SG</t>
  </si>
  <si>
    <t>COIL SIZE IN RESPECT TO THE MASTER (IN INCHES)</t>
  </si>
  <si>
    <t>PUMP PSI</t>
  </si>
  <si>
    <t>POS.</t>
  </si>
  <si>
    <t>NO.</t>
  </si>
  <si>
    <t>6000 COIL PSI</t>
  </si>
  <si>
    <t>8000 COIL PSI</t>
  </si>
  <si>
    <t>10000 COIL PSI</t>
  </si>
  <si>
    <t>12000 COIL PSI</t>
  </si>
  <si>
    <t>14000 COIL PSI</t>
  </si>
  <si>
    <t>QUAD</t>
  </si>
  <si>
    <t>COIL</t>
  </si>
  <si>
    <t>MASTER</t>
  </si>
  <si>
    <t>1 UP</t>
  </si>
  <si>
    <t>1 DN</t>
  </si>
  <si>
    <t>4 UP</t>
  </si>
  <si>
    <t>4 DN</t>
  </si>
  <si>
    <t>7 UP</t>
  </si>
  <si>
    <t>7 DN</t>
  </si>
  <si>
    <t>10 UP</t>
  </si>
  <si>
    <t>10 DN</t>
  </si>
  <si>
    <t>13 UP</t>
  </si>
  <si>
    <t>13 DN</t>
  </si>
  <si>
    <t>16 UP</t>
  </si>
  <si>
    <t>16 DN</t>
  </si>
  <si>
    <t>19 UP</t>
  </si>
  <si>
    <t>19 DN</t>
  </si>
  <si>
    <t>Coil size (+ is oversize, - is undersize)</t>
  </si>
  <si>
    <t>Axial location from lead end [in]</t>
  </si>
  <si>
    <t>Pump pressure [psi]</t>
  </si>
  <si>
    <t>Coil pressure [psi]</t>
  </si>
  <si>
    <t>Pressure range [ksi]</t>
  </si>
  <si>
    <t>coil</t>
  </si>
  <si>
    <t xml:space="preserve">Axial location from lead end </t>
  </si>
  <si>
    <t>Std. Dev.</t>
  </si>
  <si>
    <t>Coil Modulus [e6 psi]</t>
  </si>
  <si>
    <t>Coil size at 12 ksi coil pressure [mils]</t>
  </si>
  <si>
    <t>Coil modulus [GPa]</t>
  </si>
  <si>
    <t>Pressure range [MPa]</t>
  </si>
  <si>
    <t>Coil size at 83 MPa coil pressure [µm]</t>
  </si>
  <si>
    <t>outer</t>
  </si>
  <si>
    <t xml:space="preserve"> </t>
  </si>
  <si>
    <t>Axial position along the coil length</t>
  </si>
  <si>
    <t>Inner Coil</t>
  </si>
  <si>
    <t>Coil #</t>
  </si>
  <si>
    <t>Outer Coil</t>
  </si>
  <si>
    <t>Coil Size [microns]</t>
  </si>
  <si>
    <t>Inner Coil Size at 85 MPa</t>
  </si>
  <si>
    <t>Outer Coil Size at 70 MPa</t>
  </si>
  <si>
    <t>Avg(A,B)</t>
  </si>
  <si>
    <t>Save this column</t>
  </si>
  <si>
    <t>Max</t>
  </si>
  <si>
    <t>Axial position</t>
  </si>
  <si>
    <t>AA. Desired coil pressure [MPa]</t>
  </si>
  <si>
    <t>I-001 2nd sizing</t>
  </si>
  <si>
    <t>I-001 3rd sizing</t>
  </si>
  <si>
    <t>Average does not include last data point</t>
  </si>
  <si>
    <t>O-004 2nd sizing</t>
  </si>
  <si>
    <t>O-004 B 2nd</t>
  </si>
  <si>
    <t>O-004 1st sizing</t>
  </si>
  <si>
    <t>Short Mechanical Model - Coil Modulus</t>
  </si>
  <si>
    <t>Short Mechanical Model - Coil Size</t>
  </si>
  <si>
    <t>Short Mechanical Model -  Inner Coil Size at 85 MPa Pressure</t>
  </si>
  <si>
    <t>Short Mechanical Model - Outer Coil Size at 70 MPa Pressure</t>
  </si>
  <si>
    <t>Average( 55-97)</t>
  </si>
  <si>
    <t>Average(69-97)</t>
  </si>
  <si>
    <t>O-004 3rd sizing</t>
  </si>
  <si>
    <t>Average Master Size, Increasing pressure</t>
  </si>
  <si>
    <t>I-001 4th sizing</t>
  </si>
  <si>
    <t>Short Mechanical Model - Coil Modulus (69-97 MPa)</t>
  </si>
  <si>
    <t>Inner coils</t>
  </si>
  <si>
    <t xml:space="preserve">Coil size [µm] </t>
  </si>
  <si>
    <t>85 MPa (inner)/ 70 MPa (outer)</t>
  </si>
  <si>
    <t>I-001 A 2nd</t>
  </si>
  <si>
    <t>I-001 B 2nd</t>
  </si>
  <si>
    <t>I-001 A 3rd</t>
  </si>
  <si>
    <t>I-001 B 3rd</t>
  </si>
  <si>
    <t>I-001 A 4th</t>
  </si>
  <si>
    <t>I-001 B 4th</t>
  </si>
  <si>
    <t>O-004 A 1st</t>
  </si>
  <si>
    <t>O-004 B 1st</t>
  </si>
  <si>
    <t>O-004 A 2nd</t>
  </si>
  <si>
    <t>O-004 A 3rd</t>
  </si>
  <si>
    <t>O-004 B 3rd</t>
  </si>
  <si>
    <t>Avg. Modulus [GPa]</t>
  </si>
  <si>
    <t>Std. Dev.    [GPa]</t>
  </si>
  <si>
    <t>Azimuthal Size</t>
  </si>
  <si>
    <t>Outer Diameter</t>
  </si>
  <si>
    <t>Collar</t>
  </si>
  <si>
    <t>Pole</t>
  </si>
  <si>
    <t>Part fit [in]</t>
  </si>
  <si>
    <t>Outer coil radius</t>
  </si>
  <si>
    <t>Collar keyway</t>
  </si>
  <si>
    <t>Bearing strip</t>
  </si>
  <si>
    <t>Key</t>
  </si>
  <si>
    <t>Ground wrap</t>
  </si>
  <si>
    <t>Resultant</t>
  </si>
  <si>
    <t xml:space="preserve">3 mil </t>
  </si>
  <si>
    <t>Collar [in]</t>
  </si>
  <si>
    <t>5 mil</t>
  </si>
  <si>
    <t>Midplane</t>
  </si>
  <si>
    <t>Quench heater</t>
  </si>
  <si>
    <t>Fuji film</t>
  </si>
  <si>
    <t>Near flats</t>
  </si>
  <si>
    <t>Quadrant 1</t>
  </si>
  <si>
    <t>Total = Collar + Part fit [in]</t>
  </si>
  <si>
    <t>Quadrant 2</t>
  </si>
  <si>
    <t>Quadrant 3</t>
  </si>
  <si>
    <t>Quadrant 4</t>
  </si>
  <si>
    <t>Instrumentation</t>
  </si>
  <si>
    <t>Cap. Gauge</t>
  </si>
  <si>
    <t xml:space="preserve"># </t>
  </si>
  <si>
    <t>Beam Gauge</t>
  </si>
  <si>
    <t>Short Mechanical Model</t>
  </si>
  <si>
    <t>I-001 5th sizing</t>
  </si>
  <si>
    <t>I-001 A 5th</t>
  </si>
  <si>
    <t>I-001 B 5th</t>
  </si>
  <si>
    <t>a</t>
  </si>
  <si>
    <t>O-004 4th sizing</t>
  </si>
  <si>
    <t>O-004 A 4th</t>
  </si>
  <si>
    <t>O-004 B 4th</t>
  </si>
  <si>
    <t>DN</t>
  </si>
  <si>
    <t>Total</t>
  </si>
  <si>
    <t>Coil size</t>
  </si>
  <si>
    <t>Cap-pole side</t>
  </si>
  <si>
    <t>Parting plane layer</t>
  </si>
  <si>
    <t>Quench protection heater</t>
  </si>
  <si>
    <t>Cap-parting plane side</t>
  </si>
  <si>
    <t>Pole ground wrap #3</t>
  </si>
  <si>
    <t>Pole ground wrap #2</t>
  </si>
  <si>
    <t>Pole ground wrap #1</t>
  </si>
  <si>
    <t>Inner bearing strip</t>
  </si>
  <si>
    <t>Shim on inner bearing strip</t>
  </si>
  <si>
    <t>Shim on coil</t>
  </si>
  <si>
    <t>Azimuthal</t>
  </si>
  <si>
    <t>Radial</t>
  </si>
  <si>
    <t>Collar pole</t>
  </si>
  <si>
    <t>Mech. Model #1</t>
  </si>
  <si>
    <t>Outer bearing strip</t>
  </si>
  <si>
    <t>Shim on outer bearing strip</t>
  </si>
  <si>
    <t xml:space="preserve">Inner coil </t>
  </si>
  <si>
    <t>Assembly</t>
  </si>
  <si>
    <t>Item</t>
  </si>
  <si>
    <t>Part Description</t>
  </si>
  <si>
    <t>Fuji film - pole side</t>
  </si>
  <si>
    <t>Fuji film - parting plane side</t>
  </si>
  <si>
    <t>Part No.</t>
  </si>
  <si>
    <t>Mech. Model #2</t>
  </si>
  <si>
    <t>Mech. Model #3</t>
  </si>
  <si>
    <t>Target</t>
  </si>
  <si>
    <t>Capacitance gauge # 11</t>
  </si>
  <si>
    <t>Capacitance gauge # 14</t>
  </si>
  <si>
    <t>Beam gauge # I-007</t>
  </si>
  <si>
    <t>Beam gauge # I-008</t>
  </si>
  <si>
    <t>Beam gauge # I-001</t>
  </si>
  <si>
    <t>Beam gauge # I-002</t>
  </si>
  <si>
    <t>Capacitance gauge # 15</t>
  </si>
  <si>
    <t>Capacitance gauge # 16</t>
  </si>
  <si>
    <t>Deviation from Nominal Part Size [mils]</t>
  </si>
  <si>
    <t>Component part measurements</t>
  </si>
  <si>
    <t>* actual may be less 0.5 mils, from adhesive loss</t>
  </si>
  <si>
    <t>Total*</t>
  </si>
  <si>
    <t>* actual may be less 5.0 mils (max) to 1.5 mils (average) from compression of bearing strips</t>
  </si>
  <si>
    <t>?</t>
  </si>
  <si>
    <t xml:space="preserve">Mech. Model </t>
  </si>
  <si>
    <t>Tolerances</t>
  </si>
  <si>
    <t>Note:  A "0" measurement is a part of nominal size or a measurement which does not apply to the specified direction</t>
  </si>
  <si>
    <t>Deviation from Nominal Part Size [microns]</t>
  </si>
  <si>
    <t>Deviation from Nominal Size [mils]</t>
  </si>
  <si>
    <t>Collared coil size</t>
  </si>
  <si>
    <t>Collar/key fit</t>
  </si>
  <si>
    <t xml:space="preserve">    Collar keyway</t>
  </si>
  <si>
    <t xml:space="preserve">    Key</t>
  </si>
  <si>
    <t xml:space="preserve">    Resultant O.R. Shift=(Keyway-Key)/sqrt(2)</t>
  </si>
  <si>
    <t xml:space="preserve">    Gap(+) or interference (-)</t>
  </si>
  <si>
    <t>Collar outer radius</t>
  </si>
  <si>
    <t>Total O.D. Offset =2*(Dev. + Fit)</t>
  </si>
  <si>
    <t>Keyway</t>
  </si>
  <si>
    <t>Deviation from Nominal Part Size</t>
  </si>
  <si>
    <t>Mech. Model</t>
  </si>
  <si>
    <t>Capacitance gauge # 17</t>
  </si>
  <si>
    <t>Capacitance gauge # 19</t>
  </si>
  <si>
    <t>Beam gauge # I-003</t>
  </si>
  <si>
    <t>Beam gauge # I-004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</si>
</sst>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0"/>
    <numFmt numFmtId="169" formatCode="0.000000"/>
  </numFmts>
  <fonts count="6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20"/>
      <name val="Geneva"/>
      <family val="0"/>
    </font>
    <font>
      <i/>
      <sz val="10"/>
      <color indexed="20"/>
      <name val="Geneva"/>
      <family val="0"/>
    </font>
    <font>
      <sz val="10"/>
      <color indexed="16"/>
      <name val="Geneva"/>
      <family val="0"/>
    </font>
    <font>
      <sz val="10"/>
      <color indexed="18"/>
      <name val="Geneva"/>
      <family val="0"/>
    </font>
    <font>
      <sz val="9"/>
      <color indexed="18"/>
      <name val="Geneva"/>
      <family val="0"/>
    </font>
    <font>
      <sz val="7"/>
      <color indexed="16"/>
      <name val="Geneva"/>
      <family val="0"/>
    </font>
    <font>
      <b/>
      <sz val="10"/>
      <color indexed="20"/>
      <name val="Geneva"/>
      <family val="0"/>
    </font>
    <font>
      <sz val="9"/>
      <color indexed="16"/>
      <name val="Geneva"/>
      <family val="0"/>
    </font>
    <font>
      <b/>
      <sz val="10"/>
      <color indexed="16"/>
      <name val="Geneva"/>
      <family val="0"/>
    </font>
    <font>
      <b/>
      <sz val="12"/>
      <color indexed="16"/>
      <name val="Geneva"/>
      <family val="0"/>
    </font>
    <font>
      <sz val="10"/>
      <color indexed="36"/>
      <name val="Geneva"/>
      <family val="0"/>
    </font>
    <font>
      <i/>
      <sz val="10"/>
      <color indexed="8"/>
      <name val="Geneva"/>
      <family val="0"/>
    </font>
    <font>
      <b/>
      <sz val="10"/>
      <color indexed="18"/>
      <name val="Geneva"/>
      <family val="0"/>
    </font>
    <font>
      <b/>
      <sz val="10"/>
      <color indexed="36"/>
      <name val="Geneva"/>
      <family val="0"/>
    </font>
    <font>
      <sz val="9"/>
      <name val="Geneva"/>
      <family val="0"/>
    </font>
    <font>
      <sz val="12"/>
      <name val="Geneva"/>
      <family val="0"/>
    </font>
    <font>
      <sz val="9"/>
      <color indexed="20"/>
      <name val="Geneva"/>
      <family val="0"/>
    </font>
    <font>
      <b/>
      <sz val="12"/>
      <color indexed="36"/>
      <name val="Geneva"/>
      <family val="0"/>
    </font>
    <font>
      <b/>
      <sz val="12"/>
      <name val="Geneva"/>
      <family val="0"/>
    </font>
    <font>
      <sz val="12"/>
      <color indexed="36"/>
      <name val="Geneva"/>
      <family val="0"/>
    </font>
    <font>
      <b/>
      <i/>
      <sz val="12"/>
      <color indexed="36"/>
      <name val="Geneva"/>
      <family val="0"/>
    </font>
    <font>
      <i/>
      <sz val="12"/>
      <color indexed="36"/>
      <name val="Geneva"/>
      <family val="0"/>
    </font>
    <font>
      <sz val="10"/>
      <color indexed="61"/>
      <name val="Geneva"/>
      <family val="0"/>
    </font>
    <font>
      <sz val="9.25"/>
      <name val="Arial"/>
      <family val="0"/>
    </font>
    <font>
      <sz val="12"/>
      <name val="Arial"/>
      <family val="0"/>
    </font>
    <font>
      <sz val="9"/>
      <name val="Arial"/>
      <family val="0"/>
    </font>
    <font>
      <sz val="9.5"/>
      <name val="Arial"/>
      <family val="0"/>
    </font>
    <font>
      <sz val="16"/>
      <name val="Geneva"/>
      <family val="0"/>
    </font>
    <font>
      <sz val="14.75"/>
      <name val="Arial"/>
      <family val="2"/>
    </font>
    <font>
      <sz val="15.5"/>
      <name val="Arial"/>
      <family val="2"/>
    </font>
    <font>
      <sz val="17.25"/>
      <name val="Arial"/>
      <family val="2"/>
    </font>
    <font>
      <sz val="18"/>
      <name val="Arial"/>
      <family val="2"/>
    </font>
    <font>
      <b/>
      <sz val="15.5"/>
      <name val="Arial"/>
      <family val="2"/>
    </font>
    <font>
      <b/>
      <sz val="14.75"/>
      <name val="Arial"/>
      <family val="2"/>
    </font>
    <font>
      <sz val="18"/>
      <name val="Geneva"/>
      <family val="0"/>
    </font>
    <font>
      <sz val="14.5"/>
      <name val="Arial"/>
      <family val="2"/>
    </font>
    <font>
      <sz val="14"/>
      <name val="Geneva"/>
      <family val="0"/>
    </font>
    <font>
      <sz val="12"/>
      <color indexed="61"/>
      <name val="Geneva"/>
      <family val="0"/>
    </font>
    <font>
      <sz val="14"/>
      <color indexed="61"/>
      <name val="Geneva"/>
      <family val="0"/>
    </font>
    <font>
      <i/>
      <sz val="14"/>
      <name val="Geneva"/>
      <family val="0"/>
    </font>
    <font>
      <sz val="11"/>
      <name val="Geneva"/>
      <family val="0"/>
    </font>
    <font>
      <i/>
      <sz val="12"/>
      <color indexed="61"/>
      <name val="Geneva"/>
      <family val="0"/>
    </font>
    <font>
      <b/>
      <sz val="12"/>
      <color indexed="20"/>
      <name val="Geneva"/>
      <family val="0"/>
    </font>
    <font>
      <sz val="12"/>
      <color indexed="20"/>
      <name val="Geneva"/>
      <family val="0"/>
    </font>
    <font>
      <b/>
      <sz val="11"/>
      <color indexed="36"/>
      <name val="Geneva"/>
      <family val="0"/>
    </font>
    <font>
      <b/>
      <sz val="11"/>
      <color indexed="20"/>
      <name val="Geneva"/>
      <family val="0"/>
    </font>
    <font>
      <b/>
      <sz val="11"/>
      <name val="Geneva"/>
      <family val="0"/>
    </font>
    <font>
      <sz val="11"/>
      <color indexed="36"/>
      <name val="Geneva"/>
      <family val="0"/>
    </font>
    <font>
      <sz val="11"/>
      <color indexed="20"/>
      <name val="Geneva"/>
      <family val="0"/>
    </font>
    <font>
      <sz val="7"/>
      <name val="Arial"/>
      <family val="2"/>
    </font>
    <font>
      <sz val="10"/>
      <color indexed="36"/>
      <name val="Arial"/>
      <family val="2"/>
    </font>
    <font>
      <sz val="10"/>
      <color indexed="11"/>
      <name val="Geneva"/>
      <family val="0"/>
    </font>
    <font>
      <sz val="10"/>
      <color indexed="12"/>
      <name val="Geneva"/>
      <family val="0"/>
    </font>
    <font>
      <sz val="14"/>
      <color indexed="12"/>
      <name val="Geneva"/>
      <family val="0"/>
    </font>
    <font>
      <sz val="14"/>
      <color indexed="14"/>
      <name val="Geneva"/>
      <family val="0"/>
    </font>
    <font>
      <sz val="14"/>
      <color indexed="20"/>
      <name val="Geneva"/>
      <family val="0"/>
    </font>
    <font>
      <i/>
      <sz val="14"/>
      <color indexed="20"/>
      <name val="Geneva"/>
      <family val="0"/>
    </font>
    <font>
      <i/>
      <sz val="14"/>
      <color indexed="14"/>
      <name val="Geneva"/>
      <family val="0"/>
    </font>
    <font>
      <sz val="12"/>
      <color indexed="14"/>
      <name val="Geneva"/>
      <family val="0"/>
    </font>
    <font>
      <sz val="11"/>
      <color indexed="14"/>
      <name val="Geneva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1" fontId="6" fillId="0" borderId="0" xfId="0" applyNumberFormat="1" applyFont="1" applyAlignment="1">
      <alignment horizontal="center" vertical="top"/>
    </xf>
    <xf numFmtId="165" fontId="6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165" fontId="6" fillId="0" borderId="0" xfId="0" applyNumberFormat="1" applyFont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2" fillId="0" borderId="0" xfId="0" applyFont="1" applyAlignment="1">
      <alignment/>
    </xf>
    <xf numFmtId="0" fontId="12" fillId="0" borderId="2" xfId="0" applyFont="1" applyBorder="1" applyAlignment="1">
      <alignment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" fontId="6" fillId="0" borderId="0" xfId="0" applyNumberFormat="1" applyFont="1" applyBorder="1" applyAlignment="1">
      <alignment horizontal="center" vertical="top"/>
    </xf>
    <xf numFmtId="1" fontId="6" fillId="0" borderId="6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7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165" fontId="4" fillId="0" borderId="1" xfId="0" applyNumberFormat="1" applyFont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/>
    </xf>
    <xf numFmtId="0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165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165" fontId="14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0" fontId="7" fillId="0" borderId="11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6" fillId="0" borderId="0" xfId="0" applyFont="1" applyAlignment="1">
      <alignment vertical="top"/>
    </xf>
    <xf numFmtId="165" fontId="4" fillId="0" borderId="6" xfId="0" applyNumberFormat="1" applyFont="1" applyBorder="1" applyAlignment="1">
      <alignment horizontal="center" vertical="top"/>
    </xf>
    <xf numFmtId="165" fontId="4" fillId="0" borderId="7" xfId="0" applyNumberFormat="1" applyFont="1" applyBorder="1" applyAlignment="1">
      <alignment horizontal="center" vertical="top"/>
    </xf>
    <xf numFmtId="165" fontId="4" fillId="0" borderId="5" xfId="0" applyNumberFormat="1" applyFont="1" applyFill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0" fontId="4" fillId="0" borderId="5" xfId="0" applyFont="1" applyBorder="1" applyAlignment="1">
      <alignment/>
    </xf>
    <xf numFmtId="165" fontId="4" fillId="0" borderId="8" xfId="0" applyNumberFormat="1" applyFont="1" applyFill="1" applyBorder="1" applyAlignment="1">
      <alignment horizontal="center" vertical="top"/>
    </xf>
    <xf numFmtId="0" fontId="14" fillId="0" borderId="3" xfId="0" applyFont="1" applyBorder="1" applyAlignment="1">
      <alignment/>
    </xf>
    <xf numFmtId="165" fontId="14" fillId="0" borderId="6" xfId="0" applyNumberFormat="1" applyFont="1" applyBorder="1" applyAlignment="1">
      <alignment horizontal="center" vertical="top"/>
    </xf>
    <xf numFmtId="0" fontId="14" fillId="0" borderId="5" xfId="0" applyFont="1" applyBorder="1" applyAlignment="1">
      <alignment/>
    </xf>
    <xf numFmtId="165" fontId="14" fillId="0" borderId="2" xfId="0" applyNumberFormat="1" applyFont="1" applyBorder="1" applyAlignment="1">
      <alignment/>
    </xf>
    <xf numFmtId="165" fontId="14" fillId="0" borderId="5" xfId="0" applyNumberFormat="1" applyFont="1" applyFill="1" applyBorder="1" applyAlignment="1">
      <alignment horizontal="center" vertical="top"/>
    </xf>
    <xf numFmtId="2" fontId="4" fillId="0" borderId="5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centerContinuous" vertical="top"/>
    </xf>
    <xf numFmtId="0" fontId="4" fillId="0" borderId="10" xfId="0" applyFont="1" applyBorder="1" applyAlignment="1">
      <alignment horizontal="centerContinuous" vertical="top"/>
    </xf>
    <xf numFmtId="0" fontId="4" fillId="0" borderId="11" xfId="0" applyFont="1" applyFill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4" fillId="0" borderId="0" xfId="0" applyNumberFormat="1" applyFont="1" applyBorder="1" applyAlignment="1">
      <alignment horizontal="center" vertical="top"/>
    </xf>
    <xf numFmtId="2" fontId="4" fillId="0" borderId="8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1" fontId="14" fillId="0" borderId="0" xfId="0" applyNumberFormat="1" applyFont="1" applyAlignment="1">
      <alignment/>
    </xf>
    <xf numFmtId="1" fontId="14" fillId="0" borderId="5" xfId="0" applyNumberFormat="1" applyFont="1" applyFill="1" applyBorder="1" applyAlignment="1">
      <alignment horizontal="center" vertical="top"/>
    </xf>
    <xf numFmtId="1" fontId="14" fillId="0" borderId="0" xfId="0" applyNumberFormat="1" applyFont="1" applyBorder="1" applyAlignment="1">
      <alignment horizontal="center" vertical="top"/>
    </xf>
    <xf numFmtId="1" fontId="14" fillId="0" borderId="1" xfId="0" applyNumberFormat="1" applyFont="1" applyBorder="1" applyAlignment="1">
      <alignment horizontal="center" vertical="top"/>
    </xf>
    <xf numFmtId="1" fontId="14" fillId="0" borderId="8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vertical="top"/>
    </xf>
    <xf numFmtId="2" fontId="7" fillId="0" borderId="0" xfId="0" applyNumberFormat="1" applyFont="1" applyFill="1" applyBorder="1" applyAlignment="1">
      <alignment horizontal="center" vertical="top"/>
    </xf>
    <xf numFmtId="2" fontId="4" fillId="0" borderId="0" xfId="0" applyNumberFormat="1" applyFont="1" applyFill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2" fontId="7" fillId="0" borderId="9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2" fontId="7" fillId="0" borderId="9" xfId="0" applyNumberFormat="1" applyFont="1" applyBorder="1" applyAlignment="1">
      <alignment horizontal="centerContinuous"/>
    </xf>
    <xf numFmtId="2" fontId="7" fillId="0" borderId="11" xfId="0" applyNumberFormat="1" applyFont="1" applyBorder="1" applyAlignment="1">
      <alignment horizontal="centerContinuous"/>
    </xf>
    <xf numFmtId="2" fontId="7" fillId="0" borderId="2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/>
    </xf>
    <xf numFmtId="2" fontId="7" fillId="0" borderId="2" xfId="0" applyNumberFormat="1" applyFont="1" applyBorder="1" applyAlignment="1">
      <alignment horizontal="centerContinuous" vertical="top"/>
    </xf>
    <xf numFmtId="2" fontId="7" fillId="0" borderId="4" xfId="0" applyNumberFormat="1" applyFont="1" applyBorder="1" applyAlignment="1">
      <alignment horizontal="centerContinuous"/>
    </xf>
    <xf numFmtId="2" fontId="7" fillId="0" borderId="5" xfId="0" applyNumberFormat="1" applyFont="1" applyBorder="1" applyAlignment="1">
      <alignment vertical="top"/>
    </xf>
    <xf numFmtId="2" fontId="7" fillId="0" borderId="6" xfId="0" applyNumberFormat="1" applyFont="1" applyBorder="1" applyAlignment="1">
      <alignment/>
    </xf>
    <xf numFmtId="2" fontId="7" fillId="0" borderId="5" xfId="0" applyNumberFormat="1" applyFont="1" applyBorder="1" applyAlignment="1">
      <alignment horizontal="centerContinuous" vertical="top"/>
    </xf>
    <xf numFmtId="2" fontId="7" fillId="0" borderId="6" xfId="0" applyNumberFormat="1" applyFont="1" applyBorder="1" applyAlignment="1">
      <alignment horizontal="centerContinuous"/>
    </xf>
    <xf numFmtId="2" fontId="7" fillId="0" borderId="6" xfId="0" applyNumberFormat="1" applyFont="1" applyFill="1" applyBorder="1" applyAlignment="1">
      <alignment horizontal="centerContinuous" vertical="top"/>
    </xf>
    <xf numFmtId="2" fontId="7" fillId="0" borderId="8" xfId="0" applyNumberFormat="1" applyFont="1" applyBorder="1" applyAlignment="1">
      <alignment vertical="top"/>
    </xf>
    <xf numFmtId="2" fontId="7" fillId="0" borderId="7" xfId="0" applyNumberFormat="1" applyFont="1" applyBorder="1" applyAlignment="1">
      <alignment/>
    </xf>
    <xf numFmtId="2" fontId="7" fillId="0" borderId="8" xfId="0" applyNumberFormat="1" applyFont="1" applyBorder="1" applyAlignment="1">
      <alignment horizontal="centerContinuous" vertical="top"/>
    </xf>
    <xf numFmtId="2" fontId="7" fillId="0" borderId="7" xfId="0" applyNumberFormat="1" applyFont="1" applyBorder="1" applyAlignment="1">
      <alignment horizontal="centerContinuous"/>
    </xf>
    <xf numFmtId="2" fontId="7" fillId="0" borderId="7" xfId="0" applyNumberFormat="1" applyFont="1" applyFill="1" applyBorder="1" applyAlignment="1">
      <alignment horizontal="centerContinuous" vertical="top"/>
    </xf>
    <xf numFmtId="2" fontId="7" fillId="0" borderId="0" xfId="0" applyNumberFormat="1" applyFont="1" applyAlignment="1">
      <alignment vertical="top"/>
    </xf>
    <xf numFmtId="2" fontId="7" fillId="0" borderId="0" xfId="0" applyNumberFormat="1" applyFont="1" applyAlignment="1">
      <alignment horizontal="center" vertical="top"/>
    </xf>
    <xf numFmtId="2" fontId="7" fillId="0" borderId="2" xfId="0" applyNumberFormat="1" applyFont="1" applyBorder="1" applyAlignment="1">
      <alignment horizontal="center" vertical="top"/>
    </xf>
    <xf numFmtId="2" fontId="7" fillId="0" borderId="3" xfId="0" applyNumberFormat="1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 vertical="top"/>
    </xf>
    <xf numFmtId="2" fontId="4" fillId="0" borderId="0" xfId="0" applyNumberFormat="1" applyFont="1" applyAlignment="1">
      <alignment horizontal="center"/>
    </xf>
    <xf numFmtId="2" fontId="4" fillId="0" borderId="4" xfId="0" applyNumberFormat="1" applyFont="1" applyBorder="1" applyAlignment="1">
      <alignment horizontal="center" vertical="top"/>
    </xf>
    <xf numFmtId="2" fontId="4" fillId="0" borderId="8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14" fillId="0" borderId="4" xfId="0" applyNumberFormat="1" applyFont="1" applyBorder="1" applyAlignment="1">
      <alignment horizontal="center" vertical="top"/>
    </xf>
    <xf numFmtId="2" fontId="14" fillId="0" borderId="5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6" xfId="0" applyNumberFormat="1" applyFont="1" applyBorder="1" applyAlignment="1">
      <alignment horizontal="center" vertical="top"/>
    </xf>
    <xf numFmtId="0" fontId="18" fillId="0" borderId="0" xfId="0" applyFont="1" applyAlignment="1">
      <alignment/>
    </xf>
    <xf numFmtId="1" fontId="0" fillId="0" borderId="0" xfId="0" applyNumberFormat="1" applyAlignment="1">
      <alignment/>
    </xf>
    <xf numFmtId="1" fontId="7" fillId="0" borderId="9" xfId="0" applyNumberFormat="1" applyFont="1" applyFill="1" applyBorder="1" applyAlignment="1">
      <alignment horizontal="left" vertical="top"/>
    </xf>
    <xf numFmtId="1" fontId="7" fillId="0" borderId="10" xfId="0" applyNumberFormat="1" applyFont="1" applyFill="1" applyBorder="1" applyAlignment="1">
      <alignment vertical="top"/>
    </xf>
    <xf numFmtId="1" fontId="7" fillId="0" borderId="11" xfId="0" applyNumberFormat="1" applyFont="1" applyFill="1" applyBorder="1" applyAlignment="1">
      <alignment vertical="top"/>
    </xf>
    <xf numFmtId="1" fontId="4" fillId="0" borderId="0" xfId="0" applyNumberFormat="1" applyFont="1" applyAlignment="1">
      <alignment/>
    </xf>
    <xf numFmtId="1" fontId="4" fillId="0" borderId="9" xfId="0" applyNumberFormat="1" applyFont="1" applyFill="1" applyBorder="1" applyAlignment="1">
      <alignment horizontal="left" vertical="top"/>
    </xf>
    <xf numFmtId="1" fontId="4" fillId="0" borderId="10" xfId="0" applyNumberFormat="1" applyFont="1" applyFill="1" applyBorder="1" applyAlignment="1">
      <alignment vertical="top"/>
    </xf>
    <xf numFmtId="1" fontId="4" fillId="0" borderId="11" xfId="0" applyNumberFormat="1" applyFont="1" applyFill="1" applyBorder="1" applyAlignment="1">
      <alignment vertical="top"/>
    </xf>
    <xf numFmtId="1" fontId="14" fillId="0" borderId="2" xfId="0" applyNumberFormat="1" applyFont="1" applyFill="1" applyBorder="1" applyAlignment="1">
      <alignment horizontal="left" vertical="top"/>
    </xf>
    <xf numFmtId="1" fontId="7" fillId="0" borderId="3" xfId="0" applyNumberFormat="1" applyFont="1" applyFill="1" applyBorder="1" applyAlignment="1">
      <alignment vertical="top"/>
    </xf>
    <xf numFmtId="1" fontId="7" fillId="0" borderId="4" xfId="0" applyNumberFormat="1" applyFont="1" applyFill="1" applyBorder="1" applyAlignment="1">
      <alignment vertical="top"/>
    </xf>
    <xf numFmtId="2" fontId="10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top"/>
    </xf>
    <xf numFmtId="2" fontId="14" fillId="0" borderId="3" xfId="0" applyNumberFormat="1" applyFont="1" applyBorder="1" applyAlignment="1">
      <alignment horizontal="center" vertical="top"/>
    </xf>
    <xf numFmtId="2" fontId="14" fillId="0" borderId="0" xfId="0" applyNumberFormat="1" applyFont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1" fontId="14" fillId="0" borderId="5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9" xfId="0" applyNumberFormat="1" applyFont="1" applyFill="1" applyBorder="1" applyAlignment="1">
      <alignment horizontal="left" vertical="top"/>
    </xf>
    <xf numFmtId="1" fontId="14" fillId="0" borderId="10" xfId="0" applyNumberFormat="1" applyFont="1" applyFill="1" applyBorder="1" applyAlignment="1">
      <alignment vertical="top"/>
    </xf>
    <xf numFmtId="1" fontId="14" fillId="0" borderId="11" xfId="0" applyNumberFormat="1" applyFont="1" applyFill="1" applyBorder="1" applyAlignment="1">
      <alignment vertical="top"/>
    </xf>
    <xf numFmtId="0" fontId="14" fillId="0" borderId="9" xfId="0" applyFont="1" applyFill="1" applyBorder="1" applyAlignment="1">
      <alignment horizontal="centerContinuous" vertical="top"/>
    </xf>
    <xf numFmtId="0" fontId="14" fillId="0" borderId="10" xfId="0" applyFont="1" applyBorder="1" applyAlignment="1">
      <alignment horizontal="centerContinuous" vertical="top"/>
    </xf>
    <xf numFmtId="0" fontId="14" fillId="0" borderId="11" xfId="0" applyFont="1" applyFill="1" applyBorder="1" applyAlignment="1">
      <alignment horizontal="center" vertical="top"/>
    </xf>
    <xf numFmtId="2" fontId="14" fillId="0" borderId="0" xfId="0" applyNumberFormat="1" applyFont="1" applyBorder="1" applyAlignment="1">
      <alignment/>
    </xf>
    <xf numFmtId="165" fontId="14" fillId="0" borderId="8" xfId="0" applyNumberFormat="1" applyFont="1" applyFill="1" applyBorder="1" applyAlignment="1">
      <alignment horizontal="center" vertical="top"/>
    </xf>
    <xf numFmtId="165" fontId="14" fillId="0" borderId="1" xfId="0" applyNumberFormat="1" applyFont="1" applyBorder="1" applyAlignment="1">
      <alignment horizontal="center" vertical="top"/>
    </xf>
    <xf numFmtId="165" fontId="14" fillId="0" borderId="7" xfId="0" applyNumberFormat="1" applyFont="1" applyBorder="1" applyAlignment="1">
      <alignment horizontal="center" vertical="top"/>
    </xf>
    <xf numFmtId="2" fontId="14" fillId="0" borderId="1" xfId="0" applyNumberFormat="1" applyFont="1" applyBorder="1" applyAlignment="1">
      <alignment horizontal="center" vertical="top"/>
    </xf>
    <xf numFmtId="2" fontId="14" fillId="0" borderId="7" xfId="0" applyNumberFormat="1" applyFont="1" applyBorder="1" applyAlignment="1">
      <alignment horizontal="center" vertical="top"/>
    </xf>
    <xf numFmtId="2" fontId="14" fillId="0" borderId="0" xfId="0" applyNumberFormat="1" applyFont="1" applyAlignment="1">
      <alignment/>
    </xf>
    <xf numFmtId="1" fontId="7" fillId="0" borderId="2" xfId="0" applyNumberFormat="1" applyFont="1" applyBorder="1" applyAlignment="1">
      <alignment horizontal="center" vertical="top"/>
    </xf>
    <xf numFmtId="1" fontId="7" fillId="0" borderId="3" xfId="0" applyNumberFormat="1" applyFont="1" applyBorder="1" applyAlignment="1">
      <alignment horizontal="center" vertical="top"/>
    </xf>
    <xf numFmtId="1" fontId="7" fillId="0" borderId="4" xfId="0" applyNumberFormat="1" applyFont="1" applyBorder="1" applyAlignment="1">
      <alignment horizontal="center" vertical="top"/>
    </xf>
    <xf numFmtId="1" fontId="0" fillId="0" borderId="0" xfId="0" applyNumberFormat="1" applyFont="1" applyAlignment="1">
      <alignment/>
    </xf>
    <xf numFmtId="1" fontId="14" fillId="0" borderId="3" xfId="0" applyNumberFormat="1" applyFont="1" applyBorder="1" applyAlignment="1">
      <alignment horizontal="center" vertical="top"/>
    </xf>
    <xf numFmtId="1" fontId="14" fillId="0" borderId="4" xfId="0" applyNumberFormat="1" applyFont="1" applyBorder="1" applyAlignment="1">
      <alignment horizontal="center" vertical="top"/>
    </xf>
    <xf numFmtId="1" fontId="0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4" fontId="4" fillId="0" borderId="1" xfId="0" applyNumberFormat="1" applyFont="1" applyFill="1" applyBorder="1" applyAlignment="1">
      <alignment vertical="top"/>
    </xf>
    <xf numFmtId="2" fontId="4" fillId="0" borderId="1" xfId="0" applyNumberFormat="1" applyFont="1" applyFill="1" applyBorder="1" applyAlignment="1">
      <alignment vertical="top"/>
    </xf>
    <xf numFmtId="166" fontId="4" fillId="0" borderId="0" xfId="0" applyNumberFormat="1" applyFont="1" applyFill="1" applyBorder="1" applyAlignment="1">
      <alignment vertical="top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 horizontal="center" vertical="top"/>
    </xf>
    <xf numFmtId="1" fontId="16" fillId="0" borderId="0" xfId="0" applyNumberFormat="1" applyFont="1" applyAlignment="1">
      <alignment horizontal="center" vertical="top"/>
    </xf>
    <xf numFmtId="2" fontId="1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ont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21" fillId="0" borderId="0" xfId="0" applyFont="1" applyFill="1" applyBorder="1" applyAlignment="1">
      <alignment horizontal="left" vertical="top"/>
    </xf>
    <xf numFmtId="0" fontId="22" fillId="0" borderId="0" xfId="0" applyFont="1" applyAlignment="1">
      <alignment horizontal="center"/>
    </xf>
    <xf numFmtId="1" fontId="21" fillId="0" borderId="0" xfId="0" applyNumberFormat="1" applyFont="1" applyFill="1" applyBorder="1" applyAlignment="1">
      <alignment horizontal="center" vertical="top"/>
    </xf>
    <xf numFmtId="165" fontId="21" fillId="0" borderId="0" xfId="0" applyNumberFormat="1" applyFont="1" applyFill="1" applyBorder="1" applyAlignment="1">
      <alignment horizontal="center" vertical="top"/>
    </xf>
    <xf numFmtId="165" fontId="22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65" fontId="23" fillId="0" borderId="0" xfId="0" applyNumberFormat="1" applyFont="1" applyFill="1" applyBorder="1" applyAlignment="1">
      <alignment horizontal="center" vertical="top"/>
    </xf>
    <xf numFmtId="1" fontId="23" fillId="0" borderId="0" xfId="0" applyNumberFormat="1" applyFont="1" applyFill="1" applyBorder="1" applyAlignment="1">
      <alignment horizontal="center" vertical="top"/>
    </xf>
    <xf numFmtId="1" fontId="23" fillId="0" borderId="0" xfId="0" applyNumberFormat="1" applyFont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65" fontId="23" fillId="0" borderId="0" xfId="0" applyNumberFormat="1" applyFont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1" fontId="21" fillId="0" borderId="5" xfId="0" applyNumberFormat="1" applyFont="1" applyFill="1" applyBorder="1" applyAlignment="1">
      <alignment horizontal="left" vertical="top"/>
    </xf>
    <xf numFmtId="2" fontId="21" fillId="0" borderId="0" xfId="0" applyNumberFormat="1" applyFont="1" applyBorder="1" applyAlignment="1">
      <alignment horizontal="center"/>
    </xf>
    <xf numFmtId="1" fontId="21" fillId="0" borderId="5" xfId="0" applyNumberFormat="1" applyFont="1" applyFill="1" applyBorder="1" applyAlignment="1">
      <alignment horizontal="center" vertical="top"/>
    </xf>
    <xf numFmtId="165" fontId="24" fillId="0" borderId="0" xfId="0" applyNumberFormat="1" applyFont="1" applyBorder="1" applyAlignment="1">
      <alignment horizontal="center"/>
    </xf>
    <xf numFmtId="165" fontId="21" fillId="0" borderId="5" xfId="0" applyNumberFormat="1" applyFont="1" applyFill="1" applyBorder="1" applyAlignment="1">
      <alignment horizontal="center" vertical="top"/>
    </xf>
    <xf numFmtId="2" fontId="23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1" fontId="21" fillId="0" borderId="8" xfId="0" applyNumberFormat="1" applyFont="1" applyFill="1" applyBorder="1" applyAlignment="1">
      <alignment horizontal="center" vertical="top"/>
    </xf>
    <xf numFmtId="1" fontId="21" fillId="0" borderId="1" xfId="0" applyNumberFormat="1" applyFont="1" applyFill="1" applyBorder="1" applyAlignment="1">
      <alignment horizontal="center" vertical="top"/>
    </xf>
    <xf numFmtId="1" fontId="23" fillId="0" borderId="1" xfId="0" applyNumberFormat="1" applyFont="1" applyFill="1" applyBorder="1" applyAlignment="1">
      <alignment horizontal="center" vertical="top"/>
    </xf>
    <xf numFmtId="1" fontId="21" fillId="0" borderId="1" xfId="0" applyNumberFormat="1" applyFont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2" fontId="0" fillId="0" borderId="0" xfId="0" applyNumberFormat="1" applyAlignment="1" quotePrefix="1">
      <alignment/>
    </xf>
    <xf numFmtId="1" fontId="2" fillId="0" borderId="0" xfId="0" applyNumberFormat="1" applyFont="1" applyAlignment="1">
      <alignment/>
    </xf>
    <xf numFmtId="2" fontId="26" fillId="0" borderId="0" xfId="0" applyNumberFormat="1" applyFont="1" applyFill="1" applyAlignment="1">
      <alignment horizontal="center"/>
    </xf>
    <xf numFmtId="165" fontId="26" fillId="0" borderId="0" xfId="0" applyNumberFormat="1" applyFont="1" applyFill="1" applyAlignment="1">
      <alignment/>
    </xf>
    <xf numFmtId="2" fontId="26" fillId="0" borderId="0" xfId="0" applyNumberFormat="1" applyFont="1" applyFill="1" applyAlignment="1">
      <alignment/>
    </xf>
    <xf numFmtId="165" fontId="26" fillId="0" borderId="0" xfId="0" applyNumberFormat="1" applyFont="1" applyFill="1" applyAlignment="1">
      <alignment horizontal="center"/>
    </xf>
    <xf numFmtId="2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 horizontal="center"/>
    </xf>
    <xf numFmtId="2" fontId="31" fillId="0" borderId="0" xfId="0" applyNumberFormat="1" applyFont="1" applyAlignment="1">
      <alignment horizontal="center"/>
    </xf>
    <xf numFmtId="1" fontId="31" fillId="0" borderId="0" xfId="0" applyNumberFormat="1" applyFont="1" applyAlignment="1">
      <alignment/>
    </xf>
    <xf numFmtId="0" fontId="31" fillId="0" borderId="0" xfId="0" applyFont="1" applyAlignment="1">
      <alignment/>
    </xf>
    <xf numFmtId="2" fontId="31" fillId="0" borderId="0" xfId="0" applyNumberFormat="1" applyFont="1" applyAlignment="1" quotePrefix="1">
      <alignment/>
    </xf>
    <xf numFmtId="1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2" fontId="31" fillId="0" borderId="0" xfId="0" applyNumberFormat="1" applyFont="1" applyAlignment="1" quotePrefix="1">
      <alignment horizontal="center"/>
    </xf>
    <xf numFmtId="165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 vertical="top"/>
    </xf>
    <xf numFmtId="1" fontId="31" fillId="0" borderId="0" xfId="0" applyNumberFormat="1" applyFont="1" applyAlignment="1">
      <alignment horizontal="center" vertical="top"/>
    </xf>
    <xf numFmtId="2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2" fontId="38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165" fontId="31" fillId="0" borderId="1" xfId="0" applyNumberFormat="1" applyFont="1" applyBorder="1" applyAlignment="1">
      <alignment horizontal="center"/>
    </xf>
    <xf numFmtId="2" fontId="31" fillId="0" borderId="7" xfId="0" applyNumberFormat="1" applyFont="1" applyBorder="1" applyAlignment="1">
      <alignment horizontal="center"/>
    </xf>
    <xf numFmtId="2" fontId="31" fillId="0" borderId="9" xfId="0" applyNumberFormat="1" applyFont="1" applyBorder="1" applyAlignment="1">
      <alignment horizontal="center" vertical="top"/>
    </xf>
    <xf numFmtId="2" fontId="31" fillId="0" borderId="12" xfId="0" applyNumberFormat="1" applyFont="1" applyBorder="1" applyAlignment="1">
      <alignment horizontal="center" vertical="top"/>
    </xf>
    <xf numFmtId="165" fontId="31" fillId="0" borderId="13" xfId="0" applyNumberFormat="1" applyFont="1" applyBorder="1" applyAlignment="1">
      <alignment horizontal="center"/>
    </xf>
    <xf numFmtId="165" fontId="31" fillId="0" borderId="14" xfId="0" applyNumberFormat="1" applyFont="1" applyBorder="1" applyAlignment="1">
      <alignment horizontal="center"/>
    </xf>
    <xf numFmtId="1" fontId="31" fillId="0" borderId="12" xfId="0" applyNumberFormat="1" applyFont="1" applyBorder="1" applyAlignment="1">
      <alignment horizontal="center" vertical="top" wrapText="1"/>
    </xf>
    <xf numFmtId="2" fontId="31" fillId="0" borderId="15" xfId="0" applyNumberFormat="1" applyFont="1" applyBorder="1" applyAlignment="1">
      <alignment horizontal="center"/>
    </xf>
    <xf numFmtId="2" fontId="31" fillId="0" borderId="13" xfId="0" applyNumberFormat="1" applyFont="1" applyBorder="1" applyAlignment="1">
      <alignment horizontal="center"/>
    </xf>
    <xf numFmtId="2" fontId="31" fillId="0" borderId="14" xfId="0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40" fillId="0" borderId="0" xfId="0" applyFont="1" applyAlignment="1">
      <alignment/>
    </xf>
    <xf numFmtId="0" fontId="31" fillId="0" borderId="15" xfId="0" applyFont="1" applyBorder="1" applyAlignment="1">
      <alignment horizontal="center"/>
    </xf>
    <xf numFmtId="0" fontId="40" fillId="0" borderId="2" xfId="0" applyFont="1" applyBorder="1" applyAlignment="1">
      <alignment/>
    </xf>
    <xf numFmtId="0" fontId="31" fillId="0" borderId="4" xfId="0" applyFont="1" applyBorder="1" applyAlignment="1">
      <alignment/>
    </xf>
    <xf numFmtId="0" fontId="40" fillId="0" borderId="3" xfId="0" applyFont="1" applyBorder="1" applyAlignment="1">
      <alignment/>
    </xf>
    <xf numFmtId="0" fontId="31" fillId="0" borderId="14" xfId="0" applyFont="1" applyBorder="1" applyAlignment="1">
      <alignment horizontal="center"/>
    </xf>
    <xf numFmtId="1" fontId="31" fillId="0" borderId="13" xfId="0" applyNumberFormat="1" applyFont="1" applyBorder="1" applyAlignment="1">
      <alignment horizontal="center"/>
    </xf>
    <xf numFmtId="1" fontId="31" fillId="0" borderId="14" xfId="0" applyNumberFormat="1" applyFont="1" applyBorder="1" applyAlignment="1">
      <alignment horizontal="center"/>
    </xf>
    <xf numFmtId="0" fontId="40" fillId="0" borderId="9" xfId="0" applyFont="1" applyBorder="1" applyAlignment="1">
      <alignment/>
    </xf>
    <xf numFmtId="0" fontId="31" fillId="0" borderId="11" xfId="0" applyFont="1" applyBorder="1" applyAlignment="1">
      <alignment/>
    </xf>
    <xf numFmtId="1" fontId="31" fillId="0" borderId="15" xfId="0" applyNumberFormat="1" applyFont="1" applyBorder="1" applyAlignment="1">
      <alignment horizontal="center"/>
    </xf>
    <xf numFmtId="0" fontId="42" fillId="0" borderId="0" xfId="0" applyFont="1" applyFill="1" applyAlignment="1">
      <alignment/>
    </xf>
    <xf numFmtId="0" fontId="40" fillId="0" borderId="0" xfId="0" applyFont="1" applyAlignment="1">
      <alignment horizontal="center"/>
    </xf>
    <xf numFmtId="2" fontId="26" fillId="0" borderId="0" xfId="0" applyNumberFormat="1" applyFont="1" applyFill="1" applyAlignment="1" quotePrefix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" fontId="43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" fontId="19" fillId="0" borderId="0" xfId="0" applyNumberFormat="1" applyFont="1" applyBorder="1" applyAlignment="1">
      <alignment horizontal="center"/>
    </xf>
    <xf numFmtId="1" fontId="19" fillId="0" borderId="6" xfId="0" applyNumberFormat="1" applyFont="1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7" xfId="0" applyNumberFormat="1" applyBorder="1" applyAlignment="1">
      <alignment/>
    </xf>
    <xf numFmtId="0" fontId="40" fillId="0" borderId="4" xfId="0" applyFont="1" applyBorder="1" applyAlignment="1">
      <alignment/>
    </xf>
    <xf numFmtId="0" fontId="40" fillId="0" borderId="8" xfId="0" applyFont="1" applyBorder="1" applyAlignment="1">
      <alignment horizontal="center"/>
    </xf>
    <xf numFmtId="1" fontId="43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1" fontId="19" fillId="0" borderId="5" xfId="0" applyNumberFormat="1" applyFont="1" applyBorder="1" applyAlignment="1">
      <alignment horizontal="center"/>
    </xf>
    <xf numFmtId="1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1" fontId="0" fillId="0" borderId="2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0" fontId="0" fillId="0" borderId="1" xfId="0" applyBorder="1" applyAlignment="1">
      <alignment/>
    </xf>
    <xf numFmtId="1" fontId="40" fillId="0" borderId="2" xfId="0" applyNumberFormat="1" applyFont="1" applyBorder="1" applyAlignment="1">
      <alignment/>
    </xf>
    <xf numFmtId="1" fontId="40" fillId="0" borderId="4" xfId="0" applyNumberFormat="1" applyFont="1" applyBorder="1" applyAlignment="1">
      <alignment/>
    </xf>
    <xf numFmtId="2" fontId="19" fillId="0" borderId="5" xfId="0" applyNumberFormat="1" applyFont="1" applyBorder="1" applyAlignment="1" quotePrefix="1">
      <alignment horizontal="center"/>
    </xf>
    <xf numFmtId="2" fontId="0" fillId="0" borderId="8" xfId="0" applyNumberFormat="1" applyBorder="1" applyAlignment="1" quotePrefix="1">
      <alignment/>
    </xf>
    <xf numFmtId="2" fontId="0" fillId="0" borderId="5" xfId="0" applyNumberFormat="1" applyFont="1" applyBorder="1" applyAlignment="1" quotePrefix="1">
      <alignment/>
    </xf>
    <xf numFmtId="0" fontId="40" fillId="0" borderId="7" xfId="0" applyFont="1" applyBorder="1" applyAlignment="1">
      <alignment horizontal="center"/>
    </xf>
    <xf numFmtId="0" fontId="42" fillId="0" borderId="8" xfId="0" applyFont="1" applyFill="1" applyBorder="1" applyAlignment="1">
      <alignment horizontal="center"/>
    </xf>
    <xf numFmtId="0" fontId="42" fillId="0" borderId="7" xfId="0" applyFont="1" applyFill="1" applyBorder="1" applyAlignment="1">
      <alignment horizontal="center"/>
    </xf>
    <xf numFmtId="2" fontId="26" fillId="0" borderId="2" xfId="0" applyNumberFormat="1" applyFont="1" applyFill="1" applyBorder="1" applyAlignment="1" quotePrefix="1">
      <alignment/>
    </xf>
    <xf numFmtId="2" fontId="41" fillId="0" borderId="5" xfId="0" applyNumberFormat="1" applyFont="1" applyFill="1" applyBorder="1" applyAlignment="1" quotePrefix="1">
      <alignment horizontal="center"/>
    </xf>
    <xf numFmtId="2" fontId="41" fillId="0" borderId="6" xfId="0" applyNumberFormat="1" applyFont="1" applyFill="1" applyBorder="1" applyAlignment="1">
      <alignment horizontal="center"/>
    </xf>
    <xf numFmtId="2" fontId="41" fillId="0" borderId="8" xfId="0" applyNumberFormat="1" applyFont="1" applyFill="1" applyBorder="1" applyAlignment="1">
      <alignment horizontal="center"/>
    </xf>
    <xf numFmtId="2" fontId="41" fillId="0" borderId="7" xfId="0" applyNumberFormat="1" applyFont="1" applyFill="1" applyBorder="1" applyAlignment="1">
      <alignment horizontal="center"/>
    </xf>
    <xf numFmtId="2" fontId="41" fillId="0" borderId="2" xfId="0" applyNumberFormat="1" applyFont="1" applyFill="1" applyBorder="1" applyAlignment="1" quotePrefix="1">
      <alignment horizontal="center"/>
    </xf>
    <xf numFmtId="2" fontId="41" fillId="0" borderId="4" xfId="0" applyNumberFormat="1" applyFont="1" applyFill="1" applyBorder="1" applyAlignment="1">
      <alignment horizontal="center"/>
    </xf>
    <xf numFmtId="165" fontId="41" fillId="0" borderId="5" xfId="0" applyNumberFormat="1" applyFont="1" applyFill="1" applyBorder="1" applyAlignment="1" quotePrefix="1">
      <alignment horizontal="center"/>
    </xf>
    <xf numFmtId="165" fontId="26" fillId="0" borderId="2" xfId="0" applyNumberFormat="1" applyFont="1" applyFill="1" applyBorder="1" applyAlignment="1">
      <alignment/>
    </xf>
    <xf numFmtId="165" fontId="26" fillId="0" borderId="3" xfId="0" applyNumberFormat="1" applyFont="1" applyFill="1" applyBorder="1" applyAlignment="1">
      <alignment/>
    </xf>
    <xf numFmtId="165" fontId="41" fillId="0" borderId="5" xfId="0" applyNumberFormat="1" applyFont="1" applyFill="1" applyBorder="1" applyAlignment="1">
      <alignment horizontal="center"/>
    </xf>
    <xf numFmtId="165" fontId="41" fillId="0" borderId="0" xfId="0" applyNumberFormat="1" applyFont="1" applyFill="1" applyBorder="1" applyAlignment="1">
      <alignment horizontal="center"/>
    </xf>
    <xf numFmtId="165" fontId="41" fillId="0" borderId="6" xfId="0" applyNumberFormat="1" applyFont="1" applyFill="1" applyBorder="1" applyAlignment="1">
      <alignment horizontal="center"/>
    </xf>
    <xf numFmtId="165" fontId="41" fillId="0" borderId="8" xfId="0" applyNumberFormat="1" applyFont="1" applyFill="1" applyBorder="1" applyAlignment="1">
      <alignment horizontal="center"/>
    </xf>
    <xf numFmtId="165" fontId="41" fillId="0" borderId="1" xfId="0" applyNumberFormat="1" applyFont="1" applyFill="1" applyBorder="1" applyAlignment="1">
      <alignment horizontal="center"/>
    </xf>
    <xf numFmtId="165" fontId="41" fillId="0" borderId="7" xfId="0" applyNumberFormat="1" applyFont="1" applyFill="1" applyBorder="1" applyAlignment="1">
      <alignment horizontal="center"/>
    </xf>
    <xf numFmtId="165" fontId="41" fillId="0" borderId="2" xfId="0" applyNumberFormat="1" applyFont="1" applyFill="1" applyBorder="1" applyAlignment="1">
      <alignment horizontal="center"/>
    </xf>
    <xf numFmtId="165" fontId="41" fillId="0" borderId="3" xfId="0" applyNumberFormat="1" applyFont="1" applyFill="1" applyBorder="1" applyAlignment="1">
      <alignment horizontal="center"/>
    </xf>
    <xf numFmtId="165" fontId="41" fillId="0" borderId="4" xfId="0" applyNumberFormat="1" applyFont="1" applyFill="1" applyBorder="1" applyAlignment="1">
      <alignment horizontal="center"/>
    </xf>
    <xf numFmtId="165" fontId="42" fillId="0" borderId="2" xfId="0" applyNumberFormat="1" applyFont="1" applyFill="1" applyBorder="1" applyAlignment="1">
      <alignment/>
    </xf>
    <xf numFmtId="2" fontId="42" fillId="0" borderId="4" xfId="0" applyNumberFormat="1" applyFont="1" applyFill="1" applyBorder="1" applyAlignment="1">
      <alignment/>
    </xf>
    <xf numFmtId="2" fontId="26" fillId="0" borderId="4" xfId="0" applyNumberFormat="1" applyFont="1" applyFill="1" applyBorder="1" applyAlignment="1">
      <alignment/>
    </xf>
    <xf numFmtId="0" fontId="26" fillId="0" borderId="2" xfId="0" applyFont="1" applyFill="1" applyBorder="1" applyAlignment="1">
      <alignment/>
    </xf>
    <xf numFmtId="0" fontId="26" fillId="0" borderId="3" xfId="0" applyFont="1" applyFill="1" applyBorder="1" applyAlignment="1">
      <alignment/>
    </xf>
    <xf numFmtId="0" fontId="26" fillId="0" borderId="4" xfId="0" applyFont="1" applyFill="1" applyBorder="1" applyAlignment="1">
      <alignment/>
    </xf>
    <xf numFmtId="165" fontId="41" fillId="0" borderId="0" xfId="0" applyNumberFormat="1" applyFont="1" applyFill="1" applyBorder="1" applyAlignment="1" quotePrefix="1">
      <alignment horizontal="center"/>
    </xf>
    <xf numFmtId="165" fontId="41" fillId="0" borderId="6" xfId="0" applyNumberFormat="1" applyFont="1" applyFill="1" applyBorder="1" applyAlignment="1" quotePrefix="1">
      <alignment horizontal="center"/>
    </xf>
    <xf numFmtId="165" fontId="41" fillId="0" borderId="8" xfId="0" applyNumberFormat="1" applyFont="1" applyFill="1" applyBorder="1" applyAlignment="1">
      <alignment/>
    </xf>
    <xf numFmtId="165" fontId="41" fillId="0" borderId="1" xfId="0" applyNumberFormat="1" applyFont="1" applyFill="1" applyBorder="1" applyAlignment="1">
      <alignment/>
    </xf>
    <xf numFmtId="165" fontId="41" fillId="0" borderId="7" xfId="0" applyNumberFormat="1" applyFont="1" applyFill="1" applyBorder="1" applyAlignment="1">
      <alignment/>
    </xf>
    <xf numFmtId="0" fontId="42" fillId="0" borderId="2" xfId="0" applyFont="1" applyFill="1" applyBorder="1" applyAlignment="1">
      <alignment/>
    </xf>
    <xf numFmtId="0" fontId="42" fillId="0" borderId="4" xfId="0" applyFont="1" applyFill="1" applyBorder="1" applyAlignment="1">
      <alignment/>
    </xf>
    <xf numFmtId="165" fontId="0" fillId="0" borderId="0" xfId="0" applyNumberFormat="1" applyAlignment="1">
      <alignment horizontal="center"/>
    </xf>
    <xf numFmtId="1" fontId="6" fillId="0" borderId="0" xfId="0" applyNumberFormat="1" applyFont="1" applyAlignment="1">
      <alignment vertical="top"/>
    </xf>
    <xf numFmtId="1" fontId="6" fillId="0" borderId="1" xfId="0" applyNumberFormat="1" applyFont="1" applyBorder="1" applyAlignment="1">
      <alignment horizontal="center" vertical="top"/>
    </xf>
    <xf numFmtId="165" fontId="6" fillId="0" borderId="5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165" fontId="6" fillId="0" borderId="8" xfId="0" applyNumberFormat="1" applyFont="1" applyBorder="1" applyAlignment="1">
      <alignment horizontal="center" vertical="top"/>
    </xf>
    <xf numFmtId="165" fontId="6" fillId="0" borderId="6" xfId="0" applyNumberFormat="1" applyFont="1" applyBorder="1" applyAlignment="1">
      <alignment horizontal="center" vertical="top"/>
    </xf>
    <xf numFmtId="165" fontId="6" fillId="0" borderId="7" xfId="0" applyNumberFormat="1" applyFont="1" applyBorder="1" applyAlignment="1">
      <alignment horizontal="center" vertical="top"/>
    </xf>
    <xf numFmtId="2" fontId="19" fillId="0" borderId="8" xfId="0" applyNumberFormat="1" applyFont="1" applyBorder="1" applyAlignment="1" quotePrefix="1">
      <alignment horizontal="center"/>
    </xf>
    <xf numFmtId="165" fontId="19" fillId="0" borderId="13" xfId="0" applyNumberFormat="1" applyFont="1" applyBorder="1" applyAlignment="1">
      <alignment horizontal="center"/>
    </xf>
    <xf numFmtId="165" fontId="19" fillId="0" borderId="14" xfId="0" applyNumberFormat="1" applyFont="1" applyBorder="1" applyAlignment="1">
      <alignment horizontal="center"/>
    </xf>
    <xf numFmtId="2" fontId="19" fillId="0" borderId="5" xfId="0" applyNumberFormat="1" applyFont="1" applyBorder="1" applyAlignment="1">
      <alignment horizontal="center"/>
    </xf>
    <xf numFmtId="2" fontId="19" fillId="0" borderId="8" xfId="0" applyNumberFormat="1" applyFont="1" applyBorder="1" applyAlignment="1">
      <alignment horizontal="center"/>
    </xf>
    <xf numFmtId="2" fontId="44" fillId="0" borderId="15" xfId="0" applyNumberFormat="1" applyFont="1" applyBorder="1" applyAlignment="1">
      <alignment horizontal="center"/>
    </xf>
    <xf numFmtId="2" fontId="44" fillId="0" borderId="13" xfId="0" applyNumberFormat="1" applyFont="1" applyBorder="1" applyAlignment="1">
      <alignment horizontal="center"/>
    </xf>
    <xf numFmtId="2" fontId="44" fillId="0" borderId="14" xfId="0" applyNumberFormat="1" applyFont="1" applyBorder="1" applyAlignment="1">
      <alignment horizontal="center"/>
    </xf>
    <xf numFmtId="165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165" fontId="46" fillId="0" borderId="0" xfId="0" applyNumberFormat="1" applyFont="1" applyFill="1" applyBorder="1" applyAlignment="1">
      <alignment horizontal="center" vertical="top"/>
    </xf>
    <xf numFmtId="165" fontId="47" fillId="0" borderId="0" xfId="0" applyNumberFormat="1" applyFont="1" applyFill="1" applyBorder="1" applyAlignment="1">
      <alignment horizontal="center" vertical="top"/>
    </xf>
    <xf numFmtId="165" fontId="47" fillId="0" borderId="0" xfId="0" applyNumberFormat="1" applyFont="1" applyBorder="1" applyAlignment="1">
      <alignment horizontal="center"/>
    </xf>
    <xf numFmtId="1" fontId="46" fillId="0" borderId="0" xfId="0" applyNumberFormat="1" applyFont="1" applyBorder="1" applyAlignment="1">
      <alignment horizontal="center"/>
    </xf>
    <xf numFmtId="1" fontId="47" fillId="0" borderId="0" xfId="0" applyNumberFormat="1" applyFont="1" applyBorder="1" applyAlignment="1">
      <alignment horizontal="center"/>
    </xf>
    <xf numFmtId="1" fontId="46" fillId="0" borderId="1" xfId="0" applyNumberFormat="1" applyFont="1" applyBorder="1" applyAlignment="1">
      <alignment horizontal="center"/>
    </xf>
    <xf numFmtId="1" fontId="47" fillId="0" borderId="1" xfId="0" applyNumberFormat="1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vertical="top"/>
    </xf>
    <xf numFmtId="166" fontId="20" fillId="0" borderId="0" xfId="0" applyNumberFormat="1" applyFont="1" applyFill="1" applyBorder="1" applyAlignment="1">
      <alignment vertical="top"/>
    </xf>
    <xf numFmtId="0" fontId="40" fillId="0" borderId="6" xfId="0" applyFont="1" applyBorder="1" applyAlignment="1">
      <alignment/>
    </xf>
    <xf numFmtId="0" fontId="26" fillId="0" borderId="3" xfId="0" applyFont="1" applyFill="1" applyBorder="1" applyAlignment="1">
      <alignment horizontal="center"/>
    </xf>
    <xf numFmtId="2" fontId="41" fillId="0" borderId="0" xfId="0" applyNumberFormat="1" applyFont="1" applyFill="1" applyBorder="1" applyAlignment="1">
      <alignment horizontal="center"/>
    </xf>
    <xf numFmtId="2" fontId="41" fillId="0" borderId="1" xfId="0" applyNumberFormat="1" applyFont="1" applyFill="1" applyBorder="1" applyAlignment="1">
      <alignment horizontal="center"/>
    </xf>
    <xf numFmtId="0" fontId="42" fillId="0" borderId="5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6" xfId="0" applyFont="1" applyFill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50" fillId="0" borderId="0" xfId="0" applyFont="1" applyAlignment="1">
      <alignment horizontal="center"/>
    </xf>
    <xf numFmtId="1" fontId="48" fillId="0" borderId="5" xfId="0" applyNumberFormat="1" applyFont="1" applyFill="1" applyBorder="1" applyAlignment="1">
      <alignment horizontal="left" vertical="top"/>
    </xf>
    <xf numFmtId="1" fontId="48" fillId="0" borderId="0" xfId="0" applyNumberFormat="1" applyFont="1" applyFill="1" applyBorder="1" applyAlignment="1">
      <alignment horizontal="center" vertical="top"/>
    </xf>
    <xf numFmtId="165" fontId="46" fillId="0" borderId="1" xfId="0" applyNumberFormat="1" applyFont="1" applyBorder="1" applyAlignment="1">
      <alignment horizontal="center"/>
    </xf>
    <xf numFmtId="165" fontId="47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47" fillId="0" borderId="6" xfId="0" applyNumberFormat="1" applyFont="1" applyFill="1" applyBorder="1" applyAlignment="1">
      <alignment horizontal="center" vertical="top"/>
    </xf>
    <xf numFmtId="1" fontId="4" fillId="0" borderId="6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8" fillId="0" borderId="8" xfId="0" applyNumberFormat="1" applyFont="1" applyFill="1" applyBorder="1" applyAlignment="1">
      <alignment horizontal="left" vertical="top"/>
    </xf>
    <xf numFmtId="1" fontId="48" fillId="0" borderId="1" xfId="0" applyNumberFormat="1" applyFont="1" applyFill="1" applyBorder="1" applyAlignment="1">
      <alignment horizontal="center" vertical="top"/>
    </xf>
    <xf numFmtId="1" fontId="48" fillId="0" borderId="7" xfId="0" applyNumberFormat="1" applyFont="1" applyFill="1" applyBorder="1" applyAlignment="1">
      <alignment horizontal="center" vertical="top"/>
    </xf>
    <xf numFmtId="165" fontId="21" fillId="0" borderId="1" xfId="0" applyNumberFormat="1" applyFont="1" applyFill="1" applyBorder="1" applyAlignment="1">
      <alignment horizontal="center" vertical="top"/>
    </xf>
    <xf numFmtId="165" fontId="23" fillId="0" borderId="1" xfId="0" applyNumberFormat="1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/>
    </xf>
    <xf numFmtId="165" fontId="21" fillId="0" borderId="1" xfId="0" applyNumberFormat="1" applyFont="1" applyBorder="1" applyAlignment="1">
      <alignment horizontal="center"/>
    </xf>
    <xf numFmtId="165" fontId="23" fillId="0" borderId="1" xfId="0" applyNumberFormat="1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1" fontId="48" fillId="0" borderId="0" xfId="0" applyNumberFormat="1" applyFont="1" applyFill="1" applyBorder="1" applyAlignment="1">
      <alignment horizontal="centerContinuous" vertical="top"/>
    </xf>
    <xf numFmtId="2" fontId="48" fillId="0" borderId="0" xfId="0" applyNumberFormat="1" applyFont="1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1" fillId="0" borderId="5" xfId="0" applyFont="1" applyFill="1" applyBorder="1" applyAlignment="1">
      <alignment horizontal="left" vertical="top"/>
    </xf>
    <xf numFmtId="0" fontId="48" fillId="0" borderId="6" xfId="0" applyFont="1" applyBorder="1" applyAlignment="1">
      <alignment horizontal="center"/>
    </xf>
    <xf numFmtId="1" fontId="48" fillId="0" borderId="5" xfId="0" applyNumberFormat="1" applyFont="1" applyFill="1" applyBorder="1" applyAlignment="1">
      <alignment horizontal="centerContinuous" vertical="top"/>
    </xf>
    <xf numFmtId="1" fontId="48" fillId="0" borderId="8" xfId="0" applyNumberFormat="1" applyFont="1" applyFill="1" applyBorder="1" applyAlignment="1">
      <alignment horizontal="center" vertical="top"/>
    </xf>
    <xf numFmtId="1" fontId="51" fillId="0" borderId="1" xfId="0" applyNumberFormat="1" applyFont="1" applyFill="1" applyBorder="1" applyAlignment="1">
      <alignment horizontal="center" vertical="top"/>
    </xf>
    <xf numFmtId="1" fontId="51" fillId="0" borderId="7" xfId="0" applyNumberFormat="1" applyFont="1" applyFill="1" applyBorder="1" applyAlignment="1">
      <alignment horizontal="center" vertical="top"/>
    </xf>
    <xf numFmtId="2" fontId="48" fillId="0" borderId="5" xfId="0" applyNumberFormat="1" applyFont="1" applyBorder="1" applyAlignment="1">
      <alignment horizontal="centerContinuous"/>
    </xf>
    <xf numFmtId="1" fontId="49" fillId="0" borderId="1" xfId="0" applyNumberFormat="1" applyFont="1" applyFill="1" applyBorder="1" applyAlignment="1">
      <alignment horizontal="center" vertical="top"/>
    </xf>
    <xf numFmtId="1" fontId="52" fillId="0" borderId="1" xfId="0" applyNumberFormat="1" applyFont="1" applyFill="1" applyBorder="1" applyAlignment="1">
      <alignment horizontal="center" vertical="top"/>
    </xf>
    <xf numFmtId="2" fontId="19" fillId="0" borderId="5" xfId="0" applyNumberFormat="1" applyFont="1" applyFill="1" applyBorder="1" applyAlignment="1" quotePrefix="1">
      <alignment horizontal="center"/>
    </xf>
    <xf numFmtId="1" fontId="19" fillId="0" borderId="5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" fontId="19" fillId="0" borderId="6" xfId="0" applyNumberFormat="1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165" fontId="14" fillId="0" borderId="3" xfId="0" applyNumberFormat="1" applyFont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2" fontId="14" fillId="0" borderId="6" xfId="0" applyNumberFormat="1" applyFont="1" applyBorder="1" applyAlignment="1">
      <alignment horizontal="center"/>
    </xf>
    <xf numFmtId="1" fontId="14" fillId="0" borderId="6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" fontId="7" fillId="0" borderId="9" xfId="0" applyNumberFormat="1" applyFont="1" applyBorder="1" applyAlignment="1">
      <alignment horizontal="center" vertical="top"/>
    </xf>
    <xf numFmtId="1" fontId="7" fillId="0" borderId="10" xfId="0" applyNumberFormat="1" applyFont="1" applyBorder="1" applyAlignment="1">
      <alignment horizontal="center" vertical="top"/>
    </xf>
    <xf numFmtId="2" fontId="14" fillId="0" borderId="4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top"/>
    </xf>
    <xf numFmtId="2" fontId="10" fillId="0" borderId="0" xfId="0" applyNumberFormat="1" applyFont="1" applyBorder="1" applyAlignment="1">
      <alignment horizontal="center" vertical="top"/>
    </xf>
    <xf numFmtId="2" fontId="14" fillId="0" borderId="2" xfId="0" applyNumberFormat="1" applyFont="1" applyBorder="1" applyAlignment="1">
      <alignment horizontal="center" vertical="top"/>
    </xf>
    <xf numFmtId="2" fontId="14" fillId="0" borderId="5" xfId="0" applyNumberFormat="1" applyFont="1" applyBorder="1" applyAlignment="1">
      <alignment horizontal="center" vertical="top"/>
    </xf>
    <xf numFmtId="1" fontId="7" fillId="0" borderId="11" xfId="0" applyNumberFormat="1" applyFont="1" applyBorder="1" applyAlignment="1">
      <alignment horizontal="center" vertical="top"/>
    </xf>
    <xf numFmtId="166" fontId="4" fillId="0" borderId="5" xfId="0" applyNumberFormat="1" applyFont="1" applyBorder="1" applyAlignment="1">
      <alignment horizontal="center" vertical="top"/>
    </xf>
    <xf numFmtId="166" fontId="4" fillId="0" borderId="8" xfId="0" applyNumberFormat="1" applyFont="1" applyBorder="1" applyAlignment="1">
      <alignment horizontal="center" vertical="top"/>
    </xf>
    <xf numFmtId="2" fontId="19" fillId="0" borderId="0" xfId="0" applyNumberFormat="1" applyFont="1" applyBorder="1" applyAlignment="1" quotePrefix="1">
      <alignment horizontal="left"/>
    </xf>
    <xf numFmtId="0" fontId="44" fillId="0" borderId="0" xfId="0" applyFont="1" applyAlignment="1">
      <alignment horizontal="left"/>
    </xf>
    <xf numFmtId="1" fontId="31" fillId="0" borderId="11" xfId="0" applyNumberFormat="1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4" fillId="0" borderId="2" xfId="0" applyFont="1" applyBorder="1" applyAlignment="1">
      <alignment/>
    </xf>
    <xf numFmtId="0" fontId="54" fillId="0" borderId="3" xfId="0" applyFont="1" applyBorder="1" applyAlignment="1">
      <alignment/>
    </xf>
    <xf numFmtId="0" fontId="54" fillId="0" borderId="4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4" fillId="0" borderId="8" xfId="0" applyFont="1" applyBorder="1" applyAlignment="1">
      <alignment/>
    </xf>
    <xf numFmtId="0" fontId="54" fillId="0" borderId="1" xfId="0" applyFont="1" applyBorder="1" applyAlignment="1">
      <alignment/>
    </xf>
    <xf numFmtId="0" fontId="54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54" fillId="0" borderId="5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6" xfId="0" applyFont="1" applyBorder="1" applyAlignment="1">
      <alignment/>
    </xf>
    <xf numFmtId="0" fontId="54" fillId="0" borderId="13" xfId="0" applyFont="1" applyBorder="1" applyAlignment="1">
      <alignment horizontal="center"/>
    </xf>
    <xf numFmtId="2" fontId="54" fillId="0" borderId="13" xfId="0" applyNumberFormat="1" applyFont="1" applyBorder="1" applyAlignment="1">
      <alignment horizontal="center"/>
    </xf>
    <xf numFmtId="1" fontId="54" fillId="0" borderId="13" xfId="0" applyNumberFormat="1" applyFont="1" applyBorder="1" applyAlignment="1">
      <alignment horizontal="center"/>
    </xf>
    <xf numFmtId="0" fontId="54" fillId="0" borderId="14" xfId="0" applyFont="1" applyBorder="1" applyAlignment="1">
      <alignment/>
    </xf>
    <xf numFmtId="0" fontId="54" fillId="0" borderId="7" xfId="0" applyFont="1" applyBorder="1" applyAlignment="1">
      <alignment/>
    </xf>
    <xf numFmtId="0" fontId="54" fillId="0" borderId="14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167" fontId="0" fillId="0" borderId="5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/>
    </xf>
    <xf numFmtId="166" fontId="0" fillId="0" borderId="6" xfId="0" applyNumberFormat="1" applyFont="1" applyBorder="1" applyAlignment="1">
      <alignment horizontal="center"/>
    </xf>
    <xf numFmtId="166" fontId="0" fillId="0" borderId="5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7" fillId="0" borderId="8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166" fontId="0" fillId="0" borderId="8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/>
    </xf>
    <xf numFmtId="166" fontId="0" fillId="0" borderId="7" xfId="0" applyNumberFormat="1" applyFont="1" applyBorder="1" applyAlignment="1">
      <alignment horizontal="center"/>
    </xf>
    <xf numFmtId="166" fontId="7" fillId="0" borderId="5" xfId="0" applyNumberFormat="1" applyFont="1" applyBorder="1" applyAlignment="1">
      <alignment horizontal="center" vertical="top"/>
    </xf>
    <xf numFmtId="166" fontId="7" fillId="0" borderId="8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2" fontId="0" fillId="0" borderId="6" xfId="0" applyNumberFormat="1" applyFont="1" applyBorder="1" applyAlignment="1">
      <alignment horizontal="center"/>
    </xf>
    <xf numFmtId="165" fontId="21" fillId="0" borderId="6" xfId="0" applyNumberFormat="1" applyFont="1" applyFill="1" applyBorder="1" applyAlignment="1">
      <alignment horizontal="right" vertical="top"/>
    </xf>
    <xf numFmtId="165" fontId="21" fillId="0" borderId="7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2" fontId="7" fillId="0" borderId="8" xfId="0" applyNumberFormat="1" applyFont="1" applyBorder="1" applyAlignment="1">
      <alignment horizontal="center" vertical="top"/>
    </xf>
    <xf numFmtId="2" fontId="0" fillId="0" borderId="7" xfId="0" applyNumberFormat="1" applyFont="1" applyBorder="1" applyAlignment="1">
      <alignment horizontal="center"/>
    </xf>
    <xf numFmtId="1" fontId="21" fillId="0" borderId="2" xfId="0" applyNumberFormat="1" applyFont="1" applyFill="1" applyBorder="1" applyAlignment="1">
      <alignment horizontal="center" vertical="top"/>
    </xf>
    <xf numFmtId="1" fontId="23" fillId="0" borderId="3" xfId="0" applyNumberFormat="1" applyFont="1" applyFill="1" applyBorder="1" applyAlignment="1">
      <alignment horizontal="center" vertical="top"/>
    </xf>
    <xf numFmtId="1" fontId="21" fillId="0" borderId="3" xfId="0" applyNumberFormat="1" applyFont="1" applyFill="1" applyBorder="1" applyAlignment="1">
      <alignment horizontal="center" vertical="top"/>
    </xf>
    <xf numFmtId="165" fontId="46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8" fillId="0" borderId="6" xfId="0" applyNumberFormat="1" applyFont="1" applyFill="1" applyBorder="1" applyAlignment="1">
      <alignment horizontal="center" vertical="top"/>
    </xf>
    <xf numFmtId="165" fontId="21" fillId="0" borderId="6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166" fontId="7" fillId="0" borderId="0" xfId="0" applyNumberFormat="1" applyFont="1" applyFill="1" applyBorder="1" applyAlignment="1">
      <alignment vertical="top"/>
    </xf>
    <xf numFmtId="0" fontId="4" fillId="0" borderId="9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167" fontId="0" fillId="0" borderId="0" xfId="0" applyNumberFormat="1" applyFont="1" applyAlignment="1">
      <alignment/>
    </xf>
    <xf numFmtId="167" fontId="4" fillId="0" borderId="12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/>
    </xf>
    <xf numFmtId="166" fontId="7" fillId="0" borderId="0" xfId="0" applyNumberFormat="1" applyFont="1" applyFill="1" applyBorder="1" applyAlignment="1">
      <alignment horizontal="center" vertical="top"/>
    </xf>
    <xf numFmtId="0" fontId="0" fillId="0" borderId="3" xfId="0" applyFont="1" applyBorder="1" applyAlignment="1">
      <alignment/>
    </xf>
    <xf numFmtId="167" fontId="0" fillId="0" borderId="6" xfId="0" applyNumberFormat="1" applyFont="1" applyBorder="1" applyAlignment="1">
      <alignment/>
    </xf>
    <xf numFmtId="2" fontId="0" fillId="0" borderId="0" xfId="0" applyNumberFormat="1" applyFont="1" applyAlignment="1">
      <alignment horizontal="center"/>
    </xf>
    <xf numFmtId="1" fontId="4" fillId="0" borderId="2" xfId="0" applyNumberFormat="1" applyFont="1" applyBorder="1" applyAlignment="1">
      <alignment horizontal="center" vertical="top"/>
    </xf>
    <xf numFmtId="1" fontId="4" fillId="0" borderId="3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2" fontId="0" fillId="0" borderId="0" xfId="0" applyNumberFormat="1" applyFont="1" applyAlignment="1">
      <alignment/>
    </xf>
    <xf numFmtId="167" fontId="0" fillId="0" borderId="8" xfId="0" applyNumberFormat="1" applyFont="1" applyBorder="1" applyAlignment="1">
      <alignment/>
    </xf>
    <xf numFmtId="167" fontId="0" fillId="0" borderId="7" xfId="0" applyNumberFormat="1" applyFont="1" applyBorder="1" applyAlignment="1">
      <alignment/>
    </xf>
    <xf numFmtId="0" fontId="55" fillId="0" borderId="12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1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" fontId="4" fillId="0" borderId="9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0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/>
    </xf>
    <xf numFmtId="167" fontId="4" fillId="0" borderId="0" xfId="0" applyNumberFormat="1" applyFont="1" applyFill="1" applyBorder="1" applyAlignment="1">
      <alignment vertical="top"/>
    </xf>
    <xf numFmtId="0" fontId="4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7" fontId="4" fillId="0" borderId="14" xfId="0" applyNumberFormat="1" applyFont="1" applyBorder="1" applyAlignment="1">
      <alignment horizontal="center"/>
    </xf>
    <xf numFmtId="167" fontId="0" fillId="0" borderId="14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 vertical="top"/>
    </xf>
    <xf numFmtId="1" fontId="4" fillId="0" borderId="4" xfId="0" applyNumberFormat="1" applyFont="1" applyBorder="1" applyAlignment="1">
      <alignment horizontal="center" vertical="top"/>
    </xf>
    <xf numFmtId="1" fontId="52" fillId="0" borderId="7" xfId="0" applyNumberFormat="1" applyFont="1" applyFill="1" applyBorder="1" applyAlignment="1">
      <alignment horizontal="center" vertical="top"/>
    </xf>
    <xf numFmtId="2" fontId="21" fillId="0" borderId="2" xfId="0" applyNumberFormat="1" applyFont="1" applyBorder="1" applyAlignment="1">
      <alignment horizontal="center"/>
    </xf>
    <xf numFmtId="2" fontId="23" fillId="0" borderId="3" xfId="0" applyNumberFormat="1" applyFont="1" applyBorder="1" applyAlignment="1">
      <alignment horizontal="center"/>
    </xf>
    <xf numFmtId="2" fontId="21" fillId="0" borderId="3" xfId="0" applyNumberFormat="1" applyFont="1" applyBorder="1" applyAlignment="1">
      <alignment horizontal="center"/>
    </xf>
    <xf numFmtId="0" fontId="46" fillId="0" borderId="3" xfId="0" applyFont="1" applyBorder="1" applyAlignment="1">
      <alignment horizontal="center"/>
    </xf>
    <xf numFmtId="0" fontId="47" fillId="0" borderId="3" xfId="0" applyFont="1" applyBorder="1" applyAlignment="1">
      <alignment horizontal="center"/>
    </xf>
    <xf numFmtId="2" fontId="21" fillId="0" borderId="5" xfId="0" applyNumberFormat="1" applyFont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1" fontId="47" fillId="0" borderId="6" xfId="0" applyNumberFormat="1" applyFont="1" applyBorder="1" applyAlignment="1">
      <alignment horizontal="center"/>
    </xf>
    <xf numFmtId="1" fontId="21" fillId="0" borderId="8" xfId="0" applyNumberFormat="1" applyFont="1" applyBorder="1" applyAlignment="1">
      <alignment horizontal="center"/>
    </xf>
    <xf numFmtId="1" fontId="47" fillId="0" borderId="7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 quotePrefix="1">
      <alignment horizontal="center"/>
    </xf>
    <xf numFmtId="2" fontId="41" fillId="0" borderId="3" xfId="0" applyNumberFormat="1" applyFont="1" applyFill="1" applyBorder="1" applyAlignment="1">
      <alignment horizontal="center"/>
    </xf>
    <xf numFmtId="165" fontId="45" fillId="0" borderId="0" xfId="0" applyNumberFormat="1" applyFont="1" applyFill="1" applyBorder="1" applyAlignment="1" quotePrefix="1">
      <alignment horizontal="center"/>
    </xf>
    <xf numFmtId="2" fontId="26" fillId="0" borderId="3" xfId="0" applyNumberFormat="1" applyFont="1" applyFill="1" applyBorder="1" applyAlignment="1">
      <alignment horizontal="center"/>
    </xf>
    <xf numFmtId="0" fontId="42" fillId="0" borderId="6" xfId="0" applyFont="1" applyFill="1" applyBorder="1" applyAlignment="1">
      <alignment/>
    </xf>
    <xf numFmtId="165" fontId="45" fillId="0" borderId="0" xfId="0" applyNumberFormat="1" applyFont="1" applyFill="1" applyBorder="1" applyAlignment="1">
      <alignment horizontal="center"/>
    </xf>
    <xf numFmtId="165" fontId="26" fillId="0" borderId="4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 vertical="top"/>
    </xf>
    <xf numFmtId="166" fontId="7" fillId="0" borderId="1" xfId="0" applyNumberFormat="1" applyFont="1" applyBorder="1" applyAlignment="1">
      <alignment horizontal="center" vertical="top"/>
    </xf>
    <xf numFmtId="2" fontId="7" fillId="0" borderId="0" xfId="0" applyNumberFormat="1" applyFont="1" applyBorder="1" applyAlignment="1">
      <alignment horizontal="center" vertical="top"/>
    </xf>
    <xf numFmtId="164" fontId="0" fillId="0" borderId="6" xfId="0" applyNumberFormat="1" applyFont="1" applyBorder="1" applyAlignment="1">
      <alignment/>
    </xf>
    <xf numFmtId="2" fontId="7" fillId="0" borderId="1" xfId="0" applyNumberFormat="1" applyFont="1" applyBorder="1" applyAlignment="1">
      <alignment horizontal="center" vertical="top"/>
    </xf>
    <xf numFmtId="164" fontId="0" fillId="0" borderId="7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" fontId="7" fillId="0" borderId="5" xfId="0" applyNumberFormat="1" applyFont="1" applyBorder="1" applyAlignment="1">
      <alignment horizontal="center" vertical="top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166" fontId="0" fillId="0" borderId="6" xfId="0" applyNumberFormat="1" applyFont="1" applyBorder="1" applyAlignment="1">
      <alignment/>
    </xf>
    <xf numFmtId="166" fontId="0" fillId="0" borderId="7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167" fontId="7" fillId="0" borderId="12" xfId="0" applyNumberFormat="1" applyFont="1" applyBorder="1" applyAlignment="1">
      <alignment horizontal="center"/>
    </xf>
    <xf numFmtId="167" fontId="0" fillId="0" borderId="6" xfId="0" applyNumberFormat="1" applyFont="1" applyBorder="1" applyAlignment="1">
      <alignment horizontal="center"/>
    </xf>
    <xf numFmtId="167" fontId="0" fillId="0" borderId="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6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1" fontId="7" fillId="0" borderId="6" xfId="0" applyNumberFormat="1" applyFont="1" applyBorder="1" applyAlignment="1">
      <alignment horizontal="center" vertical="top"/>
    </xf>
    <xf numFmtId="166" fontId="0" fillId="0" borderId="5" xfId="0" applyNumberFormat="1" applyFont="1" applyBorder="1" applyAlignment="1">
      <alignment horizontal="center" vertical="top"/>
    </xf>
    <xf numFmtId="166" fontId="0" fillId="0" borderId="8" xfId="0" applyNumberFormat="1" applyFont="1" applyBorder="1" applyAlignment="1">
      <alignment horizontal="center" vertical="top"/>
    </xf>
    <xf numFmtId="0" fontId="0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4" xfId="0" applyFont="1" applyBorder="1" applyAlignment="1">
      <alignment/>
    </xf>
    <xf numFmtId="0" fontId="40" fillId="0" borderId="6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58" fillId="0" borderId="11" xfId="0" applyFont="1" applyBorder="1" applyAlignment="1">
      <alignment horizontal="center"/>
    </xf>
    <xf numFmtId="0" fontId="62" fillId="0" borderId="0" xfId="0" applyFont="1" applyAlignment="1">
      <alignment horizontal="left" vertical="top" wrapText="1"/>
    </xf>
    <xf numFmtId="2" fontId="38" fillId="0" borderId="0" xfId="0" applyNumberFormat="1" applyFont="1" applyAlignment="1">
      <alignment horizontal="center"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" fontId="0" fillId="0" borderId="6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56" fillId="0" borderId="0" xfId="0" applyFont="1" applyAlignment="1">
      <alignment/>
    </xf>
    <xf numFmtId="1" fontId="56" fillId="0" borderId="0" xfId="0" applyNumberFormat="1" applyFont="1" applyAlignment="1">
      <alignment/>
    </xf>
    <xf numFmtId="0" fontId="56" fillId="0" borderId="2" xfId="0" applyFont="1" applyBorder="1" applyAlignment="1">
      <alignment horizontal="center"/>
    </xf>
    <xf numFmtId="0" fontId="56" fillId="0" borderId="4" xfId="0" applyFont="1" applyBorder="1" applyAlignment="1">
      <alignment/>
    </xf>
    <xf numFmtId="0" fontId="56" fillId="0" borderId="5" xfId="0" applyFont="1" applyBorder="1" applyAlignment="1">
      <alignment/>
    </xf>
    <xf numFmtId="0" fontId="56" fillId="0" borderId="5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6" xfId="0" applyFont="1" applyBorder="1" applyAlignment="1">
      <alignment/>
    </xf>
    <xf numFmtId="0" fontId="56" fillId="0" borderId="6" xfId="0" applyFont="1" applyBorder="1" applyAlignment="1">
      <alignment horizontal="center"/>
    </xf>
    <xf numFmtId="1" fontId="56" fillId="0" borderId="6" xfId="0" applyNumberFormat="1" applyFont="1" applyBorder="1" applyAlignment="1">
      <alignment horizontal="center"/>
    </xf>
    <xf numFmtId="0" fontId="58" fillId="0" borderId="9" xfId="0" applyFont="1" applyBorder="1" applyAlignment="1">
      <alignment horizontal="center"/>
    </xf>
    <xf numFmtId="1" fontId="56" fillId="0" borderId="13" xfId="0" applyNumberFormat="1" applyFont="1" applyBorder="1" applyAlignment="1">
      <alignment horizontal="center"/>
    </xf>
    <xf numFmtId="0" fontId="56" fillId="0" borderId="13" xfId="0" applyFont="1" applyBorder="1" applyAlignment="1">
      <alignment/>
    </xf>
    <xf numFmtId="0" fontId="56" fillId="0" borderId="15" xfId="0" applyFont="1" applyBorder="1" applyAlignment="1">
      <alignment horizontal="center"/>
    </xf>
    <xf numFmtId="0" fontId="56" fillId="0" borderId="3" xfId="0" applyFont="1" applyBorder="1" applyAlignment="1">
      <alignment horizontal="center"/>
    </xf>
    <xf numFmtId="0" fontId="56" fillId="0" borderId="4" xfId="0" applyFont="1" applyBorder="1" applyAlignment="1">
      <alignment horizontal="left"/>
    </xf>
    <xf numFmtId="1" fontId="56" fillId="0" borderId="15" xfId="0" applyNumberFormat="1" applyFont="1" applyBorder="1" applyAlignment="1">
      <alignment horizontal="center"/>
    </xf>
    <xf numFmtId="1" fontId="56" fillId="0" borderId="3" xfId="0" applyNumberFormat="1" applyFont="1" applyBorder="1" applyAlignment="1">
      <alignment horizontal="center"/>
    </xf>
    <xf numFmtId="0" fontId="56" fillId="0" borderId="4" xfId="0" applyFont="1" applyBorder="1" applyAlignment="1">
      <alignment horizontal="center"/>
    </xf>
    <xf numFmtId="1" fontId="56" fillId="0" borderId="2" xfId="0" applyNumberFormat="1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6" xfId="0" applyFont="1" applyBorder="1" applyAlignment="1">
      <alignment horizontal="left"/>
    </xf>
    <xf numFmtId="1" fontId="56" fillId="0" borderId="0" xfId="0" applyNumberFormat="1" applyFont="1" applyBorder="1" applyAlignment="1">
      <alignment horizontal="center"/>
    </xf>
    <xf numFmtId="165" fontId="56" fillId="0" borderId="13" xfId="0" applyNumberFormat="1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8" xfId="0" applyFont="1" applyBorder="1" applyAlignment="1">
      <alignment horizontal="center"/>
    </xf>
    <xf numFmtId="0" fontId="56" fillId="0" borderId="1" xfId="0" applyFont="1" applyBorder="1" applyAlignment="1">
      <alignment horizontal="center"/>
    </xf>
    <xf numFmtId="0" fontId="56" fillId="0" borderId="7" xfId="0" applyFont="1" applyBorder="1" applyAlignment="1">
      <alignment horizontal="left"/>
    </xf>
    <xf numFmtId="165" fontId="56" fillId="0" borderId="14" xfId="0" applyNumberFormat="1" applyFont="1" applyBorder="1" applyAlignment="1">
      <alignment horizontal="center"/>
    </xf>
    <xf numFmtId="1" fontId="56" fillId="0" borderId="1" xfId="0" applyNumberFormat="1" applyFont="1" applyBorder="1" applyAlignment="1">
      <alignment horizontal="center"/>
    </xf>
    <xf numFmtId="0" fontId="56" fillId="0" borderId="7" xfId="0" applyFont="1" applyBorder="1" applyAlignment="1">
      <alignment horizontal="center"/>
    </xf>
    <xf numFmtId="1" fontId="4" fillId="0" borderId="0" xfId="0" applyNumberFormat="1" applyFont="1" applyAlignment="1">
      <alignment/>
    </xf>
    <xf numFmtId="165" fontId="0" fillId="0" borderId="7" xfId="0" applyNumberFormat="1" applyBorder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1" fontId="58" fillId="0" borderId="0" xfId="0" applyNumberFormat="1" applyFont="1" applyAlignment="1">
      <alignment/>
    </xf>
    <xf numFmtId="0" fontId="60" fillId="0" borderId="0" xfId="0" applyFont="1" applyAlignment="1">
      <alignment/>
    </xf>
    <xf numFmtId="0" fontId="59" fillId="0" borderId="2" xfId="0" applyFont="1" applyBorder="1" applyAlignment="1">
      <alignment horizontal="left"/>
    </xf>
    <xf numFmtId="0" fontId="59" fillId="0" borderId="4" xfId="0" applyFont="1" applyBorder="1" applyAlignment="1">
      <alignment/>
    </xf>
    <xf numFmtId="0" fontId="60" fillId="0" borderId="5" xfId="0" applyFont="1" applyBorder="1" applyAlignment="1">
      <alignment horizontal="left"/>
    </xf>
    <xf numFmtId="0" fontId="60" fillId="0" borderId="6" xfId="0" applyFont="1" applyBorder="1" applyAlignment="1">
      <alignment/>
    </xf>
    <xf numFmtId="0" fontId="59" fillId="0" borderId="5" xfId="0" applyFont="1" applyBorder="1" applyAlignment="1">
      <alignment horizontal="left"/>
    </xf>
    <xf numFmtId="0" fontId="59" fillId="0" borderId="6" xfId="0" applyFont="1" applyBorder="1" applyAlignment="1">
      <alignment/>
    </xf>
    <xf numFmtId="0" fontId="59" fillId="0" borderId="8" xfId="0" applyFont="1" applyBorder="1" applyAlignment="1">
      <alignment horizontal="left"/>
    </xf>
    <xf numFmtId="0" fontId="60" fillId="0" borderId="7" xfId="0" applyFont="1" applyBorder="1" applyAlignment="1">
      <alignment/>
    </xf>
    <xf numFmtId="165" fontId="59" fillId="0" borderId="5" xfId="0" applyNumberFormat="1" applyFont="1" applyBorder="1" applyAlignment="1">
      <alignment horizontal="center"/>
    </xf>
    <xf numFmtId="165" fontId="59" fillId="0" borderId="6" xfId="0" applyNumberFormat="1" applyFont="1" applyBorder="1" applyAlignment="1">
      <alignment horizontal="center"/>
    </xf>
    <xf numFmtId="165" fontId="60" fillId="0" borderId="5" xfId="0" applyNumberFormat="1" applyFont="1" applyBorder="1" applyAlignment="1">
      <alignment horizontal="center"/>
    </xf>
    <xf numFmtId="165" fontId="60" fillId="0" borderId="6" xfId="0" applyNumberFormat="1" applyFont="1" applyBorder="1" applyAlignment="1">
      <alignment horizontal="center"/>
    </xf>
    <xf numFmtId="165" fontId="60" fillId="0" borderId="8" xfId="0" applyNumberFormat="1" applyFont="1" applyBorder="1" applyAlignment="1">
      <alignment horizontal="center"/>
    </xf>
    <xf numFmtId="165" fontId="60" fillId="0" borderId="7" xfId="0" applyNumberFormat="1" applyFont="1" applyBorder="1" applyAlignment="1">
      <alignment horizontal="center"/>
    </xf>
    <xf numFmtId="0" fontId="58" fillId="0" borderId="2" xfId="0" applyFont="1" applyBorder="1" applyAlignment="1">
      <alignment horizontal="left"/>
    </xf>
    <xf numFmtId="0" fontId="58" fillId="0" borderId="5" xfId="0" applyFont="1" applyBorder="1" applyAlignment="1">
      <alignment horizontal="center"/>
    </xf>
    <xf numFmtId="0" fontId="58" fillId="0" borderId="8" xfId="0" applyFont="1" applyBorder="1" applyAlignment="1">
      <alignment horizontal="left"/>
    </xf>
    <xf numFmtId="0" fontId="58" fillId="0" borderId="7" xfId="0" applyFont="1" applyBorder="1" applyAlignment="1">
      <alignment horizontal="center"/>
    </xf>
    <xf numFmtId="0" fontId="58" fillId="0" borderId="9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61" fillId="0" borderId="5" xfId="0" applyFont="1" applyBorder="1" applyAlignment="1">
      <alignment horizontal="left"/>
    </xf>
    <xf numFmtId="0" fontId="61" fillId="0" borderId="6" xfId="0" applyFont="1" applyBorder="1" applyAlignment="1">
      <alignment/>
    </xf>
    <xf numFmtId="0" fontId="58" fillId="0" borderId="5" xfId="0" applyFont="1" applyBorder="1" applyAlignment="1">
      <alignment horizontal="left"/>
    </xf>
    <xf numFmtId="0" fontId="58" fillId="0" borderId="6" xfId="0" applyFont="1" applyBorder="1" applyAlignment="1">
      <alignment/>
    </xf>
    <xf numFmtId="0" fontId="61" fillId="0" borderId="7" xfId="0" applyFont="1" applyBorder="1" applyAlignment="1">
      <alignment/>
    </xf>
    <xf numFmtId="1" fontId="58" fillId="0" borderId="5" xfId="0" applyNumberFormat="1" applyFont="1" applyBorder="1" applyAlignment="1">
      <alignment/>
    </xf>
    <xf numFmtId="1" fontId="58" fillId="0" borderId="6" xfId="0" applyNumberFormat="1" applyFont="1" applyBorder="1" applyAlignment="1">
      <alignment/>
    </xf>
    <xf numFmtId="1" fontId="61" fillId="0" borderId="5" xfId="0" applyNumberFormat="1" applyFont="1" applyBorder="1" applyAlignment="1">
      <alignment/>
    </xf>
    <xf numFmtId="1" fontId="61" fillId="0" borderId="6" xfId="0" applyNumberFormat="1" applyFont="1" applyBorder="1" applyAlignment="1">
      <alignment/>
    </xf>
    <xf numFmtId="1" fontId="61" fillId="0" borderId="8" xfId="0" applyNumberFormat="1" applyFont="1" applyBorder="1" applyAlignment="1">
      <alignment/>
    </xf>
    <xf numFmtId="1" fontId="61" fillId="0" borderId="7" xfId="0" applyNumberFormat="1" applyFont="1" applyBorder="1" applyAlignment="1">
      <alignment/>
    </xf>
    <xf numFmtId="0" fontId="63" fillId="0" borderId="5" xfId="0" applyFont="1" applyBorder="1" applyAlignment="1">
      <alignment horizontal="left"/>
    </xf>
    <xf numFmtId="0" fontId="63" fillId="0" borderId="6" xfId="0" applyFont="1" applyBorder="1" applyAlignment="1">
      <alignment/>
    </xf>
    <xf numFmtId="0" fontId="54" fillId="0" borderId="2" xfId="0" applyFont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56" fillId="0" borderId="9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1" fontId="56" fillId="0" borderId="9" xfId="0" applyNumberFormat="1" applyFont="1" applyBorder="1" applyAlignment="1">
      <alignment horizontal="center"/>
    </xf>
    <xf numFmtId="1" fontId="56" fillId="0" borderId="1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40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2" fillId="0" borderId="5" xfId="0" applyFont="1" applyBorder="1" applyAlignment="1">
      <alignment horizontal="center" vertical="top" wrapText="1"/>
    </xf>
    <xf numFmtId="0" fontId="44" fillId="0" borderId="6" xfId="0" applyFont="1" applyBorder="1" applyAlignment="1">
      <alignment horizontal="center" vertical="top" wrapText="1"/>
    </xf>
    <xf numFmtId="1" fontId="63" fillId="0" borderId="5" xfId="0" applyNumberFormat="1" applyFont="1" applyBorder="1" applyAlignment="1">
      <alignment horizontal="center" vertical="top" wrapText="1"/>
    </xf>
    <xf numFmtId="1" fontId="63" fillId="0" borderId="6" xfId="0" applyNumberFormat="1" applyFont="1" applyBorder="1" applyAlignment="1">
      <alignment horizontal="center" vertical="top" wrapText="1"/>
    </xf>
    <xf numFmtId="2" fontId="31" fillId="0" borderId="0" xfId="0" applyNumberFormat="1" applyFont="1" applyAlignment="1">
      <alignment horizontal="center"/>
    </xf>
    <xf numFmtId="1" fontId="31" fillId="0" borderId="0" xfId="0" applyNumberFormat="1" applyFont="1" applyAlignment="1">
      <alignment horizontal="center"/>
    </xf>
    <xf numFmtId="165" fontId="42" fillId="0" borderId="2" xfId="0" applyNumberFormat="1" applyFont="1" applyFill="1" applyBorder="1" applyAlignment="1">
      <alignment horizontal="center"/>
    </xf>
    <xf numFmtId="165" fontId="42" fillId="0" borderId="3" xfId="0" applyNumberFormat="1" applyFont="1" applyFill="1" applyBorder="1" applyAlignment="1">
      <alignment horizontal="center"/>
    </xf>
    <xf numFmtId="165" fontId="42" fillId="0" borderId="4" xfId="0" applyNumberFormat="1" applyFont="1" applyFill="1" applyBorder="1" applyAlignment="1">
      <alignment horizontal="center"/>
    </xf>
    <xf numFmtId="1" fontId="21" fillId="0" borderId="2" xfId="0" applyNumberFormat="1" applyFont="1" applyFill="1" applyBorder="1" applyAlignment="1">
      <alignment horizontal="center" vertical="top"/>
    </xf>
    <xf numFmtId="1" fontId="21" fillId="0" borderId="3" xfId="0" applyNumberFormat="1" applyFont="1" applyFill="1" applyBorder="1" applyAlignment="1">
      <alignment horizontal="center" vertical="top"/>
    </xf>
    <xf numFmtId="1" fontId="21" fillId="0" borderId="4" xfId="0" applyNumberFormat="1" applyFont="1" applyFill="1" applyBorder="1" applyAlignment="1">
      <alignment horizontal="center" vertical="top"/>
    </xf>
    <xf numFmtId="1" fontId="21" fillId="0" borderId="5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" fontId="21" fillId="0" borderId="6" xfId="0" applyNumberFormat="1" applyFont="1" applyFill="1" applyBorder="1" applyAlignment="1">
      <alignment horizontal="center" vertical="top" wrapText="1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2" fontId="49" fillId="0" borderId="0" xfId="0" applyNumberFormat="1" applyFont="1" applyBorder="1" applyAlignment="1">
      <alignment horizontal="center"/>
    </xf>
    <xf numFmtId="2" fontId="49" fillId="0" borderId="6" xfId="0" applyNumberFormat="1" applyFont="1" applyBorder="1" applyAlignment="1">
      <alignment horizontal="center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vertical="top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47" fillId="0" borderId="0" xfId="0" applyFont="1" applyAlignment="1">
      <alignment horizontal="left" vertical="top" wrapText="1"/>
    </xf>
    <xf numFmtId="0" fontId="59" fillId="0" borderId="4" xfId="0" applyFont="1" applyBorder="1" applyAlignment="1">
      <alignment horizontal="center"/>
    </xf>
    <xf numFmtId="0" fontId="59" fillId="0" borderId="9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5" xfId="0" applyFont="1" applyBorder="1" applyAlignment="1">
      <alignment/>
    </xf>
    <xf numFmtId="0" fontId="59" fillId="0" borderId="7" xfId="0" applyFont="1" applyBorder="1" applyAlignment="1">
      <alignment horizontal="center"/>
    </xf>
    <xf numFmtId="0" fontId="59" fillId="0" borderId="9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2" fillId="0" borderId="6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/>
    </xf>
    <xf numFmtId="0" fontId="56" fillId="0" borderId="2" xfId="0" applyFont="1" applyBorder="1" applyAlignment="1">
      <alignment/>
    </xf>
    <xf numFmtId="0" fontId="56" fillId="0" borderId="3" xfId="0" applyFont="1" applyBorder="1" applyAlignment="1">
      <alignment/>
    </xf>
    <xf numFmtId="0" fontId="56" fillId="0" borderId="3" xfId="0" applyFont="1" applyBorder="1" applyAlignment="1">
      <alignment vertical="top"/>
    </xf>
    <xf numFmtId="0" fontId="56" fillId="0" borderId="9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6" fillId="0" borderId="0" xfId="0" applyFont="1" applyBorder="1" applyAlignment="1">
      <alignment/>
    </xf>
    <xf numFmtId="0" fontId="56" fillId="0" borderId="12" xfId="0" applyFont="1" applyBorder="1" applyAlignment="1">
      <alignment horizontal="center"/>
    </xf>
    <xf numFmtId="0" fontId="56" fillId="0" borderId="8" xfId="0" applyFont="1" applyBorder="1" applyAlignment="1">
      <alignment/>
    </xf>
    <xf numFmtId="0" fontId="56" fillId="0" borderId="1" xfId="0" applyFont="1" applyBorder="1" applyAlignment="1">
      <alignment/>
    </xf>
    <xf numFmtId="0" fontId="56" fillId="0" borderId="7" xfId="0" applyFont="1" applyBorder="1" applyAlignment="1">
      <alignment/>
    </xf>
    <xf numFmtId="0" fontId="56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I-002 sizing #1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tx>
            <c:strRef>
              <c:f>'I-001 5th sizing'!$C$100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'I-001 5th sizing'!$D$100:$V$100</c:f>
              <c:numCache>
                <c:ptCount val="19"/>
                <c:pt idx="0">
                  <c:v>7.629117428179742</c:v>
                </c:pt>
                <c:pt idx="1">
                  <c:v>7.533213700156732</c:v>
                </c:pt>
                <c:pt idx="2">
                  <c:v>7.632192440996016</c:v>
                </c:pt>
                <c:pt idx="3">
                  <c:v>7.958233109588499</c:v>
                </c:pt>
                <c:pt idx="5">
                  <c:v>7.349144747220673</c:v>
                </c:pt>
                <c:pt idx="6">
                  <c:v>7.356573272820586</c:v>
                </c:pt>
                <c:pt idx="7">
                  <c:v>7.608377242255831</c:v>
                </c:pt>
                <c:pt idx="9">
                  <c:v>7.259687183992867</c:v>
                </c:pt>
                <c:pt idx="10">
                  <c:v>7.339684902317189</c:v>
                </c:pt>
                <c:pt idx="11">
                  <c:v>7.506671716800878</c:v>
                </c:pt>
                <c:pt idx="14">
                  <c:v>6.910488417725304</c:v>
                </c:pt>
                <c:pt idx="15">
                  <c:v>7.067455451079902</c:v>
                </c:pt>
                <c:pt idx="16">
                  <c:v>7.602526951893291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'I-001 5th sizing'!$C$98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'I-001 5th sizing'!$D$98:$V$98</c:f>
              <c:numCache>
                <c:ptCount val="19"/>
                <c:pt idx="0">
                  <c:v>7.354579442227824</c:v>
                </c:pt>
                <c:pt idx="1">
                  <c:v>7.238759293531324</c:v>
                </c:pt>
                <c:pt idx="2">
                  <c:v>7.433874099286884</c:v>
                </c:pt>
                <c:pt idx="3">
                  <c:v>7.433874099286885</c:v>
                </c:pt>
                <c:pt idx="5">
                  <c:v>6.843591292395616</c:v>
                </c:pt>
                <c:pt idx="6">
                  <c:v>6.912198723898331</c:v>
                </c:pt>
                <c:pt idx="7">
                  <c:v>7.163551404767362</c:v>
                </c:pt>
                <c:pt idx="9">
                  <c:v>6.776332409915071</c:v>
                </c:pt>
                <c:pt idx="10">
                  <c:v>6.877723917295345</c:v>
                </c:pt>
                <c:pt idx="11">
                  <c:v>7.126530467275024</c:v>
                </c:pt>
                <c:pt idx="14">
                  <c:v>6.282385628326728</c:v>
                </c:pt>
                <c:pt idx="15">
                  <c:v>6.311137965298475</c:v>
                </c:pt>
                <c:pt idx="16">
                  <c:v>7.2769585510169765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'I-001 5th sizing'!$C$99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'I-001 5th sizing'!$D$99:$V$99</c:f>
              <c:numCache>
                <c:ptCount val="19"/>
                <c:pt idx="0">
                  <c:v>7.089890207803173</c:v>
                </c:pt>
                <c:pt idx="1">
                  <c:v>7.08989020780317</c:v>
                </c:pt>
                <c:pt idx="2">
                  <c:v>7.238759293531321</c:v>
                </c:pt>
                <c:pt idx="5">
                  <c:v>7.053624784745353</c:v>
                </c:pt>
                <c:pt idx="6">
                  <c:v>7.200958983904526</c:v>
                </c:pt>
                <c:pt idx="7">
                  <c:v>7.238759293531321</c:v>
                </c:pt>
                <c:pt idx="9">
                  <c:v>7.089890207803172</c:v>
                </c:pt>
                <c:pt idx="10">
                  <c:v>6.982195673001099</c:v>
                </c:pt>
                <c:pt idx="11">
                  <c:v>7.238759293531324</c:v>
                </c:pt>
                <c:pt idx="14">
                  <c:v>6.982195673001098</c:v>
                </c:pt>
                <c:pt idx="15">
                  <c:v>7.12653046727502</c:v>
                </c:pt>
                <c:pt idx="16">
                  <c:v>7.126530467275024</c:v>
                </c:pt>
              </c:numCache>
            </c:numRef>
          </c:yVal>
          <c:smooth val="1"/>
        </c:ser>
        <c:axId val="2500825"/>
        <c:axId val="22507426"/>
      </c:scatterChart>
      <c:valAx>
        <c:axId val="2500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Axial Position from Lead 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507426"/>
        <c:crosses val="autoZero"/>
        <c:crossBetween val="midCat"/>
        <c:dispUnits/>
      </c:valAx>
      <c:valAx>
        <c:axId val="22507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Coil Modulus [GPa]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008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'Table along length'!$X$67:$X$67</c:f>
              <c:strCache>
                <c:ptCount val="1"/>
                <c:pt idx="0">
                  <c:v>O-004 A 3rd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'Table along length'!$C$67:$U$67</c:f>
              <c:numCache>
                <c:ptCount val="19"/>
                <c:pt idx="0">
                  <c:v>306.83261366522737</c:v>
                </c:pt>
                <c:pt idx="1">
                  <c:v>305.8166116332233</c:v>
                </c:pt>
                <c:pt idx="2">
                  <c:v>310.38862077724156</c:v>
                </c:pt>
                <c:pt idx="3">
                  <c:v>307.8486156972315</c:v>
                </c:pt>
                <c:pt idx="4">
                  <c:v>311.40462280924567</c:v>
                </c:pt>
                <c:pt idx="5">
                  <c:v>308.35661671323345</c:v>
                </c:pt>
                <c:pt idx="6">
                  <c:v>301.244602489205</c:v>
                </c:pt>
                <c:pt idx="7">
                  <c:v>295.6565913131826</c:v>
                </c:pt>
                <c:pt idx="8">
                  <c:v>306.83261366522737</c:v>
                </c:pt>
                <c:pt idx="9">
                  <c:v>304.8006096012192</c:v>
                </c:pt>
                <c:pt idx="10">
                  <c:v>321.0566421132842</c:v>
                </c:pt>
                <c:pt idx="11">
                  <c:v>306.3246126492253</c:v>
                </c:pt>
                <c:pt idx="12">
                  <c:v>294.13258826517654</c:v>
                </c:pt>
                <c:pt idx="13">
                  <c:v>279.9085598171197</c:v>
                </c:pt>
                <c:pt idx="14">
                  <c:v>272.7965455930912</c:v>
                </c:pt>
                <c:pt idx="15">
                  <c:v>296.1645923291847</c:v>
                </c:pt>
                <c:pt idx="16">
                  <c:v>316.992633985268</c:v>
                </c:pt>
                <c:pt idx="17">
                  <c:v>315.9766319532639</c:v>
                </c:pt>
                <c:pt idx="18">
                  <c:v>295.14859029718065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'Table along length'!$X$68:$X$68</c:f>
              <c:strCache>
                <c:ptCount val="1"/>
                <c:pt idx="0">
                  <c:v>O-004 B 3rd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"/>
            <c:spPr>
              <a:ln w="12700">
                <a:solidFill>
                  <a:srgbClr val="FF00FF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FF00FF"/>
                </a:solidFill>
                <a:prstDash val="sysDot"/>
              </a:ln>
            </c:spPr>
            <c:marker>
              <c:symbol val="none"/>
            </c:marker>
          </c:dPt>
          <c:yVal>
            <c:numRef>
              <c:f>'Table along length'!$C$68:$U$68</c:f>
              <c:numCache>
                <c:ptCount val="19"/>
                <c:pt idx="0">
                  <c:v>306.83261366522737</c:v>
                </c:pt>
                <c:pt idx="1">
                  <c:v>311.9126238252477</c:v>
                </c:pt>
                <c:pt idx="2">
                  <c:v>310.3886207772416</c:v>
                </c:pt>
                <c:pt idx="3">
                  <c:v>310.3886207772416</c:v>
                </c:pt>
                <c:pt idx="4">
                  <c:v>307.3406146812294</c:v>
                </c:pt>
                <c:pt idx="5">
                  <c:v>306.83261366522737</c:v>
                </c:pt>
                <c:pt idx="6">
                  <c:v>300.73660147320294</c:v>
                </c:pt>
                <c:pt idx="7">
                  <c:v>306.32461264922534</c:v>
                </c:pt>
                <c:pt idx="8">
                  <c:v>334.77266954533917</c:v>
                </c:pt>
                <c:pt idx="9">
                  <c:v>323.08864617729233</c:v>
                </c:pt>
                <c:pt idx="10">
                  <c:v>336.8046736093473</c:v>
                </c:pt>
                <c:pt idx="11">
                  <c:v>345.44069088138184</c:v>
                </c:pt>
                <c:pt idx="12">
                  <c:v>335.0266700533401</c:v>
                </c:pt>
                <c:pt idx="13">
                  <c:v>339.8526797053594</c:v>
                </c:pt>
                <c:pt idx="14">
                  <c:v>339.8526797053594</c:v>
                </c:pt>
                <c:pt idx="15">
                  <c:v>315.4686309372619</c:v>
                </c:pt>
                <c:pt idx="16">
                  <c:v>325.12065024130044</c:v>
                </c:pt>
                <c:pt idx="17">
                  <c:v>342.39268478536957</c:v>
                </c:pt>
                <c:pt idx="18">
                  <c:v>348.48869697739394</c:v>
                </c:pt>
              </c:numCache>
            </c:numRef>
          </c:yVal>
          <c:smooth val="1"/>
        </c:ser>
        <c:axId val="35284995"/>
        <c:axId val="49129500"/>
      </c:scatterChart>
      <c:valAx>
        <c:axId val="35284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Axial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29500"/>
        <c:crosses val="autoZero"/>
        <c:crossBetween val="midCat"/>
        <c:dispUnits/>
      </c:valAx>
      <c:valAx>
        <c:axId val="4912950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Coil size [microns]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284995"/>
        <c:crosses val="autoZero"/>
        <c:crossBetween val="midCat"/>
        <c:dispUnits/>
        <c:majorUnit val="100"/>
        <c:minorUnit val="25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4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'Table along length'!$X$69:$X$69</c:f>
              <c:strCache>
                <c:ptCount val="1"/>
                <c:pt idx="0">
                  <c:v>O-004 A 4th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'Table along length'!$C$69:$U$69</c:f>
              <c:numCache>
                <c:ptCount val="19"/>
                <c:pt idx="0">
                  <c:v>296.1645923291847</c:v>
                </c:pt>
                <c:pt idx="1">
                  <c:v>296.1645923291847</c:v>
                </c:pt>
                <c:pt idx="2">
                  <c:v>307.3406146812294</c:v>
                </c:pt>
                <c:pt idx="3">
                  <c:v>299.21259842519686</c:v>
                </c:pt>
                <c:pt idx="4">
                  <c:v>0</c:v>
                </c:pt>
                <c:pt idx="5">
                  <c:v>302.2606045212091</c:v>
                </c:pt>
                <c:pt idx="6">
                  <c:v>289.0525781051562</c:v>
                </c:pt>
                <c:pt idx="7">
                  <c:v>284.98856997713995</c:v>
                </c:pt>
                <c:pt idx="8">
                  <c:v>295.1485902971806</c:v>
                </c:pt>
                <c:pt idx="9">
                  <c:v>0</c:v>
                </c:pt>
                <c:pt idx="10">
                  <c:v>311.40462280924567</c:v>
                </c:pt>
                <c:pt idx="11">
                  <c:v>301.75260350520705</c:v>
                </c:pt>
                <c:pt idx="12">
                  <c:v>282.95656591313184</c:v>
                </c:pt>
                <c:pt idx="13">
                  <c:v>272.7965455930912</c:v>
                </c:pt>
                <c:pt idx="14">
                  <c:v>0</c:v>
                </c:pt>
                <c:pt idx="15">
                  <c:v>286.00457200914406</c:v>
                </c:pt>
                <c:pt idx="16">
                  <c:v>299.7205994411989</c:v>
                </c:pt>
                <c:pt idx="17">
                  <c:v>295.1485902971806</c:v>
                </c:pt>
                <c:pt idx="18">
                  <c:v>281.94056388112773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'Table along length'!$X$70:$X$70</c:f>
              <c:strCache>
                <c:ptCount val="1"/>
                <c:pt idx="0">
                  <c:v>O-004 B 4th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'Table along length'!$C$70:$U$70</c:f>
              <c:numCache>
                <c:ptCount val="19"/>
                <c:pt idx="0">
                  <c:v>324.86664973329954</c:v>
                </c:pt>
                <c:pt idx="1">
                  <c:v>322.8346456692914</c:v>
                </c:pt>
                <c:pt idx="2">
                  <c:v>321.31064262128524</c:v>
                </c:pt>
                <c:pt idx="3">
                  <c:v>319.2786385572772</c:v>
                </c:pt>
                <c:pt idx="4">
                  <c:v>0</c:v>
                </c:pt>
                <c:pt idx="5">
                  <c:v>324.35864871729746</c:v>
                </c:pt>
                <c:pt idx="6">
                  <c:v>319.78663957327916</c:v>
                </c:pt>
                <c:pt idx="7">
                  <c:v>316.738633477267</c:v>
                </c:pt>
                <c:pt idx="8">
                  <c:v>327.4066548133097</c:v>
                </c:pt>
                <c:pt idx="9">
                  <c:v>0</c:v>
                </c:pt>
                <c:pt idx="10">
                  <c:v>330.96266192532386</c:v>
                </c:pt>
                <c:pt idx="11">
                  <c:v>333.50266700533405</c:v>
                </c:pt>
                <c:pt idx="12">
                  <c:v>328.93065786131575</c:v>
                </c:pt>
                <c:pt idx="13">
                  <c:v>327.4066548133097</c:v>
                </c:pt>
                <c:pt idx="14">
                  <c:v>0</c:v>
                </c:pt>
                <c:pt idx="15">
                  <c:v>315.21463042926086</c:v>
                </c:pt>
                <c:pt idx="16">
                  <c:v>317.246634493269</c:v>
                </c:pt>
                <c:pt idx="17">
                  <c:v>341.12268224536456</c:v>
                </c:pt>
                <c:pt idx="18">
                  <c:v>332.994665989332</c:v>
                </c:pt>
              </c:numCache>
            </c:numRef>
          </c:yVal>
          <c:smooth val="1"/>
        </c:ser>
        <c:axId val="39512317"/>
        <c:axId val="20066534"/>
      </c:scatterChart>
      <c:valAx>
        <c:axId val="39512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Axial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66534"/>
        <c:crosses val="autoZero"/>
        <c:crossBetween val="midCat"/>
        <c:dispUnits/>
      </c:valAx>
      <c:valAx>
        <c:axId val="20066534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Coil size [microns]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9512317"/>
        <c:crosses val="autoZero"/>
        <c:crossBetween val="midCat"/>
        <c:dispUnits/>
        <c:majorUnit val="100"/>
        <c:minorUnit val="25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4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HGQI-001 Side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25"/>
          <c:y val="0.31175"/>
          <c:w val="0.7195"/>
          <c:h val="0.046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'I-001 5th sizing'!$D$89:$V$89</c:f>
              <c:numCache/>
            </c:numRef>
          </c:xVal>
          <c:yVal>
            <c:numRef>
              <c:f>'I-001 5th sizing'!$D$104:$V$104</c:f>
              <c:numCache/>
            </c:numRef>
          </c:yVal>
          <c:smooth val="1"/>
        </c:ser>
        <c:axId val="46381079"/>
        <c:axId val="14776528"/>
      </c:scatterChart>
      <c:valAx>
        <c:axId val="46381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Axial position from lead end, 75 mm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14776528"/>
        <c:crosses val="autoZero"/>
        <c:crossBetween val="midCat"/>
        <c:dispUnits/>
        <c:majorUnit val="1"/>
        <c:minorUnit val="1"/>
      </c:valAx>
      <c:valAx>
        <c:axId val="14776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Coil size at 83 MPa [µm] (+ =oversize)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3810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HGQI-001 Side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40625"/>
          <c:y val="0.535"/>
          <c:w val="0.5065"/>
          <c:h val="0.090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'I-001 2nd sizing'!$D$89:$V$89</c:f>
              <c:numCache/>
            </c:numRef>
          </c:xVal>
          <c:yVal>
            <c:numRef>
              <c:f>'I-001 2nd sizing'!$D$104:$V$104</c:f>
              <c:numCache/>
            </c:numRef>
          </c:yVal>
          <c:smooth val="1"/>
        </c:ser>
        <c:axId val="65879889"/>
        <c:axId val="56048090"/>
      </c:scatterChart>
      <c:valAx>
        <c:axId val="6587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Axial position from lead end, 75 mm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56048090"/>
        <c:crosses val="autoZero"/>
        <c:crossBetween val="midCat"/>
        <c:dispUnits/>
        <c:majorUnit val="1"/>
        <c:minorUnit val="1"/>
      </c:valAx>
      <c:valAx>
        <c:axId val="56048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Coil size at 83 MPa [µm] (+ =oversize)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8798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HGQI-001 Side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7"/>
          <c:y val="0.31425"/>
          <c:w val="0.76775"/>
          <c:h val="0.049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'I-001 3rd sizing'!$D$89:$V$89</c:f>
              <c:numCache/>
            </c:numRef>
          </c:xVal>
          <c:yVal>
            <c:numRef>
              <c:f>'I-001 3rd sizing'!$D$104:$V$104</c:f>
              <c:numCache/>
            </c:numRef>
          </c:yVal>
          <c:smooth val="1"/>
        </c:ser>
        <c:axId val="34670763"/>
        <c:axId val="43601412"/>
      </c:scatterChart>
      <c:valAx>
        <c:axId val="34670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Axial position from lead end, 75 mm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43601412"/>
        <c:crosses val="autoZero"/>
        <c:crossBetween val="midCat"/>
        <c:dispUnits/>
        <c:majorUnit val="1"/>
        <c:minorUnit val="1"/>
      </c:valAx>
      <c:valAx>
        <c:axId val="43601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Coil size at 83 MPa [µm] (+ =oversize)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6707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HGQI-001 Side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65"/>
          <c:y val="0.334"/>
          <c:w val="0.5835"/>
          <c:h val="0.054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'I-001 4th sizing'!$D$89:$V$89</c:f>
              <c:numCache/>
            </c:numRef>
          </c:xVal>
          <c:yVal>
            <c:numRef>
              <c:f>'I-001 4th sizing'!$D$104:$V$104</c:f>
              <c:numCache/>
            </c:numRef>
          </c:yVal>
          <c:smooth val="1"/>
        </c:ser>
        <c:axId val="56868389"/>
        <c:axId val="42053454"/>
      </c:scatterChart>
      <c:valAx>
        <c:axId val="56868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Axial position from lead end, 75 mm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42053454"/>
        <c:crosses val="autoZero"/>
        <c:crossBetween val="midCat"/>
        <c:dispUnits/>
        <c:majorUnit val="1"/>
        <c:minorUnit val="1"/>
      </c:valAx>
      <c:valAx>
        <c:axId val="42053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Coil size at 83 MPa [µm] (+ =oversize)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8683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HGQI-001 Side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3625"/>
          <c:y val="0.31425"/>
          <c:w val="0.6145"/>
          <c:h val="0.049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'O-004 1st sizing'!$D$89:$V$89</c:f>
              <c:numCache/>
            </c:numRef>
          </c:xVal>
          <c:yVal>
            <c:numRef>
              <c:f>'O-004 1st sizing'!$D$104:$V$104</c:f>
              <c:numCache/>
            </c:numRef>
          </c:yVal>
          <c:smooth val="1"/>
        </c:ser>
        <c:axId val="42936767"/>
        <c:axId val="50886584"/>
      </c:scatterChart>
      <c:valAx>
        <c:axId val="42936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Axial position from lead end, 75 mm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50886584"/>
        <c:crosses val="autoZero"/>
        <c:crossBetween val="midCat"/>
        <c:dispUnits/>
        <c:majorUnit val="1"/>
        <c:minorUnit val="1"/>
      </c:valAx>
      <c:valAx>
        <c:axId val="50886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Coil size at 83 MPa [µm] (+ =oversize)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9367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HGQI-001 Side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25"/>
          <c:y val="0.318"/>
          <c:w val="0.7195"/>
          <c:h val="0.048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'O-004 2nd sizing'!$D$89:$V$89</c:f>
              <c:numCache/>
            </c:numRef>
          </c:xVal>
          <c:yVal>
            <c:numRef>
              <c:f>'O-004 2nd sizing'!$D$104:$V$104</c:f>
              <c:numCache/>
            </c:numRef>
          </c:yVal>
          <c:smooth val="1"/>
        </c:ser>
        <c:axId val="55326073"/>
        <c:axId val="28172610"/>
      </c:scatterChart>
      <c:valAx>
        <c:axId val="55326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Axial position from lead end, 75 mm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28172610"/>
        <c:crosses val="autoZero"/>
        <c:crossBetween val="midCat"/>
        <c:dispUnits/>
        <c:majorUnit val="1"/>
        <c:minorUnit val="1"/>
      </c:valAx>
      <c:valAx>
        <c:axId val="28172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Coil size at 83 MPa [µm] (+ =oversize)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3260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HGQI-001 Side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125"/>
          <c:y val="0.3835"/>
          <c:w val="0.79025"/>
          <c:h val="0.106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'O-004 3rd sizing'!$D$89:$V$89</c:f>
              <c:numCache/>
            </c:numRef>
          </c:xVal>
          <c:yVal>
            <c:numRef>
              <c:f>'O-004 3rd sizing'!$D$104:$V$104</c:f>
              <c:numCache/>
            </c:numRef>
          </c:yVal>
          <c:smooth val="1"/>
        </c:ser>
        <c:axId val="52226899"/>
        <c:axId val="280044"/>
      </c:scatterChart>
      <c:valAx>
        <c:axId val="52226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Axial position from lead end, 75 mm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280044"/>
        <c:crosses val="autoZero"/>
        <c:crossBetween val="midCat"/>
        <c:dispUnits/>
        <c:majorUnit val="1"/>
        <c:minorUnit val="1"/>
      </c:valAx>
      <c:valAx>
        <c:axId val="280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Coil size at 83 MPa [µm] (+ =oversize)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2268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HGQI-001 Side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25"/>
          <c:y val="0.36875"/>
          <c:w val="0.7195"/>
          <c:h val="0.08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'O-004 4th sizing'!$D$89:$V$89</c:f>
              <c:numCache/>
            </c:numRef>
          </c:xVal>
          <c:yVal>
            <c:numRef>
              <c:f>'O-004 4th sizing'!$D$104:$V$104</c:f>
              <c:numCache/>
            </c:numRef>
          </c:yVal>
          <c:smooth val="1"/>
        </c:ser>
        <c:axId val="2520397"/>
        <c:axId val="22683574"/>
      </c:scatterChart>
      <c:valAx>
        <c:axId val="2520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Axial position from lead end, 75 mm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22683574"/>
        <c:crosses val="autoZero"/>
        <c:crossBetween val="midCat"/>
        <c:dispUnits/>
        <c:majorUnit val="1"/>
        <c:minorUnit val="1"/>
      </c:valAx>
      <c:valAx>
        <c:axId val="22683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Coil size at 83 MPa [µm] (+ =oversize)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203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'Table along length'!$X$48:$X$48</c:f>
              <c:strCache>
                <c:ptCount val="1"/>
                <c:pt idx="0">
                  <c:v>I-001 A 5th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'Table along length'!$C$48:$U$48</c:f>
              <c:numCache>
                <c:ptCount val="19"/>
                <c:pt idx="0">
                  <c:v>-99.82219964439932</c:v>
                </c:pt>
                <c:pt idx="1">
                  <c:v>-97.79019558039118</c:v>
                </c:pt>
                <c:pt idx="2">
                  <c:v>-68.32613665227332</c:v>
                </c:pt>
                <c:pt idx="3">
                  <c:v>-129.28625857251717</c:v>
                </c:pt>
                <c:pt idx="4">
                  <c:v>0</c:v>
                </c:pt>
                <c:pt idx="5">
                  <c:v>-94.742189484379</c:v>
                </c:pt>
                <c:pt idx="6">
                  <c:v>-107.95021590043181</c:v>
                </c:pt>
                <c:pt idx="7">
                  <c:v>-108.45821691643387</c:v>
                </c:pt>
                <c:pt idx="8">
                  <c:v>0</c:v>
                </c:pt>
                <c:pt idx="9">
                  <c:v>-104.90220980441961</c:v>
                </c:pt>
                <c:pt idx="10">
                  <c:v>-93.21818643637286</c:v>
                </c:pt>
                <c:pt idx="11">
                  <c:v>-101.3462026924054</c:v>
                </c:pt>
                <c:pt idx="12">
                  <c:v>0</c:v>
                </c:pt>
                <c:pt idx="13">
                  <c:v>0</c:v>
                </c:pt>
                <c:pt idx="14">
                  <c:v>-97.79019558039118</c:v>
                </c:pt>
                <c:pt idx="15">
                  <c:v>-134.36626873253746</c:v>
                </c:pt>
                <c:pt idx="16">
                  <c:v>-106.93421386842775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'Table along length'!$X$49:$X$49</c:f>
              <c:strCache>
                <c:ptCount val="1"/>
                <c:pt idx="0">
                  <c:v>I-001 B 5th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'Table along length'!$C$49:$U$49</c:f>
              <c:numCache>
                <c:ptCount val="19"/>
                <c:pt idx="0">
                  <c:v>-97.28219456438913</c:v>
                </c:pt>
                <c:pt idx="1">
                  <c:v>-89.1541783083566</c:v>
                </c:pt>
                <c:pt idx="2">
                  <c:v>-118.11023622047243</c:v>
                </c:pt>
                <c:pt idx="3">
                  <c:v>0</c:v>
                </c:pt>
                <c:pt idx="4">
                  <c:v>0</c:v>
                </c:pt>
                <c:pt idx="5">
                  <c:v>-91.6941833883668</c:v>
                </c:pt>
                <c:pt idx="6">
                  <c:v>-101.85420370840743</c:v>
                </c:pt>
                <c:pt idx="7">
                  <c:v>-104.3942087884176</c:v>
                </c:pt>
                <c:pt idx="8">
                  <c:v>0</c:v>
                </c:pt>
                <c:pt idx="9">
                  <c:v>-101.85420370840743</c:v>
                </c:pt>
                <c:pt idx="10">
                  <c:v>-96.26619253238508</c:v>
                </c:pt>
                <c:pt idx="11">
                  <c:v>-105.91821183642368</c:v>
                </c:pt>
                <c:pt idx="12">
                  <c:v>0</c:v>
                </c:pt>
                <c:pt idx="13">
                  <c:v>0</c:v>
                </c:pt>
                <c:pt idx="14">
                  <c:v>-62.230124460248916</c:v>
                </c:pt>
                <c:pt idx="15">
                  <c:v>-113.03022606045215</c:v>
                </c:pt>
                <c:pt idx="16">
                  <c:v>-105.41021082042167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axId val="1240243"/>
        <c:axId val="11162188"/>
      </c:scatterChart>
      <c:valAx>
        <c:axId val="1240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Axial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62188"/>
        <c:crosses val="autoZero"/>
        <c:crossBetween val="midCat"/>
        <c:dispUnits/>
      </c:valAx>
      <c:valAx>
        <c:axId val="11162188"/>
        <c:scaling>
          <c:orientation val="minMax"/>
          <c:max val="100"/>
          <c:min val="-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Coil size [microns]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240243"/>
        <c:crosses val="autoZero"/>
        <c:crossBetween val="midCat"/>
        <c:dispUnits/>
        <c:majorUnit val="50"/>
        <c:minorUnit val="25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4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3"/>
          <c:order val="0"/>
          <c:tx>
            <c:strRef>
              <c:f>'Table along length'!$A$30</c:f>
              <c:strCache>
                <c:ptCount val="1"/>
                <c:pt idx="0">
                  <c:v>I-001 5th sizing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'Table along length'!$C$30:$U$30</c:f>
              <c:numCache>
                <c:ptCount val="19"/>
                <c:pt idx="0">
                  <c:v>7.222234825015499</c:v>
                </c:pt>
                <c:pt idx="1">
                  <c:v>7.164324750667246</c:v>
                </c:pt>
                <c:pt idx="2">
                  <c:v>7.336316696409103</c:v>
                </c:pt>
                <c:pt idx="3">
                  <c:v>3.7169370496434424</c:v>
                </c:pt>
                <c:pt idx="4">
                  <c:v>0</c:v>
                </c:pt>
                <c:pt idx="5">
                  <c:v>6.948608038570485</c:v>
                </c:pt>
                <c:pt idx="6">
                  <c:v>7.056578853901428</c:v>
                </c:pt>
                <c:pt idx="7">
                  <c:v>7.201155349149341</c:v>
                </c:pt>
                <c:pt idx="8">
                  <c:v>0</c:v>
                </c:pt>
                <c:pt idx="9">
                  <c:v>6.933111308859122</c:v>
                </c:pt>
                <c:pt idx="10">
                  <c:v>6.929959795148222</c:v>
                </c:pt>
                <c:pt idx="11">
                  <c:v>7.182644880403174</c:v>
                </c:pt>
                <c:pt idx="12">
                  <c:v>0</c:v>
                </c:pt>
                <c:pt idx="13">
                  <c:v>0</c:v>
                </c:pt>
                <c:pt idx="14">
                  <c:v>6.632290650663913</c:v>
                </c:pt>
                <c:pt idx="15">
                  <c:v>6.718834216286748</c:v>
                </c:pt>
                <c:pt idx="16">
                  <c:v>7.201744509146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'Table along length'!$A$31</c:f>
              <c:strCache>
                <c:ptCount val="1"/>
                <c:pt idx="0">
                  <c:v>I-001 2nd sizing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'Table along length'!$C$31:$U$31</c:f>
              <c:numCache>
                <c:ptCount val="19"/>
                <c:pt idx="0">
                  <c:v>5.989925658773367</c:v>
                </c:pt>
                <c:pt idx="1">
                  <c:v>5.910236278857575</c:v>
                </c:pt>
                <c:pt idx="2">
                  <c:v>5.8417365758436315</c:v>
                </c:pt>
                <c:pt idx="3">
                  <c:v>6.0468376555707</c:v>
                </c:pt>
                <c:pt idx="4">
                  <c:v>5.764085383991068</c:v>
                </c:pt>
                <c:pt idx="5">
                  <c:v>5.589280438037084</c:v>
                </c:pt>
                <c:pt idx="6">
                  <c:v>5.566714703690405</c:v>
                </c:pt>
                <c:pt idx="7">
                  <c:v>5.522125553262111</c:v>
                </c:pt>
                <c:pt idx="8">
                  <c:v>5.447488740906545</c:v>
                </c:pt>
                <c:pt idx="9">
                  <c:v>5.603543278615723</c:v>
                </c:pt>
                <c:pt idx="10">
                  <c:v>5.544913021582656</c:v>
                </c:pt>
                <c:pt idx="11">
                  <c:v>5.6690035025537995</c:v>
                </c:pt>
                <c:pt idx="12">
                  <c:v>5.660518744557492</c:v>
                </c:pt>
                <c:pt idx="13">
                  <c:v>5.523453998525716</c:v>
                </c:pt>
                <c:pt idx="14">
                  <c:v>5.5329830510115965</c:v>
                </c:pt>
                <c:pt idx="15">
                  <c:v>5.6928900494622</c:v>
                </c:pt>
                <c:pt idx="16">
                  <c:v>5.4137168079852565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'Table along length'!$A$32</c:f>
              <c:strCache>
                <c:ptCount val="1"/>
                <c:pt idx="0">
                  <c:v>I-001 3rd sizing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'Table along length'!$C$32:$U$32</c:f>
              <c:numCache>
                <c:ptCount val="19"/>
                <c:pt idx="0">
                  <c:v>6.442724658578112</c:v>
                </c:pt>
                <c:pt idx="1">
                  <c:v>6.372979290277267</c:v>
                </c:pt>
                <c:pt idx="2">
                  <c:v>6.322755895218838</c:v>
                </c:pt>
                <c:pt idx="3">
                  <c:v>6.46972174301648</c:v>
                </c:pt>
                <c:pt idx="4">
                  <c:v>6.1510454155446315</c:v>
                </c:pt>
                <c:pt idx="5">
                  <c:v>6.177485905418933</c:v>
                </c:pt>
                <c:pt idx="6">
                  <c:v>6.095320004996648</c:v>
                </c:pt>
                <c:pt idx="7">
                  <c:v>5.849880236935682</c:v>
                </c:pt>
                <c:pt idx="8">
                  <c:v>5.989134752896458</c:v>
                </c:pt>
                <c:pt idx="9">
                  <c:v>6.1643559523752405</c:v>
                </c:pt>
                <c:pt idx="10">
                  <c:v>6.028523820149119</c:v>
                </c:pt>
                <c:pt idx="11">
                  <c:v>6.0950223150855845</c:v>
                </c:pt>
                <c:pt idx="12">
                  <c:v>6.13582337129797</c:v>
                </c:pt>
                <c:pt idx="13">
                  <c:v>5.994222795333716</c:v>
                </c:pt>
                <c:pt idx="14">
                  <c:v>5.929017031431065</c:v>
                </c:pt>
                <c:pt idx="15">
                  <c:v>6.192041587211408</c:v>
                </c:pt>
                <c:pt idx="16">
                  <c:v>5.91563631051878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'Table along length'!$A$33</c:f>
              <c:strCache>
                <c:ptCount val="1"/>
                <c:pt idx="0">
                  <c:v>I-001 4th sizing</c:v>
                </c:pt>
              </c:strCache>
            </c:strRef>
          </c:tx>
          <c:spPr>
            <a:ln w="127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'Table along length'!$C$33:$U$33</c:f>
              <c:numCache>
                <c:ptCount val="19"/>
                <c:pt idx="0">
                  <c:v>6.289949846732915</c:v>
                </c:pt>
                <c:pt idx="1">
                  <c:v>6.154890431107588</c:v>
                </c:pt>
                <c:pt idx="2">
                  <c:v>6.275246553749083</c:v>
                </c:pt>
                <c:pt idx="3">
                  <c:v>6.3481315244371235</c:v>
                </c:pt>
                <c:pt idx="4">
                  <c:v>6.204847099194986</c:v>
                </c:pt>
                <c:pt idx="5">
                  <c:v>6.150605787577405</c:v>
                </c:pt>
                <c:pt idx="6">
                  <c:v>6.096213249230799</c:v>
                </c:pt>
                <c:pt idx="7">
                  <c:v>6.177052084502202</c:v>
                </c:pt>
                <c:pt idx="8">
                  <c:v>6.109361265281461</c:v>
                </c:pt>
                <c:pt idx="9">
                  <c:v>6.081877784555648</c:v>
                </c:pt>
                <c:pt idx="10">
                  <c:v>6.16398650848969</c:v>
                </c:pt>
                <c:pt idx="11">
                  <c:v>6.136005589198702</c:v>
                </c:pt>
                <c:pt idx="12">
                  <c:v>6.135641164219388</c:v>
                </c:pt>
                <c:pt idx="13">
                  <c:v>6.135701898709849</c:v>
                </c:pt>
                <c:pt idx="14">
                  <c:v>5.996770059822639</c:v>
                </c:pt>
                <c:pt idx="15">
                  <c:v>6.068318456675434</c:v>
                </c:pt>
                <c:pt idx="16">
                  <c:v>6.016061519220742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axId val="33350829"/>
        <c:axId val="31722006"/>
      </c:scatterChart>
      <c:valAx>
        <c:axId val="33350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/>
                  <a:t>Axial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22006"/>
        <c:crosses val="autoZero"/>
        <c:crossBetween val="midCat"/>
        <c:dispUnits/>
      </c:valAx>
      <c:valAx>
        <c:axId val="31722006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/>
                  <a:t>Coil Modulus [GPa]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0" i="0" u="none" baseline="0"/>
            </a:pPr>
          </a:p>
        </c:txPr>
        <c:crossAx val="33350829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7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3"/>
          <c:order val="0"/>
          <c:tx>
            <c:strRef>
              <c:f>'Table along length'!$A$36</c:f>
              <c:strCache>
                <c:ptCount val="1"/>
                <c:pt idx="0">
                  <c:v>O-004 1st sizing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'Table along length'!$C$36:$U$36</c:f>
              <c:numCache>
                <c:ptCount val="19"/>
                <c:pt idx="0">
                  <c:v>10.718976631890369</c:v>
                </c:pt>
                <c:pt idx="1">
                  <c:v>10.50062600290826</c:v>
                </c:pt>
                <c:pt idx="2">
                  <c:v>10.569208952951769</c:v>
                </c:pt>
                <c:pt idx="3">
                  <c:v>10.488376803721437</c:v>
                </c:pt>
                <c:pt idx="4">
                  <c:v>10.786317214114476</c:v>
                </c:pt>
                <c:pt idx="5">
                  <c:v>10.702067677125829</c:v>
                </c:pt>
                <c:pt idx="6">
                  <c:v>11.04723297360841</c:v>
                </c:pt>
                <c:pt idx="7">
                  <c:v>10.905405965256737</c:v>
                </c:pt>
                <c:pt idx="8">
                  <c:v>10.401602562455256</c:v>
                </c:pt>
                <c:pt idx="9">
                  <c:v>10.522607620460576</c:v>
                </c:pt>
                <c:pt idx="10">
                  <c:v>10.522607620460573</c:v>
                </c:pt>
                <c:pt idx="11">
                  <c:v>10.612786614480854</c:v>
                </c:pt>
                <c:pt idx="12">
                  <c:v>10.522607620460573</c:v>
                </c:pt>
                <c:pt idx="13">
                  <c:v>10.93799304380245</c:v>
                </c:pt>
                <c:pt idx="14">
                  <c:v>11.070851767976514</c:v>
                </c:pt>
                <c:pt idx="15">
                  <c:v>10.574845864393339</c:v>
                </c:pt>
                <c:pt idx="16">
                  <c:v>10.377853749118659</c:v>
                </c:pt>
                <c:pt idx="17">
                  <c:v>10.76624578954073</c:v>
                </c:pt>
                <c:pt idx="18">
                  <c:v>10.587285586922027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'Table along length'!$A$37</c:f>
              <c:strCache>
                <c:ptCount val="1"/>
                <c:pt idx="0">
                  <c:v>O-004 2nd sizing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'Table along length'!$C$37:$U$37</c:f>
              <c:numCache>
                <c:ptCount val="19"/>
                <c:pt idx="0">
                  <c:v>10.402946226577516</c:v>
                </c:pt>
                <c:pt idx="1">
                  <c:v>10.211000759537454</c:v>
                </c:pt>
                <c:pt idx="2">
                  <c:v>10.24414515207125</c:v>
                </c:pt>
                <c:pt idx="3">
                  <c:v>10.287564658061847</c:v>
                </c:pt>
                <c:pt idx="4">
                  <c:v>10.359972363520326</c:v>
                </c:pt>
                <c:pt idx="5">
                  <c:v>10.361927813192565</c:v>
                </c:pt>
                <c:pt idx="6">
                  <c:v>10.40653102864275</c:v>
                </c:pt>
                <c:pt idx="7">
                  <c:v>10.328177576541897</c:v>
                </c:pt>
                <c:pt idx="8">
                  <c:v>11.890756219332843</c:v>
                </c:pt>
                <c:pt idx="9">
                  <c:v>10.605663407714484</c:v>
                </c:pt>
                <c:pt idx="10">
                  <c:v>10.282946546691182</c:v>
                </c:pt>
                <c:pt idx="11">
                  <c:v>10.571870078741544</c:v>
                </c:pt>
                <c:pt idx="12">
                  <c:v>10.682461775614344</c:v>
                </c:pt>
                <c:pt idx="13">
                  <c:v>11.160317249903166</c:v>
                </c:pt>
                <c:pt idx="14">
                  <c:v>11.298677624674255</c:v>
                </c:pt>
                <c:pt idx="15">
                  <c:v>10.478750654825927</c:v>
                </c:pt>
                <c:pt idx="16">
                  <c:v>10.261289447543522</c:v>
                </c:pt>
                <c:pt idx="17">
                  <c:v>10.460532761688501</c:v>
                </c:pt>
                <c:pt idx="18">
                  <c:v>10.17160922963814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'Table along length'!$A$38</c:f>
              <c:strCache>
                <c:ptCount val="1"/>
                <c:pt idx="0">
                  <c:v>O-004 3rd sizing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'Table along length'!$C$38:$U$38</c:f>
              <c:numCache>
                <c:ptCount val="19"/>
                <c:pt idx="0">
                  <c:v>9.96778706285859</c:v>
                </c:pt>
                <c:pt idx="1">
                  <c:v>9.520925437216466</c:v>
                </c:pt>
                <c:pt idx="2">
                  <c:v>10.263186048955317</c:v>
                </c:pt>
                <c:pt idx="3">
                  <c:v>-19.520811562237093</c:v>
                </c:pt>
                <c:pt idx="4">
                  <c:v>9.79126059391449</c:v>
                </c:pt>
                <c:pt idx="5">
                  <c:v>9.90749151688483</c:v>
                </c:pt>
                <c:pt idx="6">
                  <c:v>9.80397522166541</c:v>
                </c:pt>
                <c:pt idx="7">
                  <c:v>10.004119071463922</c:v>
                </c:pt>
                <c:pt idx="8">
                  <c:v>10.18786250098745</c:v>
                </c:pt>
                <c:pt idx="9">
                  <c:v>9.894109969900985</c:v>
                </c:pt>
                <c:pt idx="10">
                  <c:v>10.00305675294509</c:v>
                </c:pt>
                <c:pt idx="11">
                  <c:v>10.117742793869667</c:v>
                </c:pt>
                <c:pt idx="12">
                  <c:v>11.559043238927769</c:v>
                </c:pt>
                <c:pt idx="13">
                  <c:v>10.581472782622146</c:v>
                </c:pt>
                <c:pt idx="14">
                  <c:v>10.51897706756117</c:v>
                </c:pt>
                <c:pt idx="15">
                  <c:v>10.26318604895532</c:v>
                </c:pt>
                <c:pt idx="16">
                  <c:v>9.93639817537624</c:v>
                </c:pt>
                <c:pt idx="17">
                  <c:v>9.803975221665414</c:v>
                </c:pt>
                <c:pt idx="18">
                  <c:v>9.864937686872096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'Table along length'!$A$39</c:f>
              <c:strCache>
                <c:ptCount val="1"/>
                <c:pt idx="0">
                  <c:v>O-004 4th sizing</c:v>
                </c:pt>
              </c:strCache>
            </c:strRef>
          </c:tx>
          <c:spPr>
            <a:ln w="127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'Table along length'!$C$39:$U$39</c:f>
              <c:numCache>
                <c:ptCount val="19"/>
                <c:pt idx="0">
                  <c:v>10.619126391430964</c:v>
                </c:pt>
                <c:pt idx="1">
                  <c:v>10.740578964808645</c:v>
                </c:pt>
                <c:pt idx="2">
                  <c:v>10.83281146754106</c:v>
                </c:pt>
                <c:pt idx="3">
                  <c:v>10.730084353301052</c:v>
                </c:pt>
                <c:pt idx="4">
                  <c:v>0</c:v>
                </c:pt>
                <c:pt idx="5">
                  <c:v>10.819365415946018</c:v>
                </c:pt>
                <c:pt idx="6">
                  <c:v>10.999169376333672</c:v>
                </c:pt>
                <c:pt idx="7">
                  <c:v>11.145824968018125</c:v>
                </c:pt>
                <c:pt idx="8">
                  <c:v>10.740578964808655</c:v>
                </c:pt>
                <c:pt idx="9">
                  <c:v>0</c:v>
                </c:pt>
                <c:pt idx="10">
                  <c:v>10.42074514826147</c:v>
                </c:pt>
                <c:pt idx="11">
                  <c:v>10.740578964808645</c:v>
                </c:pt>
                <c:pt idx="12">
                  <c:v>11.052305460277317</c:v>
                </c:pt>
                <c:pt idx="13">
                  <c:v>11.515588189157366</c:v>
                </c:pt>
                <c:pt idx="14">
                  <c:v>0</c:v>
                </c:pt>
                <c:pt idx="15">
                  <c:v>11.220826199478802</c:v>
                </c:pt>
                <c:pt idx="16">
                  <c:v>10.942161486273406</c:v>
                </c:pt>
                <c:pt idx="17">
                  <c:v>10.544906529945894</c:v>
                </c:pt>
                <c:pt idx="18">
                  <c:v>10.682139568285645</c:v>
                </c:pt>
              </c:numCache>
            </c:numRef>
          </c:yVal>
          <c:smooth val="1"/>
        </c:ser>
        <c:axId val="17062599"/>
        <c:axId val="19345664"/>
      </c:scatterChart>
      <c:valAx>
        <c:axId val="17062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/>
                  <a:t>Axial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45664"/>
        <c:crosses val="autoZero"/>
        <c:crossBetween val="midCat"/>
        <c:dispUnits/>
      </c:valAx>
      <c:valAx>
        <c:axId val="19345664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/>
                  <a:t>Coil Modulus [GPa]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/>
            </a:pPr>
          </a:p>
        </c:txPr>
        <c:crossAx val="17062599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'Table along length'!$X$50:$X$50</c:f>
              <c:strCache>
                <c:ptCount val="1"/>
                <c:pt idx="0">
                  <c:v>I-001 A 2nd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'Table along length'!$C$50:$U$50</c:f>
              <c:numCache>
                <c:ptCount val="19"/>
                <c:pt idx="0">
                  <c:v>-65.27813055626115</c:v>
                </c:pt>
                <c:pt idx="1">
                  <c:v>-79.50215900431803</c:v>
                </c:pt>
                <c:pt idx="2">
                  <c:v>-37.84607569215141</c:v>
                </c:pt>
                <c:pt idx="3">
                  <c:v>-88.13817627635257</c:v>
                </c:pt>
                <c:pt idx="4">
                  <c:v>-78.48615697231398</c:v>
                </c:pt>
                <c:pt idx="5">
                  <c:v>-60.70612141224284</c:v>
                </c:pt>
                <c:pt idx="6">
                  <c:v>-62.73812547625097</c:v>
                </c:pt>
                <c:pt idx="7">
                  <c:v>-53.08610617221237</c:v>
                </c:pt>
                <c:pt idx="8">
                  <c:v>-55.1181102362205</c:v>
                </c:pt>
                <c:pt idx="9">
                  <c:v>-64.77012954025912</c:v>
                </c:pt>
                <c:pt idx="10">
                  <c:v>-55.62611125222253</c:v>
                </c:pt>
                <c:pt idx="11">
                  <c:v>-61.722123444246904</c:v>
                </c:pt>
                <c:pt idx="12">
                  <c:v>-61.722123444246904</c:v>
                </c:pt>
                <c:pt idx="13">
                  <c:v>-65.27813055626115</c:v>
                </c:pt>
                <c:pt idx="14">
                  <c:v>-32.25806451612904</c:v>
                </c:pt>
                <c:pt idx="15">
                  <c:v>-60.19812039624081</c:v>
                </c:pt>
                <c:pt idx="16">
                  <c:v>-54.61010922021847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'Table along length'!$X$51:$X$51</c:f>
              <c:strCache>
                <c:ptCount val="1"/>
                <c:pt idx="0">
                  <c:v>I-001 B 2nd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'Table along length'!$C$51:$U$51</c:f>
              <c:numCache>
                <c:ptCount val="19"/>
                <c:pt idx="0">
                  <c:v>-67.56413512827027</c:v>
                </c:pt>
                <c:pt idx="1">
                  <c:v>-67.05613411226823</c:v>
                </c:pt>
                <c:pt idx="2">
                  <c:v>-69.3421386842774</c:v>
                </c:pt>
                <c:pt idx="3">
                  <c:v>-71.62814325628653</c:v>
                </c:pt>
                <c:pt idx="4">
                  <c:v>-18.79603759207519</c:v>
                </c:pt>
                <c:pt idx="5">
                  <c:v>-66.04013208026416</c:v>
                </c:pt>
                <c:pt idx="6">
                  <c:v>-65.02413004826009</c:v>
                </c:pt>
                <c:pt idx="7">
                  <c:v>-59.94411988823979</c:v>
                </c:pt>
                <c:pt idx="8">
                  <c:v>-69.08813817627636</c:v>
                </c:pt>
                <c:pt idx="9">
                  <c:v>-73.66014732029464</c:v>
                </c:pt>
                <c:pt idx="10">
                  <c:v>-65.53213106426212</c:v>
                </c:pt>
                <c:pt idx="11">
                  <c:v>-62.992125984251985</c:v>
                </c:pt>
                <c:pt idx="12">
                  <c:v>-68.58013716027432</c:v>
                </c:pt>
                <c:pt idx="13">
                  <c:v>-52.83210566421133</c:v>
                </c:pt>
                <c:pt idx="14">
                  <c:v>-29.46405892811787</c:v>
                </c:pt>
                <c:pt idx="15">
                  <c:v>-74.16814833629668</c:v>
                </c:pt>
                <c:pt idx="16">
                  <c:v>-51.30810261620523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axId val="39893249"/>
        <c:axId val="23494922"/>
      </c:scatterChart>
      <c:valAx>
        <c:axId val="39893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Axial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94922"/>
        <c:crosses val="autoZero"/>
        <c:crossBetween val="midCat"/>
        <c:dispUnits/>
      </c:valAx>
      <c:valAx>
        <c:axId val="23494922"/>
        <c:scaling>
          <c:orientation val="minMax"/>
          <c:max val="100"/>
          <c:min val="-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Coil size [microns]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9893249"/>
        <c:crosses val="autoZero"/>
        <c:crossBetween val="midCat"/>
        <c:dispUnits/>
        <c:majorUnit val="50"/>
        <c:minorUnit val="25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4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'Table along length'!$X$52:$X$52</c:f>
              <c:strCache>
                <c:ptCount val="1"/>
                <c:pt idx="0">
                  <c:v>I-001 A 3rd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'Table along length'!$C$52:$U$52</c:f>
              <c:numCache>
                <c:ptCount val="19"/>
                <c:pt idx="0">
                  <c:v>-74.67614935229871</c:v>
                </c:pt>
                <c:pt idx="1">
                  <c:v>-84.83616967233937</c:v>
                </c:pt>
                <c:pt idx="2">
                  <c:v>-46.73609347218694</c:v>
                </c:pt>
                <c:pt idx="3">
                  <c:v>-98.55219710439424</c:v>
                </c:pt>
                <c:pt idx="4">
                  <c:v>-88.90017780035559</c:v>
                </c:pt>
                <c:pt idx="5">
                  <c:v>-78.23215646431294</c:v>
                </c:pt>
                <c:pt idx="6">
                  <c:v>-79.248158496317</c:v>
                </c:pt>
                <c:pt idx="7">
                  <c:v>-70.10414020828043</c:v>
                </c:pt>
                <c:pt idx="8">
                  <c:v>-74.67614935229871</c:v>
                </c:pt>
                <c:pt idx="9">
                  <c:v>-83.31216662433326</c:v>
                </c:pt>
                <c:pt idx="10">
                  <c:v>-73.66014732029464</c:v>
                </c:pt>
                <c:pt idx="11">
                  <c:v>-78.23215646431294</c:v>
                </c:pt>
                <c:pt idx="12">
                  <c:v>-78.23215646431294</c:v>
                </c:pt>
                <c:pt idx="13">
                  <c:v>-82.29616459232918</c:v>
                </c:pt>
                <c:pt idx="14">
                  <c:v>-48.26009652019304</c:v>
                </c:pt>
                <c:pt idx="15">
                  <c:v>-77.21615443230887</c:v>
                </c:pt>
                <c:pt idx="16">
                  <c:v>-74.16814833629668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'Table along length'!$X$53:$X$53</c:f>
              <c:strCache>
                <c:ptCount val="1"/>
                <c:pt idx="0">
                  <c:v>I-001 B 3rd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'Table along length'!$C$53:$U$53</c:f>
              <c:numCache>
                <c:ptCount val="19"/>
                <c:pt idx="0">
                  <c:v>-77.7241554483109</c:v>
                </c:pt>
                <c:pt idx="1">
                  <c:v>-72.13614427228856</c:v>
                </c:pt>
                <c:pt idx="2">
                  <c:v>-82.80416560833123</c:v>
                </c:pt>
                <c:pt idx="3">
                  <c:v>-87.88417576835155</c:v>
                </c:pt>
                <c:pt idx="4">
                  <c:v>-37.08407416814835</c:v>
                </c:pt>
                <c:pt idx="5">
                  <c:v>-81.28016256032514</c:v>
                </c:pt>
                <c:pt idx="6">
                  <c:v>-78.23215646431294</c:v>
                </c:pt>
                <c:pt idx="7">
                  <c:v>-76.70815341630684</c:v>
                </c:pt>
                <c:pt idx="8">
                  <c:v>-84.83616967233937</c:v>
                </c:pt>
                <c:pt idx="9">
                  <c:v>-87.37617475234953</c:v>
                </c:pt>
                <c:pt idx="10">
                  <c:v>-80.77216154432311</c:v>
                </c:pt>
                <c:pt idx="11">
                  <c:v>-76.2001524003048</c:v>
                </c:pt>
                <c:pt idx="12">
                  <c:v>-78.23215646431294</c:v>
                </c:pt>
                <c:pt idx="13">
                  <c:v>-66.04013208026417</c:v>
                </c:pt>
                <c:pt idx="14">
                  <c:v>-45.21209042418086</c:v>
                </c:pt>
                <c:pt idx="15">
                  <c:v>-84.32816865633731</c:v>
                </c:pt>
                <c:pt idx="16">
                  <c:v>-64.00812801625605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axId val="10127707"/>
        <c:axId val="24040500"/>
      </c:scatterChart>
      <c:valAx>
        <c:axId val="10127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Axial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40500"/>
        <c:crosses val="autoZero"/>
        <c:crossBetween val="midCat"/>
        <c:dispUnits/>
      </c:valAx>
      <c:valAx>
        <c:axId val="24040500"/>
        <c:scaling>
          <c:orientation val="minMax"/>
          <c:max val="100"/>
          <c:min val="-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Coil size [microns]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127707"/>
        <c:crosses val="autoZero"/>
        <c:crossBetween val="midCat"/>
        <c:dispUnits/>
        <c:majorUnit val="50"/>
        <c:minorUnit val="25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4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'Table along length'!$X$54:$X$54</c:f>
              <c:strCache>
                <c:ptCount val="1"/>
                <c:pt idx="0">
                  <c:v>I-001 A 4th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'Table along length'!$C$54:$U$54</c:f>
              <c:numCache>
                <c:ptCount val="19"/>
                <c:pt idx="0">
                  <c:v>-72.39014478028956</c:v>
                </c:pt>
                <c:pt idx="1">
                  <c:v>-80.01016002032007</c:v>
                </c:pt>
                <c:pt idx="2">
                  <c:v>-40.386080772161556</c:v>
                </c:pt>
                <c:pt idx="3">
                  <c:v>-92.20218440436885</c:v>
                </c:pt>
                <c:pt idx="4">
                  <c:v>-82.04216408432819</c:v>
                </c:pt>
                <c:pt idx="5">
                  <c:v>-72.39014478028956</c:v>
                </c:pt>
                <c:pt idx="6">
                  <c:v>-73.91414782829567</c:v>
                </c:pt>
                <c:pt idx="7">
                  <c:v>-67.31013462026925</c:v>
                </c:pt>
                <c:pt idx="8">
                  <c:v>-70.35814071628145</c:v>
                </c:pt>
                <c:pt idx="9">
                  <c:v>-73.91414782829567</c:v>
                </c:pt>
                <c:pt idx="10">
                  <c:v>-65.78613157226316</c:v>
                </c:pt>
                <c:pt idx="11">
                  <c:v>-71.88214376428756</c:v>
                </c:pt>
                <c:pt idx="12">
                  <c:v>-75.43815087630176</c:v>
                </c:pt>
                <c:pt idx="13">
                  <c:v>-76.45415290830583</c:v>
                </c:pt>
                <c:pt idx="14">
                  <c:v>-46.48209296418595</c:v>
                </c:pt>
                <c:pt idx="15">
                  <c:v>-76.96215392430787</c:v>
                </c:pt>
                <c:pt idx="16">
                  <c:v>-67.8181356362713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'Table along length'!$X$55:$X$55</c:f>
              <c:strCache>
                <c:ptCount val="1"/>
                <c:pt idx="0">
                  <c:v>I-001 B 4th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'Table along length'!$C$55:$U$55</c:f>
              <c:numCache>
                <c:ptCount val="19"/>
                <c:pt idx="0">
                  <c:v>-78.74015748031498</c:v>
                </c:pt>
                <c:pt idx="1">
                  <c:v>-79.75615951231904</c:v>
                </c:pt>
                <c:pt idx="2">
                  <c:v>-82.2961645923292</c:v>
                </c:pt>
                <c:pt idx="3">
                  <c:v>-86.36017272034546</c:v>
                </c:pt>
                <c:pt idx="4">
                  <c:v>-38.100076200152415</c:v>
                </c:pt>
                <c:pt idx="5">
                  <c:v>-74.1681483362967</c:v>
                </c:pt>
                <c:pt idx="6">
                  <c:v>-77.7241554483109</c:v>
                </c:pt>
                <c:pt idx="7">
                  <c:v>-74.1681483362967</c:v>
                </c:pt>
                <c:pt idx="8">
                  <c:v>-80.26416052832107</c:v>
                </c:pt>
                <c:pt idx="9">
                  <c:v>-85.34417068834139</c:v>
                </c:pt>
                <c:pt idx="10">
                  <c:v>-77.7241554483109</c:v>
                </c:pt>
                <c:pt idx="11">
                  <c:v>-75.69215138430278</c:v>
                </c:pt>
                <c:pt idx="12">
                  <c:v>-80.26416052832107</c:v>
                </c:pt>
                <c:pt idx="13">
                  <c:v>-67.56413512827027</c:v>
                </c:pt>
                <c:pt idx="14">
                  <c:v>-47.752095504191026</c:v>
                </c:pt>
                <c:pt idx="15">
                  <c:v>-88.39217678435358</c:v>
                </c:pt>
                <c:pt idx="16">
                  <c:v>-61.97612395224792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axId val="15037909"/>
        <c:axId val="1123454"/>
      </c:scatterChart>
      <c:valAx>
        <c:axId val="15037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Axial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3454"/>
        <c:crosses val="autoZero"/>
        <c:crossBetween val="midCat"/>
        <c:dispUnits/>
      </c:valAx>
      <c:valAx>
        <c:axId val="1123454"/>
        <c:scaling>
          <c:orientation val="minMax"/>
          <c:max val="100"/>
          <c:min val="-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Coil size [microns]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5037909"/>
        <c:crosses val="autoZero"/>
        <c:crossBetween val="midCat"/>
        <c:dispUnits/>
        <c:majorUnit val="50"/>
        <c:minorUnit val="25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4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'Table along length'!$X$63:$X$63</c:f>
              <c:strCache>
                <c:ptCount val="1"/>
                <c:pt idx="0">
                  <c:v>O-004 A 1st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'Table along length'!$C$63:$U$63</c:f>
              <c:numCache>
                <c:ptCount val="19"/>
                <c:pt idx="0">
                  <c:v>299.7205994411989</c:v>
                </c:pt>
                <c:pt idx="1">
                  <c:v>300.2286004572009</c:v>
                </c:pt>
                <c:pt idx="2">
                  <c:v>303.2766065532132</c:v>
                </c:pt>
                <c:pt idx="3">
                  <c:v>302.2606045212091</c:v>
                </c:pt>
                <c:pt idx="4">
                  <c:v>303.78460756921515</c:v>
                </c:pt>
                <c:pt idx="5">
                  <c:v>301.75260350520705</c:v>
                </c:pt>
                <c:pt idx="6">
                  <c:v>291.5925831851664</c:v>
                </c:pt>
                <c:pt idx="7">
                  <c:v>290.57658115316235</c:v>
                </c:pt>
                <c:pt idx="8">
                  <c:v>303.78460756921515</c:v>
                </c:pt>
                <c:pt idx="9">
                  <c:v>298.1965963931928</c:v>
                </c:pt>
                <c:pt idx="10">
                  <c:v>316.992633985268</c:v>
                </c:pt>
                <c:pt idx="11">
                  <c:v>304.2926085852172</c:v>
                </c:pt>
                <c:pt idx="12">
                  <c:v>292.6085852171705</c:v>
                </c:pt>
                <c:pt idx="13">
                  <c:v>277.36855473710955</c:v>
                </c:pt>
                <c:pt idx="14">
                  <c:v>271.2725425450851</c:v>
                </c:pt>
                <c:pt idx="15">
                  <c:v>297.6885953771908</c:v>
                </c:pt>
                <c:pt idx="16">
                  <c:v>312.92862585725175</c:v>
                </c:pt>
                <c:pt idx="17">
                  <c:v>314.9606299212599</c:v>
                </c:pt>
                <c:pt idx="18">
                  <c:v>294.6405892811786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'Table along length'!$X$64:$X$64</c:f>
              <c:strCache>
                <c:ptCount val="1"/>
                <c:pt idx="0">
                  <c:v>O-004 B 1st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'Table along length'!$C$64:$U$64</c:f>
              <c:numCache>
                <c:ptCount val="19"/>
                <c:pt idx="0">
                  <c:v>283.972</c:v>
                </c:pt>
                <c:pt idx="1">
                  <c:v>282.956</c:v>
                </c:pt>
                <c:pt idx="2">
                  <c:v>288.544</c:v>
                </c:pt>
                <c:pt idx="3">
                  <c:v>286.00399999999996</c:v>
                </c:pt>
                <c:pt idx="4">
                  <c:v>281.432</c:v>
                </c:pt>
                <c:pt idx="5">
                  <c:v>282.44800000000004</c:v>
                </c:pt>
                <c:pt idx="6">
                  <c:v>275.84400000000005</c:v>
                </c:pt>
                <c:pt idx="7">
                  <c:v>280.92400000000004</c:v>
                </c:pt>
                <c:pt idx="8">
                  <c:v>316.484</c:v>
                </c:pt>
                <c:pt idx="9">
                  <c:v>303.78399999999993</c:v>
                </c:pt>
                <c:pt idx="10">
                  <c:v>315.468</c:v>
                </c:pt>
                <c:pt idx="11">
                  <c:v>326.136</c:v>
                </c:pt>
                <c:pt idx="12">
                  <c:v>332.232</c:v>
                </c:pt>
                <c:pt idx="13">
                  <c:v>322.072</c:v>
                </c:pt>
                <c:pt idx="14">
                  <c:v>317.5</c:v>
                </c:pt>
                <c:pt idx="15">
                  <c:v>296.67199999999997</c:v>
                </c:pt>
                <c:pt idx="16">
                  <c:v>306.324</c:v>
                </c:pt>
                <c:pt idx="17">
                  <c:v>324.104</c:v>
                </c:pt>
                <c:pt idx="18">
                  <c:v>330.20000000000005</c:v>
                </c:pt>
              </c:numCache>
            </c:numRef>
          </c:yVal>
          <c:smooth val="1"/>
        </c:ser>
        <c:axId val="10111087"/>
        <c:axId val="23890920"/>
      </c:scatterChart>
      <c:valAx>
        <c:axId val="10111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Axial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90920"/>
        <c:crosses val="autoZero"/>
        <c:crossBetween val="midCat"/>
        <c:dispUnits/>
      </c:valAx>
      <c:valAx>
        <c:axId val="2389092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Coil size [microns]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111087"/>
        <c:crosses val="autoZero"/>
        <c:crossBetween val="midCat"/>
        <c:dispUnits/>
        <c:majorUnit val="100"/>
        <c:minorUnit val="25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4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'Table along length'!$X$65:$X$65</c:f>
              <c:strCache>
                <c:ptCount val="1"/>
                <c:pt idx="0">
                  <c:v>O-004 A 2nd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'Table along length'!$C$65:$U$65</c:f>
              <c:numCache>
                <c:ptCount val="19"/>
                <c:pt idx="0">
                  <c:v>302.006604013208</c:v>
                </c:pt>
                <c:pt idx="1">
                  <c:v>303.0226060452121</c:v>
                </c:pt>
                <c:pt idx="2">
                  <c:v>308.6106172212344</c:v>
                </c:pt>
                <c:pt idx="3">
                  <c:v>306.07061214122433</c:v>
                </c:pt>
                <c:pt idx="4">
                  <c:v>307.0866141732284</c:v>
                </c:pt>
                <c:pt idx="5">
                  <c:v>303.0226060452121</c:v>
                </c:pt>
                <c:pt idx="6">
                  <c:v>296.4185928371857</c:v>
                </c:pt>
                <c:pt idx="7">
                  <c:v>297.4345948691897</c:v>
                </c:pt>
                <c:pt idx="8">
                  <c:v>305.0546101092202</c:v>
                </c:pt>
                <c:pt idx="9">
                  <c:v>297.94259588519174</c:v>
                </c:pt>
                <c:pt idx="10">
                  <c:v>318.77063754127505</c:v>
                </c:pt>
                <c:pt idx="11">
                  <c:v>303.0226060452121</c:v>
                </c:pt>
                <c:pt idx="12">
                  <c:v>292.86258572517147</c:v>
                </c:pt>
                <c:pt idx="13">
                  <c:v>278.13055626111253</c:v>
                </c:pt>
                <c:pt idx="14">
                  <c:v>269.494538989078</c:v>
                </c:pt>
                <c:pt idx="15">
                  <c:v>294.38658877317755</c:v>
                </c:pt>
                <c:pt idx="16">
                  <c:v>313.6906273812548</c:v>
                </c:pt>
                <c:pt idx="17">
                  <c:v>315.2146304292608</c:v>
                </c:pt>
                <c:pt idx="18">
                  <c:v>292.86258572517147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'Table along length'!$X$66:$X$66</c:f>
              <c:strCache>
                <c:ptCount val="1"/>
                <c:pt idx="0">
                  <c:v>O-004 B 2nd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'Table along length'!$C$66:$U$66</c:f>
              <c:numCache>
                <c:ptCount val="19"/>
                <c:pt idx="0">
                  <c:v>301.244602489205</c:v>
                </c:pt>
                <c:pt idx="1">
                  <c:v>302.7686055372111</c:v>
                </c:pt>
                <c:pt idx="2">
                  <c:v>308.8646177292355</c:v>
                </c:pt>
                <c:pt idx="3">
                  <c:v>304.2926085852171</c:v>
                </c:pt>
                <c:pt idx="4">
                  <c:v>301.244602489205</c:v>
                </c:pt>
                <c:pt idx="5">
                  <c:v>302.7686055372111</c:v>
                </c:pt>
                <c:pt idx="6">
                  <c:v>295.14859029718065</c:v>
                </c:pt>
                <c:pt idx="7">
                  <c:v>296.6725933451867</c:v>
                </c:pt>
                <c:pt idx="8">
                  <c:v>318.00863601727207</c:v>
                </c:pt>
                <c:pt idx="9">
                  <c:v>318.5166370332741</c:v>
                </c:pt>
                <c:pt idx="10">
                  <c:v>335.7886715773431</c:v>
                </c:pt>
                <c:pt idx="11">
                  <c:v>342.39268478536957</c:v>
                </c:pt>
                <c:pt idx="12">
                  <c:v>345.94869189738387</c:v>
                </c:pt>
                <c:pt idx="13">
                  <c:v>337.8206756413513</c:v>
                </c:pt>
                <c:pt idx="14">
                  <c:v>334.7726695453391</c:v>
                </c:pt>
                <c:pt idx="15">
                  <c:v>314.4526289052578</c:v>
                </c:pt>
                <c:pt idx="16">
                  <c:v>323.0886461772924</c:v>
                </c:pt>
                <c:pt idx="17">
                  <c:v>341.37668275336557</c:v>
                </c:pt>
                <c:pt idx="18">
                  <c:v>350.52070104140205</c:v>
                </c:pt>
              </c:numCache>
            </c:numRef>
          </c:yVal>
          <c:smooth val="1"/>
        </c:ser>
        <c:axId val="13691689"/>
        <c:axId val="56116338"/>
      </c:scatterChart>
      <c:valAx>
        <c:axId val="13691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Axial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16338"/>
        <c:crosses val="autoZero"/>
        <c:crossBetween val="midCat"/>
        <c:dispUnits/>
      </c:valAx>
      <c:valAx>
        <c:axId val="5611633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Coil size [microns]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691689"/>
        <c:crosses val="autoZero"/>
        <c:crossBetween val="midCat"/>
        <c:dispUnits/>
        <c:majorUnit val="100"/>
        <c:minorUnit val="25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4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0.3775</cdr:x>
      <cdr:y>0.7005</cdr:y>
    </cdr:from>
    <cdr:to>
      <cdr:x>0.71075</cdr:x>
      <cdr:y>0.751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2505075"/>
          <a:ext cx="1809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700" b="0" i="0" u="none" baseline="0"/>
            <a:t>* zero points ommitted from average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352425</xdr:colOff>
      <xdr:row>95</xdr:row>
      <xdr:rowOff>104775</xdr:rowOff>
    </xdr:from>
    <xdr:to>
      <xdr:col>45</xdr:col>
      <xdr:colOff>514350</xdr:colOff>
      <xdr:row>104</xdr:row>
      <xdr:rowOff>0</xdr:rowOff>
    </xdr:to>
    <xdr:graphicFrame>
      <xdr:nvGraphicFramePr>
        <xdr:cNvPr id="1" name="Chart 2"/>
        <xdr:cNvGraphicFramePr/>
      </xdr:nvGraphicFramePr>
      <xdr:xfrm>
        <a:off x="28784550" y="14839950"/>
        <a:ext cx="1228725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124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66</xdr:row>
      <xdr:rowOff>66675</xdr:rowOff>
    </xdr:from>
    <xdr:to>
      <xdr:col>9</xdr:col>
      <xdr:colOff>828675</xdr:colOff>
      <xdr:row>84</xdr:row>
      <xdr:rowOff>47625</xdr:rowOff>
    </xdr:to>
    <xdr:graphicFrame>
      <xdr:nvGraphicFramePr>
        <xdr:cNvPr id="2" name="Chart 5"/>
        <xdr:cNvGraphicFramePr/>
      </xdr:nvGraphicFramePr>
      <xdr:xfrm>
        <a:off x="5448300" y="14363700"/>
        <a:ext cx="53149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12</xdr:row>
      <xdr:rowOff>0</xdr:rowOff>
    </xdr:from>
    <xdr:to>
      <xdr:col>4</xdr:col>
      <xdr:colOff>895350</xdr:colOff>
      <xdr:row>34</xdr:row>
      <xdr:rowOff>9525</xdr:rowOff>
    </xdr:to>
    <xdr:graphicFrame>
      <xdr:nvGraphicFramePr>
        <xdr:cNvPr id="3" name="Chart 6"/>
        <xdr:cNvGraphicFramePr/>
      </xdr:nvGraphicFramePr>
      <xdr:xfrm>
        <a:off x="57150" y="4267200"/>
        <a:ext cx="5295900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11</xdr:row>
      <xdr:rowOff>142875</xdr:rowOff>
    </xdr:from>
    <xdr:to>
      <xdr:col>9</xdr:col>
      <xdr:colOff>885825</xdr:colOff>
      <xdr:row>34</xdr:row>
      <xdr:rowOff>9525</xdr:rowOff>
    </xdr:to>
    <xdr:graphicFrame>
      <xdr:nvGraphicFramePr>
        <xdr:cNvPr id="4" name="Chart 8"/>
        <xdr:cNvGraphicFramePr/>
      </xdr:nvGraphicFramePr>
      <xdr:xfrm>
        <a:off x="5391150" y="4257675"/>
        <a:ext cx="542925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5</xdr:col>
      <xdr:colOff>47625</xdr:colOff>
      <xdr:row>65</xdr:row>
      <xdr:rowOff>152400</xdr:rowOff>
    </xdr:to>
    <xdr:graphicFrame>
      <xdr:nvGraphicFramePr>
        <xdr:cNvPr id="5" name="Chart 9"/>
        <xdr:cNvGraphicFramePr/>
      </xdr:nvGraphicFramePr>
      <xdr:xfrm>
        <a:off x="0" y="11401425"/>
        <a:ext cx="5410200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48</xdr:row>
      <xdr:rowOff>19050</xdr:rowOff>
    </xdr:from>
    <xdr:to>
      <xdr:col>9</xdr:col>
      <xdr:colOff>857250</xdr:colOff>
      <xdr:row>66</xdr:row>
      <xdr:rowOff>19050</xdr:rowOff>
    </xdr:to>
    <xdr:graphicFrame>
      <xdr:nvGraphicFramePr>
        <xdr:cNvPr id="6" name="Chart 10"/>
        <xdr:cNvGraphicFramePr/>
      </xdr:nvGraphicFramePr>
      <xdr:xfrm>
        <a:off x="5448300" y="11401425"/>
        <a:ext cx="5343525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66</xdr:row>
      <xdr:rowOff>47625</xdr:rowOff>
    </xdr:from>
    <xdr:to>
      <xdr:col>5</xdr:col>
      <xdr:colOff>57150</xdr:colOff>
      <xdr:row>84</xdr:row>
      <xdr:rowOff>47625</xdr:rowOff>
    </xdr:to>
    <xdr:graphicFrame>
      <xdr:nvGraphicFramePr>
        <xdr:cNvPr id="7" name="Chart 11"/>
        <xdr:cNvGraphicFramePr/>
      </xdr:nvGraphicFramePr>
      <xdr:xfrm>
        <a:off x="19050" y="14344650"/>
        <a:ext cx="5400675" cy="2914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28575</xdr:colOff>
      <xdr:row>95</xdr:row>
      <xdr:rowOff>152400</xdr:rowOff>
    </xdr:from>
    <xdr:to>
      <xdr:col>4</xdr:col>
      <xdr:colOff>876300</xdr:colOff>
      <xdr:row>113</xdr:row>
      <xdr:rowOff>133350</xdr:rowOff>
    </xdr:to>
    <xdr:graphicFrame>
      <xdr:nvGraphicFramePr>
        <xdr:cNvPr id="8" name="Chart 12"/>
        <xdr:cNvGraphicFramePr/>
      </xdr:nvGraphicFramePr>
      <xdr:xfrm>
        <a:off x="28575" y="20459700"/>
        <a:ext cx="5305425" cy="2895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47625</xdr:colOff>
      <xdr:row>96</xdr:row>
      <xdr:rowOff>0</xdr:rowOff>
    </xdr:from>
    <xdr:to>
      <xdr:col>9</xdr:col>
      <xdr:colOff>885825</xdr:colOff>
      <xdr:row>113</xdr:row>
      <xdr:rowOff>142875</xdr:rowOff>
    </xdr:to>
    <xdr:graphicFrame>
      <xdr:nvGraphicFramePr>
        <xdr:cNvPr id="9" name="Chart 13"/>
        <xdr:cNvGraphicFramePr/>
      </xdr:nvGraphicFramePr>
      <xdr:xfrm>
        <a:off x="5410200" y="20469225"/>
        <a:ext cx="5410200" cy="2895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114</xdr:row>
      <xdr:rowOff>19050</xdr:rowOff>
    </xdr:from>
    <xdr:to>
      <xdr:col>4</xdr:col>
      <xdr:colOff>876300</xdr:colOff>
      <xdr:row>132</xdr:row>
      <xdr:rowOff>123825</xdr:rowOff>
    </xdr:to>
    <xdr:graphicFrame>
      <xdr:nvGraphicFramePr>
        <xdr:cNvPr id="10" name="Chart 14"/>
        <xdr:cNvGraphicFramePr/>
      </xdr:nvGraphicFramePr>
      <xdr:xfrm>
        <a:off x="57150" y="23402925"/>
        <a:ext cx="5276850" cy="3019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47625</xdr:colOff>
      <xdr:row>114</xdr:row>
      <xdr:rowOff>19050</xdr:rowOff>
    </xdr:from>
    <xdr:to>
      <xdr:col>9</xdr:col>
      <xdr:colOff>876300</xdr:colOff>
      <xdr:row>132</xdr:row>
      <xdr:rowOff>142875</xdr:rowOff>
    </xdr:to>
    <xdr:graphicFrame>
      <xdr:nvGraphicFramePr>
        <xdr:cNvPr id="11" name="Chart 15"/>
        <xdr:cNvGraphicFramePr/>
      </xdr:nvGraphicFramePr>
      <xdr:xfrm>
        <a:off x="5410200" y="23402925"/>
        <a:ext cx="5400675" cy="3038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352425</xdr:colOff>
      <xdr:row>95</xdr:row>
      <xdr:rowOff>95250</xdr:rowOff>
    </xdr:from>
    <xdr:to>
      <xdr:col>45</xdr:col>
      <xdr:colOff>514350</xdr:colOff>
      <xdr:row>104</xdr:row>
      <xdr:rowOff>0</xdr:rowOff>
    </xdr:to>
    <xdr:graphicFrame>
      <xdr:nvGraphicFramePr>
        <xdr:cNvPr id="1" name="Chart 2"/>
        <xdr:cNvGraphicFramePr/>
      </xdr:nvGraphicFramePr>
      <xdr:xfrm>
        <a:off x="29718000" y="14325600"/>
        <a:ext cx="1228725" cy="136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352425</xdr:colOff>
      <xdr:row>95</xdr:row>
      <xdr:rowOff>95250</xdr:rowOff>
    </xdr:from>
    <xdr:to>
      <xdr:col>45</xdr:col>
      <xdr:colOff>514350</xdr:colOff>
      <xdr:row>104</xdr:row>
      <xdr:rowOff>0</xdr:rowOff>
    </xdr:to>
    <xdr:graphicFrame>
      <xdr:nvGraphicFramePr>
        <xdr:cNvPr id="1" name="Chart 2"/>
        <xdr:cNvGraphicFramePr/>
      </xdr:nvGraphicFramePr>
      <xdr:xfrm>
        <a:off x="29965650" y="15401925"/>
        <a:ext cx="1381125" cy="133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352425</xdr:colOff>
      <xdr:row>95</xdr:row>
      <xdr:rowOff>95250</xdr:rowOff>
    </xdr:from>
    <xdr:to>
      <xdr:col>45</xdr:col>
      <xdr:colOff>514350</xdr:colOff>
      <xdr:row>104</xdr:row>
      <xdr:rowOff>0</xdr:rowOff>
    </xdr:to>
    <xdr:graphicFrame>
      <xdr:nvGraphicFramePr>
        <xdr:cNvPr id="1" name="Chart 2"/>
        <xdr:cNvGraphicFramePr/>
      </xdr:nvGraphicFramePr>
      <xdr:xfrm>
        <a:off x="29603700" y="14468475"/>
        <a:ext cx="1343025" cy="133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352425</xdr:colOff>
      <xdr:row>95</xdr:row>
      <xdr:rowOff>104775</xdr:rowOff>
    </xdr:from>
    <xdr:to>
      <xdr:col>45</xdr:col>
      <xdr:colOff>514350</xdr:colOff>
      <xdr:row>104</xdr:row>
      <xdr:rowOff>0</xdr:rowOff>
    </xdr:to>
    <xdr:graphicFrame>
      <xdr:nvGraphicFramePr>
        <xdr:cNvPr id="1" name="Chart 2"/>
        <xdr:cNvGraphicFramePr/>
      </xdr:nvGraphicFramePr>
      <xdr:xfrm>
        <a:off x="30356175" y="14582775"/>
        <a:ext cx="136207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342900</xdr:colOff>
      <xdr:row>95</xdr:row>
      <xdr:rowOff>95250</xdr:rowOff>
    </xdr:from>
    <xdr:to>
      <xdr:col>45</xdr:col>
      <xdr:colOff>504825</xdr:colOff>
      <xdr:row>104</xdr:row>
      <xdr:rowOff>0</xdr:rowOff>
    </xdr:to>
    <xdr:graphicFrame>
      <xdr:nvGraphicFramePr>
        <xdr:cNvPr id="1" name="Chart 2"/>
        <xdr:cNvGraphicFramePr/>
      </xdr:nvGraphicFramePr>
      <xdr:xfrm>
        <a:off x="30232350" y="14449425"/>
        <a:ext cx="1419225" cy="133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352425</xdr:colOff>
      <xdr:row>95</xdr:row>
      <xdr:rowOff>104775</xdr:rowOff>
    </xdr:from>
    <xdr:to>
      <xdr:col>45</xdr:col>
      <xdr:colOff>514350</xdr:colOff>
      <xdr:row>104</xdr:row>
      <xdr:rowOff>0</xdr:rowOff>
    </xdr:to>
    <xdr:graphicFrame>
      <xdr:nvGraphicFramePr>
        <xdr:cNvPr id="1" name="Chart 2"/>
        <xdr:cNvGraphicFramePr/>
      </xdr:nvGraphicFramePr>
      <xdr:xfrm>
        <a:off x="28660725" y="14354175"/>
        <a:ext cx="1228725" cy="135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342900</xdr:colOff>
      <xdr:row>95</xdr:row>
      <xdr:rowOff>104775</xdr:rowOff>
    </xdr:from>
    <xdr:to>
      <xdr:col>45</xdr:col>
      <xdr:colOff>504825</xdr:colOff>
      <xdr:row>104</xdr:row>
      <xdr:rowOff>0</xdr:rowOff>
    </xdr:to>
    <xdr:graphicFrame>
      <xdr:nvGraphicFramePr>
        <xdr:cNvPr id="1" name="Chart 2"/>
        <xdr:cNvGraphicFramePr/>
      </xdr:nvGraphicFramePr>
      <xdr:xfrm>
        <a:off x="28365450" y="14354175"/>
        <a:ext cx="1285875" cy="135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E19" sqref="E19"/>
    </sheetView>
  </sheetViews>
  <sheetFormatPr defaultColWidth="9.00390625" defaultRowHeight="12.75"/>
  <cols>
    <col min="8" max="8" width="13.625" style="0" customWidth="1"/>
    <col min="9" max="9" width="15.125" style="0" customWidth="1"/>
  </cols>
  <sheetData>
    <row r="1" spans="1:10" ht="12.75">
      <c r="A1" s="435" t="s">
        <v>196</v>
      </c>
      <c r="B1" s="435"/>
      <c r="C1" s="435"/>
      <c r="D1" s="435"/>
      <c r="E1" s="435"/>
      <c r="F1" s="435"/>
      <c r="G1" s="435"/>
      <c r="H1" s="435"/>
      <c r="I1" s="435"/>
      <c r="J1" s="435"/>
    </row>
    <row r="2" spans="1:10" ht="12.75">
      <c r="A2" s="435"/>
      <c r="B2" s="435"/>
      <c r="C2" s="435"/>
      <c r="D2" s="435"/>
      <c r="E2" s="435"/>
      <c r="F2" s="435"/>
      <c r="G2" s="435"/>
      <c r="H2" s="435"/>
      <c r="I2" s="435"/>
      <c r="J2" s="435"/>
    </row>
    <row r="3" spans="1:10" ht="12.75">
      <c r="A3" s="436"/>
      <c r="B3" s="437"/>
      <c r="C3" s="438"/>
      <c r="D3" s="719" t="s">
        <v>169</v>
      </c>
      <c r="E3" s="720"/>
      <c r="F3" s="435"/>
      <c r="G3" s="436"/>
      <c r="H3" s="438"/>
      <c r="I3" s="439" t="s">
        <v>170</v>
      </c>
      <c r="J3" s="435"/>
    </row>
    <row r="4" spans="1:10" ht="12.75">
      <c r="A4" s="440"/>
      <c r="B4" s="441"/>
      <c r="C4" s="441"/>
      <c r="D4" s="442" t="s">
        <v>19</v>
      </c>
      <c r="E4" s="442" t="s">
        <v>20</v>
      </c>
      <c r="F4" s="435"/>
      <c r="G4" s="287"/>
      <c r="H4" s="288"/>
      <c r="I4" s="443"/>
      <c r="J4" s="435"/>
    </row>
    <row r="5" spans="1:10" ht="12.75">
      <c r="A5" s="436" t="s">
        <v>171</v>
      </c>
      <c r="B5" s="437"/>
      <c r="C5" s="438"/>
      <c r="D5" s="439"/>
      <c r="E5" s="439"/>
      <c r="F5" s="435"/>
      <c r="G5" s="444"/>
      <c r="H5" s="445"/>
      <c r="I5" s="446"/>
      <c r="J5" s="435"/>
    </row>
    <row r="6" spans="1:10" ht="12.75">
      <c r="A6" s="444"/>
      <c r="B6" s="445" t="s">
        <v>172</v>
      </c>
      <c r="C6" s="447"/>
      <c r="D6" s="448"/>
      <c r="E6" s="448"/>
      <c r="F6" s="435"/>
      <c r="G6" s="444" t="s">
        <v>173</v>
      </c>
      <c r="H6" s="445"/>
      <c r="I6" s="448"/>
      <c r="J6" s="435"/>
    </row>
    <row r="7" spans="1:10" ht="12.75">
      <c r="A7" s="444"/>
      <c r="B7" s="445" t="s">
        <v>174</v>
      </c>
      <c r="C7" s="447"/>
      <c r="D7" s="448"/>
      <c r="E7" s="448"/>
      <c r="F7" s="435"/>
      <c r="G7" s="444"/>
      <c r="H7" s="445" t="s">
        <v>175</v>
      </c>
      <c r="I7" s="448">
        <f>0.5</f>
        <v>0.5</v>
      </c>
      <c r="J7" s="435"/>
    </row>
    <row r="8" spans="1:10" ht="12.75">
      <c r="A8" s="444" t="s">
        <v>176</v>
      </c>
      <c r="B8" s="445"/>
      <c r="C8" s="447"/>
      <c r="D8" s="448"/>
      <c r="E8" s="448"/>
      <c r="F8" s="435"/>
      <c r="G8" s="444"/>
      <c r="H8" s="445" t="s">
        <v>177</v>
      </c>
      <c r="I8" s="448">
        <v>0</v>
      </c>
      <c r="J8" s="435"/>
    </row>
    <row r="9" spans="1:10" ht="12.75">
      <c r="A9" s="444" t="s">
        <v>178</v>
      </c>
      <c r="B9" s="445"/>
      <c r="C9" s="447"/>
      <c r="D9" s="448"/>
      <c r="E9" s="448"/>
      <c r="F9" s="435"/>
      <c r="G9" s="444"/>
      <c r="H9" s="445" t="s">
        <v>179</v>
      </c>
      <c r="I9" s="449">
        <f>I7/SQRT(2)</f>
        <v>0.35355339059327373</v>
      </c>
      <c r="J9" s="435"/>
    </row>
    <row r="10" spans="1:10" ht="12.75">
      <c r="A10" s="444"/>
      <c r="B10" s="445" t="s">
        <v>180</v>
      </c>
      <c r="C10" s="447"/>
      <c r="D10" s="448"/>
      <c r="E10" s="448"/>
      <c r="F10" s="435"/>
      <c r="G10" s="444" t="s">
        <v>181</v>
      </c>
      <c r="H10" s="445"/>
      <c r="I10" s="448"/>
      <c r="J10" s="435"/>
    </row>
    <row r="11" spans="1:10" ht="12.75">
      <c r="A11" s="444"/>
      <c r="B11" s="445" t="s">
        <v>182</v>
      </c>
      <c r="C11" s="447"/>
      <c r="D11" s="448"/>
      <c r="E11" s="448"/>
      <c r="F11" s="435"/>
      <c r="G11" s="444"/>
      <c r="H11" s="445" t="s">
        <v>183</v>
      </c>
      <c r="I11" s="448"/>
      <c r="J11" s="435"/>
    </row>
    <row r="12" spans="1:10" ht="12.75">
      <c r="A12" s="444"/>
      <c r="B12" s="445" t="s">
        <v>184</v>
      </c>
      <c r="C12" s="447"/>
      <c r="D12" s="448"/>
      <c r="E12" s="448"/>
      <c r="F12" s="435"/>
      <c r="G12" s="444"/>
      <c r="H12" s="445" t="s">
        <v>172</v>
      </c>
      <c r="I12" s="448"/>
      <c r="J12" s="435"/>
    </row>
    <row r="13" spans="1:10" ht="12.75">
      <c r="A13" s="444"/>
      <c r="B13" s="445" t="s">
        <v>185</v>
      </c>
      <c r="C13" s="447"/>
      <c r="D13" s="448"/>
      <c r="E13" s="448"/>
      <c r="F13" s="435"/>
      <c r="G13" s="444"/>
      <c r="H13" s="445" t="s">
        <v>186</v>
      </c>
      <c r="I13" s="448"/>
      <c r="J13" s="435"/>
    </row>
    <row r="14" spans="1:10" ht="12.75">
      <c r="A14" s="444" t="s">
        <v>67</v>
      </c>
      <c r="B14" s="445"/>
      <c r="C14" s="447"/>
      <c r="D14" s="448"/>
      <c r="E14" s="448"/>
      <c r="F14" s="435"/>
      <c r="G14" s="444"/>
      <c r="H14" s="445"/>
      <c r="I14" s="448"/>
      <c r="J14" s="435"/>
    </row>
    <row r="15" spans="1:10" ht="12.75">
      <c r="A15" s="444"/>
      <c r="B15" s="445" t="s">
        <v>187</v>
      </c>
      <c r="C15" s="447"/>
      <c r="D15" s="450">
        <f>AVERAGE('Plots along length'!E45:F45)</f>
        <v>-101.19477931263555</v>
      </c>
      <c r="E15" s="450">
        <f>AVERAGE('Plots along length'!E90:F90)</f>
        <v>300.8168121599401</v>
      </c>
      <c r="F15" s="435"/>
      <c r="G15" s="444" t="s">
        <v>188</v>
      </c>
      <c r="H15" s="445"/>
      <c r="I15" s="448"/>
      <c r="J15" s="435"/>
    </row>
    <row r="16" spans="1:10" ht="12.75">
      <c r="A16" s="444"/>
      <c r="B16" s="445" t="s">
        <v>189</v>
      </c>
      <c r="C16" s="447"/>
      <c r="D16" s="450">
        <f>AVERAGE('Plots along length'!E42:F42)</f>
        <v>-60.885415888478846</v>
      </c>
      <c r="E16" s="450">
        <f>AVERAGE('Plots along length'!E91:F91)</f>
        <v>310.02098846302954</v>
      </c>
      <c r="F16" s="435"/>
      <c r="G16" s="444"/>
      <c r="H16" s="445" t="s">
        <v>183</v>
      </c>
      <c r="I16" s="448">
        <f>I11</f>
        <v>0</v>
      </c>
      <c r="J16" s="435"/>
    </row>
    <row r="17" spans="1:10" ht="12.75">
      <c r="A17" s="444"/>
      <c r="B17" s="445" t="s">
        <v>190</v>
      </c>
      <c r="C17" s="447"/>
      <c r="D17" s="450">
        <f>AVERAGE('Plots along length'!E43:F43)</f>
        <v>-75.06462071747674</v>
      </c>
      <c r="E17" s="450">
        <f>AVERAGE('Plots along length'!E92:F92)</f>
        <v>313.2828897236742</v>
      </c>
      <c r="F17" s="435"/>
      <c r="G17" s="444"/>
      <c r="H17" s="445" t="s">
        <v>172</v>
      </c>
      <c r="I17" s="448">
        <f>I12</f>
        <v>0</v>
      </c>
      <c r="J17" s="435"/>
    </row>
    <row r="18" spans="1:10" ht="12.75">
      <c r="A18" s="444"/>
      <c r="B18" s="445" t="s">
        <v>191</v>
      </c>
      <c r="C18" s="447"/>
      <c r="D18" s="450">
        <f>AVERAGE('Plots along length'!E44:F44)</f>
        <v>-72.41255658981908</v>
      </c>
      <c r="E18" s="450">
        <f>AVERAGE('Plots along length'!E93:F93)</f>
        <v>309.56311912623823</v>
      </c>
      <c r="F18" s="435"/>
      <c r="G18" s="444"/>
      <c r="H18" s="445" t="s">
        <v>186</v>
      </c>
      <c r="I18" s="446"/>
      <c r="J18" s="435"/>
    </row>
    <row r="19" spans="1:10" ht="12.75">
      <c r="A19" s="444"/>
      <c r="B19" s="445" t="s">
        <v>0</v>
      </c>
      <c r="C19" s="447"/>
      <c r="D19" s="450">
        <f>AVERAGE('Plots along length'!E46:F46)</f>
        <v>-69.45419773192488</v>
      </c>
      <c r="E19" s="450">
        <f>AVERAGE('Plots along length'!E94:F94)</f>
        <v>308.4209523682206</v>
      </c>
      <c r="F19" s="435"/>
      <c r="G19" s="440"/>
      <c r="H19" s="441"/>
      <c r="I19" s="451"/>
      <c r="J19" s="435"/>
    </row>
    <row r="20" spans="1:10" ht="12.75">
      <c r="A20" s="440"/>
      <c r="B20" s="441"/>
      <c r="C20" s="452"/>
      <c r="D20" s="453"/>
      <c r="E20" s="453"/>
      <c r="F20" s="435"/>
      <c r="G20" s="435"/>
      <c r="H20" s="435"/>
      <c r="I20" s="435"/>
      <c r="J20" s="435"/>
    </row>
    <row r="21" spans="1:10" ht="12.75">
      <c r="A21" s="436"/>
      <c r="B21" s="437"/>
      <c r="C21" s="438"/>
      <c r="D21" s="439"/>
      <c r="E21" s="439"/>
      <c r="F21" s="435"/>
      <c r="G21" s="435"/>
      <c r="H21" s="435"/>
      <c r="I21" s="435"/>
      <c r="J21" s="435"/>
    </row>
    <row r="22" spans="1:10" ht="12.75">
      <c r="A22" s="444" t="s">
        <v>192</v>
      </c>
      <c r="B22" s="445"/>
      <c r="C22" s="447"/>
      <c r="D22" s="448"/>
      <c r="E22" s="448"/>
      <c r="F22" s="435"/>
      <c r="G22" s="435"/>
      <c r="H22" s="435"/>
      <c r="I22" s="435"/>
      <c r="J22" s="435"/>
    </row>
    <row r="23" spans="1:10" ht="12.75">
      <c r="A23" s="444"/>
      <c r="B23" s="445" t="s">
        <v>193</v>
      </c>
      <c r="C23" s="447"/>
      <c r="D23" s="448"/>
      <c r="E23" s="448"/>
      <c r="F23" s="435"/>
      <c r="G23" s="435"/>
      <c r="H23" s="435"/>
      <c r="I23" s="435"/>
      <c r="J23" s="435"/>
    </row>
    <row r="24" spans="1:10" ht="12.75">
      <c r="A24" s="444"/>
      <c r="B24" s="445"/>
      <c r="C24" s="447" t="s">
        <v>194</v>
      </c>
      <c r="D24" s="448"/>
      <c r="E24" s="448"/>
      <c r="F24" s="435"/>
      <c r="G24" s="435"/>
      <c r="H24" s="435"/>
      <c r="I24" s="435"/>
      <c r="J24" s="435"/>
    </row>
    <row r="25" spans="1:10" ht="12.75">
      <c r="A25" s="444"/>
      <c r="B25" s="445"/>
      <c r="C25" s="447" t="s">
        <v>194</v>
      </c>
      <c r="D25" s="448"/>
      <c r="E25" s="448"/>
      <c r="F25" s="435"/>
      <c r="G25" s="435"/>
      <c r="H25" s="435"/>
      <c r="I25" s="435"/>
      <c r="J25" s="435"/>
    </row>
    <row r="26" spans="1:10" ht="12.75">
      <c r="A26" s="444"/>
      <c r="B26" s="445"/>
      <c r="C26" s="447" t="s">
        <v>194</v>
      </c>
      <c r="D26" s="448"/>
      <c r="E26" s="448"/>
      <c r="F26" s="435"/>
      <c r="G26" s="435"/>
      <c r="H26" s="435"/>
      <c r="I26" s="435"/>
      <c r="J26" s="435"/>
    </row>
    <row r="27" spans="1:10" ht="12.75">
      <c r="A27" s="444"/>
      <c r="B27" s="445"/>
      <c r="C27" s="447" t="s">
        <v>194</v>
      </c>
      <c r="D27" s="448"/>
      <c r="E27" s="448"/>
      <c r="F27" s="435"/>
      <c r="G27" s="435"/>
      <c r="H27" s="435"/>
      <c r="I27" s="435"/>
      <c r="J27" s="435"/>
    </row>
    <row r="28" spans="1:10" ht="12.75">
      <c r="A28" s="444"/>
      <c r="B28" s="445"/>
      <c r="C28" s="447" t="s">
        <v>194</v>
      </c>
      <c r="D28" s="448"/>
      <c r="E28" s="448"/>
      <c r="F28" s="435"/>
      <c r="G28" s="435"/>
      <c r="H28" s="435"/>
      <c r="I28" s="435"/>
      <c r="J28" s="435"/>
    </row>
    <row r="29" spans="1:10" ht="12.75">
      <c r="A29" s="444"/>
      <c r="B29" s="445"/>
      <c r="C29" s="447" t="s">
        <v>194</v>
      </c>
      <c r="D29" s="448"/>
      <c r="E29" s="448"/>
      <c r="F29" s="435"/>
      <c r="G29" s="435"/>
      <c r="H29" s="435"/>
      <c r="I29" s="435"/>
      <c r="J29" s="435"/>
    </row>
    <row r="30" spans="1:10" ht="12.75">
      <c r="A30" s="444"/>
      <c r="B30" s="445"/>
      <c r="C30" s="447" t="s">
        <v>194</v>
      </c>
      <c r="D30" s="448"/>
      <c r="E30" s="448"/>
      <c r="F30" s="435"/>
      <c r="G30" s="435"/>
      <c r="H30" s="435"/>
      <c r="I30" s="435"/>
      <c r="J30" s="435"/>
    </row>
    <row r="31" spans="1:10" ht="12.75">
      <c r="A31" s="444"/>
      <c r="B31" s="445"/>
      <c r="C31" s="447" t="s">
        <v>194</v>
      </c>
      <c r="D31" s="448"/>
      <c r="E31" s="448"/>
      <c r="F31" s="435"/>
      <c r="G31" s="435"/>
      <c r="H31" s="435"/>
      <c r="I31" s="435"/>
      <c r="J31" s="435"/>
    </row>
    <row r="32" spans="1:10" ht="12.75">
      <c r="A32" s="444"/>
      <c r="B32" s="445" t="s">
        <v>195</v>
      </c>
      <c r="C32" s="447"/>
      <c r="D32" s="448"/>
      <c r="E32" s="448"/>
      <c r="F32" s="435"/>
      <c r="G32" s="435"/>
      <c r="H32" s="435"/>
      <c r="I32" s="435"/>
      <c r="J32" s="435"/>
    </row>
    <row r="33" spans="1:10" ht="12.75">
      <c r="A33" s="444"/>
      <c r="B33" s="445"/>
      <c r="C33" s="447" t="s">
        <v>194</v>
      </c>
      <c r="D33" s="448"/>
      <c r="E33" s="448"/>
      <c r="F33" s="435"/>
      <c r="G33" s="435"/>
      <c r="H33" s="435"/>
      <c r="I33" s="435"/>
      <c r="J33" s="435"/>
    </row>
    <row r="34" spans="1:10" ht="12.75">
      <c r="A34" s="444"/>
      <c r="B34" s="445"/>
      <c r="C34" s="447" t="s">
        <v>194</v>
      </c>
      <c r="D34" s="448"/>
      <c r="E34" s="448"/>
      <c r="F34" s="435"/>
      <c r="G34" s="435"/>
      <c r="H34" s="435"/>
      <c r="I34" s="435"/>
      <c r="J34" s="435"/>
    </row>
    <row r="35" spans="1:10" ht="12.75">
      <c r="A35" s="444"/>
      <c r="B35" s="445"/>
      <c r="C35" s="447" t="s">
        <v>194</v>
      </c>
      <c r="D35" s="448"/>
      <c r="E35" s="448"/>
      <c r="F35" s="435"/>
      <c r="G35" s="435"/>
      <c r="H35" s="435"/>
      <c r="I35" s="435"/>
      <c r="J35" s="435"/>
    </row>
    <row r="36" spans="1:10" ht="12.75">
      <c r="A36" s="444"/>
      <c r="B36" s="445"/>
      <c r="C36" s="447" t="s">
        <v>194</v>
      </c>
      <c r="D36" s="448"/>
      <c r="E36" s="448"/>
      <c r="F36" s="435"/>
      <c r="G36" s="435"/>
      <c r="H36" s="435"/>
      <c r="I36" s="435"/>
      <c r="J36" s="435"/>
    </row>
    <row r="37" spans="1:10" ht="12.75">
      <c r="A37" s="444"/>
      <c r="B37" s="445"/>
      <c r="C37" s="447" t="s">
        <v>194</v>
      </c>
      <c r="D37" s="448"/>
      <c r="E37" s="448"/>
      <c r="F37" s="435"/>
      <c r="G37" s="435"/>
      <c r="H37" s="435"/>
      <c r="I37" s="435"/>
      <c r="J37" s="435"/>
    </row>
    <row r="38" spans="1:10" ht="12.75">
      <c r="A38" s="444"/>
      <c r="B38" s="445"/>
      <c r="C38" s="447" t="s">
        <v>194</v>
      </c>
      <c r="D38" s="448"/>
      <c r="E38" s="448"/>
      <c r="F38" s="435"/>
      <c r="G38" s="435"/>
      <c r="H38" s="435"/>
      <c r="I38" s="435"/>
      <c r="J38" s="435"/>
    </row>
    <row r="39" spans="1:10" ht="12.75">
      <c r="A39" s="444"/>
      <c r="B39" s="445"/>
      <c r="C39" s="447" t="s">
        <v>194</v>
      </c>
      <c r="D39" s="448"/>
      <c r="E39" s="448"/>
      <c r="F39" s="435"/>
      <c r="G39" s="435"/>
      <c r="H39" s="435"/>
      <c r="I39" s="435"/>
      <c r="J39" s="435"/>
    </row>
    <row r="40" spans="1:10" ht="12.75">
      <c r="A40" s="444"/>
      <c r="B40" s="445"/>
      <c r="C40" s="447" t="s">
        <v>194</v>
      </c>
      <c r="D40" s="448"/>
      <c r="E40" s="448"/>
      <c r="F40" s="435"/>
      <c r="G40" s="435"/>
      <c r="H40" s="435"/>
      <c r="I40" s="435"/>
      <c r="J40" s="435"/>
    </row>
    <row r="41" spans="1:10" ht="12.75">
      <c r="A41" s="440"/>
      <c r="B41" s="441"/>
      <c r="C41" s="452"/>
      <c r="D41" s="451"/>
      <c r="E41" s="451"/>
      <c r="F41" s="435"/>
      <c r="G41" s="435"/>
      <c r="H41" s="435"/>
      <c r="I41" s="435"/>
      <c r="J41" s="435"/>
    </row>
  </sheetData>
  <mergeCells count="1">
    <mergeCell ref="D3:E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5"/>
  <sheetViews>
    <sheetView view="pageBreakPreview" zoomScale="60" workbookViewId="0" topLeftCell="K1">
      <pane ySplit="3420" topLeftCell="BM36" activePane="bottomLeft" state="split"/>
      <selection pane="topLeft" activeCell="K1" sqref="K1"/>
      <selection pane="bottomLeft" activeCell="S42" sqref="S42"/>
    </sheetView>
  </sheetViews>
  <sheetFormatPr defaultColWidth="9.00390625" defaultRowHeight="12.75"/>
  <cols>
    <col min="1" max="3" width="13.25390625" style="516" customWidth="1"/>
    <col min="4" max="4" width="9.375" style="516" customWidth="1"/>
    <col min="5" max="24" width="9.375" style="520" customWidth="1"/>
    <col min="25" max="16384" width="7.75390625" style="516" customWidth="1"/>
  </cols>
  <sheetData>
    <row r="1" spans="1:25" s="481" customFormat="1" ht="12.75">
      <c r="A1" s="68" t="s">
        <v>72</v>
      </c>
      <c r="B1" s="22"/>
      <c r="C1" s="22"/>
      <c r="D1" s="22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22"/>
    </row>
    <row r="2" spans="1:22" s="481" customFormat="1" ht="12.75">
      <c r="A2" s="22"/>
      <c r="B2" s="22"/>
      <c r="C2" s="22"/>
      <c r="D2" s="22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s="481" customFormat="1" ht="12.75">
      <c r="A3" s="23" t="s">
        <v>73</v>
      </c>
      <c r="B3" s="461" t="s">
        <v>158</v>
      </c>
      <c r="C3" s="24" t="s">
        <v>138</v>
      </c>
      <c r="D3" s="25"/>
      <c r="E3" s="100"/>
      <c r="F3" s="101"/>
      <c r="G3" s="102" t="s">
        <v>19</v>
      </c>
      <c r="H3" s="103"/>
      <c r="I3" s="102" t="s">
        <v>20</v>
      </c>
      <c r="J3" s="103"/>
      <c r="M3" s="462"/>
      <c r="N3" s="96"/>
      <c r="O3" s="96"/>
      <c r="P3" s="96"/>
      <c r="Q3" s="96"/>
      <c r="R3" s="96"/>
      <c r="S3" s="96"/>
      <c r="T3" s="96"/>
      <c r="U3" s="96"/>
      <c r="V3" s="96"/>
    </row>
    <row r="4" spans="1:22" s="481" customFormat="1" ht="12.75">
      <c r="A4" s="23" t="s">
        <v>74</v>
      </c>
      <c r="B4" s="461" t="s">
        <v>159</v>
      </c>
      <c r="C4" s="24" t="s">
        <v>75</v>
      </c>
      <c r="D4" s="25"/>
      <c r="E4" s="104" t="s">
        <v>76</v>
      </c>
      <c r="F4" s="105"/>
      <c r="G4" s="106">
        <v>34</v>
      </c>
      <c r="H4" s="107"/>
      <c r="I4" s="106">
        <v>24.6</v>
      </c>
      <c r="J4" s="107"/>
      <c r="M4" s="462"/>
      <c r="N4" s="96"/>
      <c r="O4" s="96"/>
      <c r="P4" s="96"/>
      <c r="Q4" s="96"/>
      <c r="R4" s="96"/>
      <c r="S4" s="96"/>
      <c r="T4" s="96"/>
      <c r="U4" s="96"/>
      <c r="V4" s="96"/>
    </row>
    <row r="5" spans="1:22" s="481" customFormat="1" ht="12.75">
      <c r="A5" s="23" t="s">
        <v>77</v>
      </c>
      <c r="B5" s="461"/>
      <c r="C5" s="24" t="s">
        <v>78</v>
      </c>
      <c r="D5" s="25"/>
      <c r="E5" s="108" t="s">
        <v>79</v>
      </c>
      <c r="F5" s="109"/>
      <c r="G5" s="110">
        <v>1.68515</v>
      </c>
      <c r="H5" s="111"/>
      <c r="I5" s="110">
        <v>2.31845</v>
      </c>
      <c r="J5" s="112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63" s="481" customFormat="1" ht="12.75">
      <c r="A6" s="23" t="s">
        <v>53</v>
      </c>
      <c r="B6" s="461"/>
      <c r="C6" s="24"/>
      <c r="D6" s="25"/>
      <c r="E6" s="113" t="s">
        <v>80</v>
      </c>
      <c r="F6" s="114"/>
      <c r="G6" s="115">
        <f>G5*G4*PI()/180</f>
        <v>0.9999881402594031</v>
      </c>
      <c r="H6" s="116"/>
      <c r="I6" s="115">
        <f>I5*I4*PI()/180</f>
        <v>0.9954288166544184</v>
      </c>
      <c r="J6" s="117"/>
      <c r="K6" s="96"/>
      <c r="L6" s="96"/>
      <c r="M6" s="462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22"/>
      <c r="BI6" s="9"/>
      <c r="BJ6" s="12"/>
      <c r="BK6" s="12"/>
    </row>
    <row r="7" spans="1:63" s="481" customFormat="1" ht="12.75">
      <c r="A7" s="96" t="s">
        <v>81</v>
      </c>
      <c r="B7" s="96"/>
      <c r="C7" s="178">
        <v>34129</v>
      </c>
      <c r="D7" s="25"/>
      <c r="E7" s="96"/>
      <c r="F7" s="96"/>
      <c r="G7" s="96"/>
      <c r="H7" s="96"/>
      <c r="I7" s="96"/>
      <c r="J7" s="96"/>
      <c r="K7" s="96"/>
      <c r="L7" s="96"/>
      <c r="M7" s="462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22"/>
      <c r="BI7" s="9"/>
      <c r="BJ7" s="12"/>
      <c r="BK7" s="12"/>
    </row>
    <row r="8" spans="1:63" s="481" customFormat="1" ht="12.75">
      <c r="A8" s="96" t="s">
        <v>82</v>
      </c>
      <c r="B8" s="96"/>
      <c r="C8" s="179" t="s">
        <v>83</v>
      </c>
      <c r="D8" s="25"/>
      <c r="E8" s="96"/>
      <c r="F8" s="96"/>
      <c r="G8" s="96"/>
      <c r="H8" s="96"/>
      <c r="I8" s="96"/>
      <c r="J8" s="96"/>
      <c r="K8" s="96"/>
      <c r="L8" s="96"/>
      <c r="M8" s="462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22"/>
      <c r="BI8" s="9"/>
      <c r="BJ8" s="12"/>
      <c r="BK8" s="12"/>
    </row>
    <row r="9" spans="1:63" s="481" customFormat="1" ht="12.75">
      <c r="A9" s="23"/>
      <c r="B9" s="461"/>
      <c r="C9" s="47"/>
      <c r="D9" s="47"/>
      <c r="E9" s="96"/>
      <c r="F9" s="96"/>
      <c r="G9" s="96"/>
      <c r="H9" s="96"/>
      <c r="I9" s="96"/>
      <c r="J9" s="96"/>
      <c r="K9" s="96"/>
      <c r="L9" s="96"/>
      <c r="M9" s="462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22"/>
      <c r="BF9" s="9"/>
      <c r="BI9" s="10"/>
      <c r="BJ9" s="12"/>
      <c r="BK9" s="12"/>
    </row>
    <row r="10" spans="1:63" s="481" customFormat="1" ht="12.75">
      <c r="A10" s="493"/>
      <c r="B10" s="493" t="s">
        <v>84</v>
      </c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N10" s="491"/>
      <c r="O10" s="491" t="s">
        <v>84</v>
      </c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BF10" s="9"/>
      <c r="BI10" s="10"/>
      <c r="BJ10" s="12"/>
      <c r="BK10" s="12"/>
    </row>
    <row r="11" spans="1:63" s="481" customFormat="1" ht="12.75">
      <c r="A11" s="494"/>
      <c r="B11" s="497" t="s">
        <v>85</v>
      </c>
      <c r="C11" s="498"/>
      <c r="D11" s="497" t="s">
        <v>85</v>
      </c>
      <c r="E11" s="498"/>
      <c r="F11" s="497" t="s">
        <v>85</v>
      </c>
      <c r="G11" s="498"/>
      <c r="H11" s="497" t="s">
        <v>85</v>
      </c>
      <c r="I11" s="498"/>
      <c r="J11" s="497" t="s">
        <v>85</v>
      </c>
      <c r="K11" s="498"/>
      <c r="L11" s="494"/>
      <c r="N11" s="492"/>
      <c r="O11" s="496" t="s">
        <v>85</v>
      </c>
      <c r="P11" s="188"/>
      <c r="Q11" s="496" t="s">
        <v>85</v>
      </c>
      <c r="R11" s="188"/>
      <c r="S11" s="496" t="s">
        <v>85</v>
      </c>
      <c r="T11" s="188"/>
      <c r="U11" s="496" t="s">
        <v>85</v>
      </c>
      <c r="V11" s="188"/>
      <c r="W11" s="496" t="s">
        <v>85</v>
      </c>
      <c r="X11" s="188"/>
      <c r="Y11" s="492"/>
      <c r="BF11" s="9"/>
      <c r="BI11" s="10"/>
      <c r="BJ11" s="12"/>
      <c r="BK11" s="12"/>
    </row>
    <row r="12" spans="1:63" s="481" customFormat="1" ht="12.75">
      <c r="A12" s="494" t="s">
        <v>86</v>
      </c>
      <c r="B12" s="500"/>
      <c r="C12" s="501"/>
      <c r="D12" s="500">
        <v>3135</v>
      </c>
      <c r="E12" s="501"/>
      <c r="F12" s="500">
        <v>3918</v>
      </c>
      <c r="G12" s="501"/>
      <c r="H12" s="500">
        <v>4703</v>
      </c>
      <c r="I12" s="501"/>
      <c r="J12" s="500">
        <v>5486</v>
      </c>
      <c r="K12" s="501"/>
      <c r="L12" s="494" t="s">
        <v>86</v>
      </c>
      <c r="N12" s="492" t="s">
        <v>86</v>
      </c>
      <c r="O12" s="499"/>
      <c r="P12" s="189"/>
      <c r="Q12" s="499">
        <v>3135</v>
      </c>
      <c r="R12" s="189"/>
      <c r="S12" s="499">
        <v>3918</v>
      </c>
      <c r="T12" s="189"/>
      <c r="U12" s="499">
        <v>4703</v>
      </c>
      <c r="V12" s="189"/>
      <c r="W12" s="499">
        <v>5486</v>
      </c>
      <c r="X12" s="189"/>
      <c r="Y12" s="492" t="s">
        <v>86</v>
      </c>
      <c r="BF12" s="9"/>
      <c r="BI12" s="10"/>
      <c r="BJ12" s="12"/>
      <c r="BK12" s="12"/>
    </row>
    <row r="13" spans="1:63" s="481" customFormat="1" ht="12.75">
      <c r="A13" s="494" t="s">
        <v>87</v>
      </c>
      <c r="B13" s="503" t="s">
        <v>88</v>
      </c>
      <c r="C13" s="504"/>
      <c r="D13" s="503" t="s">
        <v>89</v>
      </c>
      <c r="E13" s="504"/>
      <c r="F13" s="503" t="s">
        <v>90</v>
      </c>
      <c r="G13" s="504"/>
      <c r="H13" s="503" t="s">
        <v>91</v>
      </c>
      <c r="I13" s="504"/>
      <c r="J13" s="503" t="s">
        <v>92</v>
      </c>
      <c r="K13" s="504"/>
      <c r="L13" s="494" t="s">
        <v>87</v>
      </c>
      <c r="N13" s="492" t="s">
        <v>87</v>
      </c>
      <c r="O13" s="502" t="s">
        <v>88</v>
      </c>
      <c r="P13" s="190"/>
      <c r="Q13" s="502" t="s">
        <v>89</v>
      </c>
      <c r="R13" s="190"/>
      <c r="S13" s="502" t="s">
        <v>90</v>
      </c>
      <c r="T13" s="190"/>
      <c r="U13" s="502" t="s">
        <v>91</v>
      </c>
      <c r="V13" s="190"/>
      <c r="W13" s="502" t="s">
        <v>92</v>
      </c>
      <c r="X13" s="190"/>
      <c r="Y13" s="492" t="s">
        <v>87</v>
      </c>
      <c r="BF13" s="9"/>
      <c r="BI13" s="10"/>
      <c r="BJ13" s="12"/>
      <c r="BK13" s="12"/>
    </row>
    <row r="14" spans="1:63" s="481" customFormat="1" ht="12.75">
      <c r="A14" s="494" t="s">
        <v>93</v>
      </c>
      <c r="B14" s="494"/>
      <c r="C14" s="494"/>
      <c r="D14" s="494"/>
      <c r="E14" s="494"/>
      <c r="F14" s="494"/>
      <c r="G14" s="494"/>
      <c r="H14" s="494"/>
      <c r="I14" s="494"/>
      <c r="J14" s="494"/>
      <c r="K14" s="494"/>
      <c r="L14" s="494" t="s">
        <v>93</v>
      </c>
      <c r="N14" s="492" t="s">
        <v>93</v>
      </c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 t="s">
        <v>93</v>
      </c>
      <c r="BF14" s="9"/>
      <c r="BI14" s="10"/>
      <c r="BJ14" s="12"/>
      <c r="BK14" s="12"/>
    </row>
    <row r="15" spans="1:63" s="481" customFormat="1" ht="12.75">
      <c r="A15" s="494" t="s">
        <v>6</v>
      </c>
      <c r="B15" s="494" t="s">
        <v>94</v>
      </c>
      <c r="C15" s="494" t="s">
        <v>95</v>
      </c>
      <c r="D15" s="494" t="s">
        <v>94</v>
      </c>
      <c r="E15" s="494" t="s">
        <v>95</v>
      </c>
      <c r="F15" s="494" t="s">
        <v>94</v>
      </c>
      <c r="G15" s="494" t="s">
        <v>95</v>
      </c>
      <c r="H15" s="494" t="s">
        <v>94</v>
      </c>
      <c r="I15" s="494" t="s">
        <v>95</v>
      </c>
      <c r="J15" s="494" t="s">
        <v>94</v>
      </c>
      <c r="K15" s="494" t="s">
        <v>95</v>
      </c>
      <c r="L15" s="494" t="s">
        <v>8</v>
      </c>
      <c r="N15" s="492" t="s">
        <v>8</v>
      </c>
      <c r="O15" s="492" t="s">
        <v>94</v>
      </c>
      <c r="P15" s="492" t="s">
        <v>95</v>
      </c>
      <c r="Q15" s="492" t="s">
        <v>94</v>
      </c>
      <c r="R15" s="492" t="s">
        <v>95</v>
      </c>
      <c r="S15" s="492" t="s">
        <v>94</v>
      </c>
      <c r="T15" s="492" t="s">
        <v>95</v>
      </c>
      <c r="U15" s="492" t="s">
        <v>94</v>
      </c>
      <c r="V15" s="492" t="s">
        <v>95</v>
      </c>
      <c r="W15" s="492" t="s">
        <v>94</v>
      </c>
      <c r="X15" s="492" t="s">
        <v>95</v>
      </c>
      <c r="Y15" s="492" t="s">
        <v>8</v>
      </c>
      <c r="BF15" s="9"/>
      <c r="BI15" s="10"/>
      <c r="BJ15" s="12"/>
      <c r="BK15" s="12"/>
    </row>
    <row r="16" spans="1:63" s="481" customFormat="1" ht="12.75">
      <c r="A16" s="494" t="s">
        <v>96</v>
      </c>
      <c r="B16" s="494"/>
      <c r="C16" s="494"/>
      <c r="D16" s="494">
        <v>-0.00138</v>
      </c>
      <c r="E16" s="494">
        <v>0</v>
      </c>
      <c r="F16" s="494">
        <v>0.00304</v>
      </c>
      <c r="G16" s="494">
        <v>0.00222</v>
      </c>
      <c r="H16" s="494">
        <v>0.00722</v>
      </c>
      <c r="I16" s="494">
        <v>0.00426</v>
      </c>
      <c r="J16" s="494">
        <v>0.0114</v>
      </c>
      <c r="K16" s="494">
        <v>0.00646</v>
      </c>
      <c r="L16" s="494" t="s">
        <v>96</v>
      </c>
      <c r="N16" s="492" t="s">
        <v>96</v>
      </c>
      <c r="O16" s="492"/>
      <c r="P16" s="492"/>
      <c r="Q16" s="492">
        <v>-0.00144</v>
      </c>
      <c r="R16" s="492">
        <v>0</v>
      </c>
      <c r="S16" s="492">
        <v>0.00298</v>
      </c>
      <c r="T16" s="492">
        <v>0.0022</v>
      </c>
      <c r="U16" s="492">
        <v>0.00722</v>
      </c>
      <c r="V16" s="492">
        <v>0.00418</v>
      </c>
      <c r="W16" s="492">
        <v>0.01152</v>
      </c>
      <c r="X16" s="492">
        <v>0.00634</v>
      </c>
      <c r="Y16" s="492" t="s">
        <v>96</v>
      </c>
      <c r="BF16" s="9"/>
      <c r="BI16" s="10"/>
      <c r="BJ16" s="12"/>
      <c r="BK16" s="12"/>
    </row>
    <row r="17" spans="1:63" s="182" customFormat="1" ht="12.75" hidden="1">
      <c r="A17" s="494" t="s">
        <v>97</v>
      </c>
      <c r="B17" s="494"/>
      <c r="C17" s="494"/>
      <c r="D17" s="494">
        <v>0.00562</v>
      </c>
      <c r="E17" s="494">
        <v>0.00236</v>
      </c>
      <c r="F17" s="494">
        <v>0.00838</v>
      </c>
      <c r="G17" s="494">
        <v>0.00416</v>
      </c>
      <c r="H17" s="494">
        <v>0.01102</v>
      </c>
      <c r="I17" s="494">
        <v>0.00588</v>
      </c>
      <c r="J17" s="494">
        <v>0.01148</v>
      </c>
      <c r="K17" s="494">
        <v>0.00646</v>
      </c>
      <c r="L17" s="494" t="s">
        <v>97</v>
      </c>
      <c r="M17" s="481"/>
      <c r="N17" s="492" t="s">
        <v>97</v>
      </c>
      <c r="O17" s="492"/>
      <c r="P17" s="492"/>
      <c r="Q17" s="492">
        <v>0.00566</v>
      </c>
      <c r="R17" s="492">
        <v>0.0023</v>
      </c>
      <c r="S17" s="492">
        <v>0.00848</v>
      </c>
      <c r="T17" s="492">
        <v>0.00404</v>
      </c>
      <c r="U17" s="492">
        <v>0.01116</v>
      </c>
      <c r="V17" s="492">
        <v>0.00574</v>
      </c>
      <c r="W17" s="492">
        <v>0.0116</v>
      </c>
      <c r="X17" s="492">
        <v>0.00634</v>
      </c>
      <c r="Y17" s="492" t="s">
        <v>97</v>
      </c>
      <c r="BF17" s="68"/>
      <c r="BI17" s="183"/>
      <c r="BJ17" s="184"/>
      <c r="BK17" s="184"/>
    </row>
    <row r="18" spans="1:63" s="481" customFormat="1" ht="12.75">
      <c r="A18" s="527">
        <v>2</v>
      </c>
      <c r="B18" s="527"/>
      <c r="C18" s="527"/>
      <c r="D18" s="527">
        <v>-0.0008</v>
      </c>
      <c r="E18" s="527"/>
      <c r="F18" s="527">
        <v>0.00348</v>
      </c>
      <c r="G18" s="527"/>
      <c r="H18" s="527">
        <v>0.00762</v>
      </c>
      <c r="I18" s="527"/>
      <c r="J18" s="527">
        <v>0.01176</v>
      </c>
      <c r="K18" s="527"/>
      <c r="L18" s="527">
        <v>2</v>
      </c>
      <c r="M18" s="223"/>
      <c r="N18" s="492">
        <v>2</v>
      </c>
      <c r="O18" s="492"/>
      <c r="P18" s="492"/>
      <c r="Q18" s="492">
        <v>-0.00162</v>
      </c>
      <c r="R18" s="492"/>
      <c r="S18" s="492">
        <v>0.0027</v>
      </c>
      <c r="T18" s="492"/>
      <c r="U18" s="492">
        <v>0.007</v>
      </c>
      <c r="V18" s="492"/>
      <c r="W18" s="492">
        <v>0.01144</v>
      </c>
      <c r="X18" s="492"/>
      <c r="Y18" s="492">
        <v>2</v>
      </c>
      <c r="BF18" s="9"/>
      <c r="BI18" s="10"/>
      <c r="BJ18" s="12"/>
      <c r="BK18" s="12"/>
    </row>
    <row r="19" spans="1:63" s="481" customFormat="1" ht="12.75">
      <c r="A19" s="494">
        <v>3</v>
      </c>
      <c r="B19" s="494"/>
      <c r="C19" s="494"/>
      <c r="D19" s="494">
        <v>-0.00236</v>
      </c>
      <c r="E19" s="494"/>
      <c r="F19" s="494">
        <v>0.00194</v>
      </c>
      <c r="G19" s="494"/>
      <c r="H19" s="494">
        <v>0.00612</v>
      </c>
      <c r="I19" s="494"/>
      <c r="J19" s="494">
        <v>0.0104</v>
      </c>
      <c r="K19" s="494"/>
      <c r="L19" s="494">
        <v>3</v>
      </c>
      <c r="N19" s="492">
        <v>3</v>
      </c>
      <c r="O19" s="492"/>
      <c r="P19" s="492"/>
      <c r="Q19" s="492">
        <v>-0.00122</v>
      </c>
      <c r="R19" s="492"/>
      <c r="S19" s="492">
        <v>0.0032</v>
      </c>
      <c r="T19" s="492"/>
      <c r="U19" s="492">
        <v>0.00742</v>
      </c>
      <c r="V19" s="492"/>
      <c r="W19" s="492">
        <v>0.0118</v>
      </c>
      <c r="X19" s="492"/>
      <c r="Y19" s="492">
        <v>3</v>
      </c>
      <c r="BF19" s="9"/>
      <c r="BI19" s="10"/>
      <c r="BJ19" s="12"/>
      <c r="BK19" s="12"/>
    </row>
    <row r="20" spans="1:63" s="481" customFormat="1" ht="12.75">
      <c r="A20" s="494" t="s">
        <v>98</v>
      </c>
      <c r="B20" s="494"/>
      <c r="C20" s="494"/>
      <c r="D20" s="494">
        <v>-0.00016</v>
      </c>
      <c r="E20" s="494"/>
      <c r="F20" s="494">
        <v>0.00398</v>
      </c>
      <c r="G20" s="494"/>
      <c r="H20" s="494">
        <v>0.00816</v>
      </c>
      <c r="I20" s="494"/>
      <c r="J20" s="494">
        <v>0.01236</v>
      </c>
      <c r="K20" s="494"/>
      <c r="L20" s="494" t="s">
        <v>98</v>
      </c>
      <c r="N20" s="492" t="s">
        <v>98</v>
      </c>
      <c r="O20" s="492"/>
      <c r="P20" s="492"/>
      <c r="Q20" s="492">
        <v>-0.00108</v>
      </c>
      <c r="R20" s="492"/>
      <c r="S20" s="492">
        <v>0.0034</v>
      </c>
      <c r="T20" s="492"/>
      <c r="U20" s="492">
        <v>0.00762</v>
      </c>
      <c r="V20" s="492"/>
      <c r="W20" s="492">
        <v>0.01188</v>
      </c>
      <c r="X20" s="492"/>
      <c r="Y20" s="492" t="s">
        <v>98</v>
      </c>
      <c r="BF20" s="9"/>
      <c r="BI20" s="10"/>
      <c r="BJ20" s="12"/>
      <c r="BK20" s="12"/>
    </row>
    <row r="21" spans="1:63" s="182" customFormat="1" ht="12.75" hidden="1">
      <c r="A21" s="494" t="s">
        <v>99</v>
      </c>
      <c r="B21" s="494"/>
      <c r="C21" s="494"/>
      <c r="D21" s="494">
        <v>0.00686</v>
      </c>
      <c r="E21" s="494"/>
      <c r="F21" s="494">
        <v>0.00958</v>
      </c>
      <c r="G21" s="494"/>
      <c r="H21" s="494">
        <v>0.01206</v>
      </c>
      <c r="I21" s="494"/>
      <c r="J21" s="494">
        <v>0.01244</v>
      </c>
      <c r="K21" s="494"/>
      <c r="L21" s="494" t="s">
        <v>99</v>
      </c>
      <c r="M21" s="481"/>
      <c r="N21" s="492" t="s">
        <v>99</v>
      </c>
      <c r="O21" s="492"/>
      <c r="P21" s="492"/>
      <c r="Q21" s="492">
        <v>0.00602</v>
      </c>
      <c r="R21" s="492"/>
      <c r="S21" s="492">
        <v>0.00882</v>
      </c>
      <c r="T21" s="492"/>
      <c r="U21" s="492">
        <v>0.01148</v>
      </c>
      <c r="V21" s="492"/>
      <c r="W21" s="492">
        <v>0.01196</v>
      </c>
      <c r="X21" s="492"/>
      <c r="Y21" s="492" t="s">
        <v>99</v>
      </c>
      <c r="BF21" s="68"/>
      <c r="BI21" s="183"/>
      <c r="BJ21" s="184"/>
      <c r="BK21" s="184"/>
    </row>
    <row r="22" spans="1:63" s="481" customFormat="1" ht="12.75">
      <c r="A22" s="527">
        <v>5</v>
      </c>
      <c r="B22" s="527"/>
      <c r="C22" s="527"/>
      <c r="D22" s="527">
        <v>-0.0007</v>
      </c>
      <c r="E22" s="527"/>
      <c r="F22" s="527">
        <v>0.0036</v>
      </c>
      <c r="G22" s="527"/>
      <c r="H22" s="527">
        <v>0.00778</v>
      </c>
      <c r="I22" s="527"/>
      <c r="J22" s="527">
        <v>0.01208</v>
      </c>
      <c r="K22" s="527"/>
      <c r="L22" s="527">
        <v>5</v>
      </c>
      <c r="M22" s="223"/>
      <c r="N22" s="492">
        <v>5</v>
      </c>
      <c r="O22" s="492"/>
      <c r="P22" s="492"/>
      <c r="Q22" s="492">
        <v>-0.00318</v>
      </c>
      <c r="R22" s="492"/>
      <c r="S22" s="492">
        <v>0.00124</v>
      </c>
      <c r="T22" s="492"/>
      <c r="U22" s="492">
        <v>0.00562</v>
      </c>
      <c r="V22" s="492"/>
      <c r="W22" s="492">
        <v>0.01008</v>
      </c>
      <c r="X22" s="492"/>
      <c r="Y22" s="492">
        <v>5</v>
      </c>
      <c r="BF22" s="9"/>
      <c r="BI22" s="10"/>
      <c r="BJ22" s="12"/>
      <c r="BK22" s="12"/>
    </row>
    <row r="23" spans="1:63" s="481" customFormat="1" ht="12.75">
      <c r="A23" s="494">
        <v>6</v>
      </c>
      <c r="B23" s="494"/>
      <c r="C23" s="494"/>
      <c r="D23" s="494">
        <v>-0.0014</v>
      </c>
      <c r="E23" s="494"/>
      <c r="F23" s="494">
        <v>0.00306</v>
      </c>
      <c r="G23" s="494"/>
      <c r="H23" s="494">
        <v>0.00736</v>
      </c>
      <c r="I23" s="494"/>
      <c r="J23" s="494">
        <v>0.01178</v>
      </c>
      <c r="K23" s="494"/>
      <c r="L23" s="494">
        <v>6</v>
      </c>
      <c r="N23" s="492">
        <v>6</v>
      </c>
      <c r="O23" s="492"/>
      <c r="P23" s="492"/>
      <c r="Q23" s="492">
        <v>-0.00132</v>
      </c>
      <c r="R23" s="492"/>
      <c r="S23" s="492">
        <v>0.00312</v>
      </c>
      <c r="T23" s="492"/>
      <c r="U23" s="492">
        <v>0.00736</v>
      </c>
      <c r="V23" s="492"/>
      <c r="W23" s="492">
        <v>0.01166</v>
      </c>
      <c r="X23" s="492"/>
      <c r="Y23" s="492">
        <v>6</v>
      </c>
      <c r="BF23" s="9"/>
      <c r="BI23" s="10"/>
      <c r="BJ23" s="12"/>
      <c r="BK23" s="12"/>
    </row>
    <row r="24" spans="1:63" s="481" customFormat="1" ht="12.75">
      <c r="A24" s="494" t="s">
        <v>100</v>
      </c>
      <c r="B24" s="494"/>
      <c r="C24" s="494"/>
      <c r="D24" s="494">
        <v>-0.00132</v>
      </c>
      <c r="E24" s="494"/>
      <c r="F24" s="494">
        <v>0.00308</v>
      </c>
      <c r="G24" s="494"/>
      <c r="H24" s="494">
        <v>0.0074</v>
      </c>
      <c r="I24" s="494"/>
      <c r="J24" s="494">
        <v>0.01178</v>
      </c>
      <c r="K24" s="494"/>
      <c r="L24" s="494" t="s">
        <v>100</v>
      </c>
      <c r="N24" s="492" t="s">
        <v>100</v>
      </c>
      <c r="O24" s="492"/>
      <c r="P24" s="492"/>
      <c r="Q24" s="492">
        <v>-0.00144</v>
      </c>
      <c r="R24" s="492"/>
      <c r="S24" s="492">
        <v>0.003</v>
      </c>
      <c r="T24" s="492"/>
      <c r="U24" s="492">
        <v>0.00724</v>
      </c>
      <c r="V24" s="492"/>
      <c r="W24" s="492">
        <v>0.01168</v>
      </c>
      <c r="X24" s="492"/>
      <c r="Y24" s="492" t="s">
        <v>100</v>
      </c>
      <c r="BF24" s="9"/>
      <c r="BI24" s="10"/>
      <c r="BJ24" s="12"/>
      <c r="BK24" s="12"/>
    </row>
    <row r="25" spans="1:63" s="182" customFormat="1" ht="12.75" hidden="1">
      <c r="A25" s="494" t="s">
        <v>101</v>
      </c>
      <c r="B25" s="494"/>
      <c r="C25" s="494"/>
      <c r="D25" s="494">
        <v>-0.00608</v>
      </c>
      <c r="E25" s="494"/>
      <c r="F25" s="494">
        <v>0.00884</v>
      </c>
      <c r="G25" s="494"/>
      <c r="H25" s="494">
        <v>0.01146</v>
      </c>
      <c r="I25" s="494"/>
      <c r="J25" s="494">
        <v>0.01186</v>
      </c>
      <c r="K25" s="494"/>
      <c r="L25" s="494" t="s">
        <v>101</v>
      </c>
      <c r="M25" s="481"/>
      <c r="N25" s="492" t="s">
        <v>101</v>
      </c>
      <c r="O25" s="492"/>
      <c r="P25" s="492"/>
      <c r="Q25" s="492">
        <v>0.00588</v>
      </c>
      <c r="R25" s="492"/>
      <c r="S25" s="492">
        <v>0.0087</v>
      </c>
      <c r="T25" s="492"/>
      <c r="U25" s="492">
        <v>0.01138</v>
      </c>
      <c r="V25" s="492"/>
      <c r="W25" s="492">
        <v>0.01178</v>
      </c>
      <c r="X25" s="492"/>
      <c r="Y25" s="492" t="s">
        <v>101</v>
      </c>
      <c r="BF25" s="68"/>
      <c r="BI25" s="183"/>
      <c r="BJ25" s="184"/>
      <c r="BK25" s="184"/>
    </row>
    <row r="26" spans="1:63" s="481" customFormat="1" ht="12.75">
      <c r="A26" s="527">
        <v>8</v>
      </c>
      <c r="B26" s="527"/>
      <c r="C26" s="527"/>
      <c r="D26" s="527">
        <v>-0.00178</v>
      </c>
      <c r="E26" s="527"/>
      <c r="F26" s="527">
        <v>0.00264</v>
      </c>
      <c r="G26" s="527"/>
      <c r="H26" s="527">
        <v>0.00704</v>
      </c>
      <c r="I26" s="527"/>
      <c r="J26" s="527">
        <v>0.01152</v>
      </c>
      <c r="K26" s="527"/>
      <c r="L26" s="527">
        <v>8</v>
      </c>
      <c r="M26" s="223"/>
      <c r="N26" s="492">
        <v>8</v>
      </c>
      <c r="O26" s="492"/>
      <c r="P26" s="492"/>
      <c r="Q26" s="492">
        <v>-0.00172</v>
      </c>
      <c r="R26" s="492"/>
      <c r="S26" s="492">
        <v>0.00268</v>
      </c>
      <c r="T26" s="492"/>
      <c r="U26" s="492">
        <v>0.00718</v>
      </c>
      <c r="V26" s="492"/>
      <c r="W26" s="492">
        <v>0.01156</v>
      </c>
      <c r="X26" s="492"/>
      <c r="Y26" s="492">
        <v>8</v>
      </c>
      <c r="BF26" s="9"/>
      <c r="BI26" s="10"/>
      <c r="BJ26" s="12"/>
      <c r="BK26" s="12"/>
    </row>
    <row r="27" spans="1:63" s="481" customFormat="1" ht="12.75">
      <c r="A27" s="494">
        <v>9</v>
      </c>
      <c r="B27" s="494"/>
      <c r="C27" s="494"/>
      <c r="D27" s="494">
        <v>-0.0016</v>
      </c>
      <c r="E27" s="494"/>
      <c r="F27" s="494">
        <v>0.00288</v>
      </c>
      <c r="G27" s="494"/>
      <c r="H27" s="494">
        <v>0.00722</v>
      </c>
      <c r="I27" s="494"/>
      <c r="J27" s="494">
        <v>0.01168</v>
      </c>
      <c r="K27" s="494"/>
      <c r="L27" s="494">
        <v>9</v>
      </c>
      <c r="N27" s="492">
        <v>9</v>
      </c>
      <c r="O27" s="492"/>
      <c r="P27" s="492"/>
      <c r="Q27" s="492">
        <v>-0.0013</v>
      </c>
      <c r="R27" s="492"/>
      <c r="S27" s="492">
        <v>0.00316</v>
      </c>
      <c r="T27" s="492"/>
      <c r="U27" s="492">
        <v>0.0075</v>
      </c>
      <c r="V27" s="492"/>
      <c r="W27" s="492">
        <v>0.0119</v>
      </c>
      <c r="X27" s="492"/>
      <c r="Y27" s="492">
        <v>9</v>
      </c>
      <c r="BF27" s="9"/>
      <c r="BI27" s="10"/>
      <c r="BJ27" s="12"/>
      <c r="BK27" s="12"/>
    </row>
    <row r="28" spans="1:63" s="481" customFormat="1" ht="12.75">
      <c r="A28" s="494" t="s">
        <v>102</v>
      </c>
      <c r="B28" s="494"/>
      <c r="C28" s="494"/>
      <c r="D28" s="494">
        <v>-0.0012</v>
      </c>
      <c r="E28" s="494"/>
      <c r="F28" s="494">
        <v>0.00326</v>
      </c>
      <c r="G28" s="494"/>
      <c r="H28" s="494">
        <v>0.00756</v>
      </c>
      <c r="I28" s="494"/>
      <c r="J28" s="494">
        <v>0.01188</v>
      </c>
      <c r="K28" s="494"/>
      <c r="L28" s="494" t="s">
        <v>102</v>
      </c>
      <c r="N28" s="492" t="s">
        <v>102</v>
      </c>
      <c r="O28" s="492"/>
      <c r="P28" s="492"/>
      <c r="Q28" s="492">
        <v>-0.00112</v>
      </c>
      <c r="R28" s="492"/>
      <c r="S28" s="492">
        <v>0.0033</v>
      </c>
      <c r="T28" s="492"/>
      <c r="U28" s="492">
        <v>0.0076</v>
      </c>
      <c r="V28" s="492"/>
      <c r="W28" s="492">
        <v>0.01196</v>
      </c>
      <c r="X28" s="492"/>
      <c r="Y28" s="492" t="s">
        <v>102</v>
      </c>
      <c r="BF28" s="9"/>
      <c r="BI28" s="10"/>
      <c r="BJ28" s="12"/>
      <c r="BK28" s="12"/>
    </row>
    <row r="29" spans="1:63" s="182" customFormat="1" ht="12.75" hidden="1">
      <c r="A29" s="494" t="s">
        <v>103</v>
      </c>
      <c r="B29" s="494"/>
      <c r="C29" s="494"/>
      <c r="D29" s="494">
        <v>-0.00614</v>
      </c>
      <c r="E29" s="494"/>
      <c r="F29" s="494">
        <v>0.00886</v>
      </c>
      <c r="G29" s="494"/>
      <c r="H29" s="494">
        <v>0.01156</v>
      </c>
      <c r="I29" s="494"/>
      <c r="J29" s="494">
        <v>0.01196</v>
      </c>
      <c r="K29" s="494"/>
      <c r="L29" s="494" t="s">
        <v>103</v>
      </c>
      <c r="M29" s="481"/>
      <c r="N29" s="492" t="s">
        <v>103</v>
      </c>
      <c r="O29" s="492"/>
      <c r="P29" s="492"/>
      <c r="Q29" s="492">
        <v>0.0062</v>
      </c>
      <c r="R29" s="492"/>
      <c r="S29" s="492">
        <v>0.00898</v>
      </c>
      <c r="T29" s="492"/>
      <c r="U29" s="492">
        <v>0.01168</v>
      </c>
      <c r="V29" s="492"/>
      <c r="W29" s="492">
        <v>0.01206</v>
      </c>
      <c r="X29" s="492"/>
      <c r="Y29" s="492" t="s">
        <v>103</v>
      </c>
      <c r="BF29" s="68"/>
      <c r="BI29" s="183"/>
      <c r="BJ29" s="184"/>
      <c r="BK29" s="184"/>
    </row>
    <row r="30" spans="1:63" s="481" customFormat="1" ht="12.75">
      <c r="A30" s="527">
        <v>11</v>
      </c>
      <c r="B30" s="527"/>
      <c r="C30" s="527"/>
      <c r="D30" s="527">
        <v>-0.0017</v>
      </c>
      <c r="E30" s="527"/>
      <c r="F30" s="527">
        <v>0.00276</v>
      </c>
      <c r="G30" s="527"/>
      <c r="H30" s="527">
        <v>0.00718</v>
      </c>
      <c r="I30" s="527"/>
      <c r="J30" s="527">
        <v>0.01152</v>
      </c>
      <c r="K30" s="527"/>
      <c r="L30" s="527">
        <v>11</v>
      </c>
      <c r="M30" s="223"/>
      <c r="N30" s="492">
        <v>11</v>
      </c>
      <c r="O30" s="492"/>
      <c r="P30" s="492"/>
      <c r="Q30" s="492">
        <v>-0.0015</v>
      </c>
      <c r="R30" s="492"/>
      <c r="S30" s="492">
        <v>0.00298</v>
      </c>
      <c r="T30" s="492"/>
      <c r="U30" s="492">
        <v>0.00734</v>
      </c>
      <c r="V30" s="492"/>
      <c r="W30" s="492">
        <v>0.0117</v>
      </c>
      <c r="X30" s="492"/>
      <c r="Y30" s="492">
        <v>11</v>
      </c>
      <c r="BF30" s="9"/>
      <c r="BI30" s="10"/>
      <c r="BJ30" s="12"/>
      <c r="BK30" s="12"/>
    </row>
    <row r="31" spans="1:63" s="481" customFormat="1" ht="12.75">
      <c r="A31" s="494">
        <v>12</v>
      </c>
      <c r="B31" s="494"/>
      <c r="C31" s="494"/>
      <c r="D31" s="494">
        <v>-0.0014</v>
      </c>
      <c r="E31" s="494"/>
      <c r="F31" s="494">
        <v>0.00296</v>
      </c>
      <c r="G31" s="494"/>
      <c r="H31" s="494">
        <v>0.00736</v>
      </c>
      <c r="I31" s="494"/>
      <c r="J31" s="494">
        <v>0.01168</v>
      </c>
      <c r="K31" s="494"/>
      <c r="L31" s="494">
        <v>12</v>
      </c>
      <c r="N31" s="492">
        <v>12</v>
      </c>
      <c r="O31" s="492"/>
      <c r="P31" s="492"/>
      <c r="Q31" s="492">
        <v>-0.0016</v>
      </c>
      <c r="R31" s="492"/>
      <c r="S31" s="492">
        <v>0.00282</v>
      </c>
      <c r="T31" s="492"/>
      <c r="U31" s="492">
        <v>0.00716</v>
      </c>
      <c r="V31" s="492"/>
      <c r="W31" s="492">
        <v>0.01148</v>
      </c>
      <c r="X31" s="492"/>
      <c r="Y31" s="492">
        <v>12</v>
      </c>
      <c r="BF31" s="9"/>
      <c r="BI31" s="10"/>
      <c r="BJ31" s="12"/>
      <c r="BK31" s="12"/>
    </row>
    <row r="32" spans="1:63" s="481" customFormat="1" ht="12.75">
      <c r="A32" s="494" t="s">
        <v>104</v>
      </c>
      <c r="B32" s="494"/>
      <c r="C32" s="494"/>
      <c r="D32" s="494">
        <v>-0.00134</v>
      </c>
      <c r="E32" s="494"/>
      <c r="F32" s="494">
        <v>0.00312</v>
      </c>
      <c r="G32" s="494"/>
      <c r="H32" s="494">
        <v>0.00736</v>
      </c>
      <c r="I32" s="494"/>
      <c r="J32" s="494">
        <v>0.0118</v>
      </c>
      <c r="K32" s="494"/>
      <c r="L32" s="494" t="s">
        <v>104</v>
      </c>
      <c r="N32" s="492" t="s">
        <v>104</v>
      </c>
      <c r="O32" s="492"/>
      <c r="P32" s="492"/>
      <c r="Q32" s="492">
        <v>-0.00136</v>
      </c>
      <c r="R32" s="492"/>
      <c r="S32" s="492">
        <v>0.00306</v>
      </c>
      <c r="T32" s="492"/>
      <c r="U32" s="492">
        <v>0.00724</v>
      </c>
      <c r="V32" s="492"/>
      <c r="W32" s="492">
        <v>0.0117</v>
      </c>
      <c r="X32" s="492"/>
      <c r="Y32" s="492" t="s">
        <v>104</v>
      </c>
      <c r="BF32" s="9"/>
      <c r="BI32" s="10"/>
      <c r="BJ32" s="12"/>
      <c r="BK32" s="12"/>
    </row>
    <row r="33" spans="1:63" s="182" customFormat="1" ht="12.75" hidden="1">
      <c r="A33" s="494" t="s">
        <v>105</v>
      </c>
      <c r="B33" s="494"/>
      <c r="C33" s="494"/>
      <c r="D33" s="494">
        <v>0.00602</v>
      </c>
      <c r="E33" s="494"/>
      <c r="F33" s="494">
        <v>0.00882</v>
      </c>
      <c r="G33" s="494"/>
      <c r="H33" s="494">
        <v>0.0115</v>
      </c>
      <c r="I33" s="494"/>
      <c r="J33" s="494">
        <v>0.01184</v>
      </c>
      <c r="K33" s="494"/>
      <c r="L33" s="494" t="s">
        <v>105</v>
      </c>
      <c r="M33" s="481"/>
      <c r="N33" s="492" t="s">
        <v>105</v>
      </c>
      <c r="O33" s="492"/>
      <c r="P33" s="492"/>
      <c r="Q33" s="492">
        <v>0.00594</v>
      </c>
      <c r="R33" s="492"/>
      <c r="S33" s="492">
        <v>0.00872</v>
      </c>
      <c r="T33" s="492"/>
      <c r="U33" s="492">
        <v>0.01146</v>
      </c>
      <c r="V33" s="492"/>
      <c r="W33" s="492">
        <v>0.01184</v>
      </c>
      <c r="X33" s="492"/>
      <c r="Y33" s="492" t="s">
        <v>105</v>
      </c>
      <c r="BF33" s="68"/>
      <c r="BI33" s="183"/>
      <c r="BJ33" s="184"/>
      <c r="BK33" s="184"/>
    </row>
    <row r="34" spans="1:63" s="481" customFormat="1" ht="12.75">
      <c r="A34" s="527">
        <v>14</v>
      </c>
      <c r="B34" s="527"/>
      <c r="C34" s="527"/>
      <c r="D34" s="527">
        <v>-0.0012</v>
      </c>
      <c r="E34" s="527"/>
      <c r="F34" s="527">
        <v>0.00322</v>
      </c>
      <c r="G34" s="527"/>
      <c r="H34" s="527">
        <v>0.00752</v>
      </c>
      <c r="I34" s="527"/>
      <c r="J34" s="527">
        <v>0.0119</v>
      </c>
      <c r="K34" s="527"/>
      <c r="L34" s="527">
        <v>14</v>
      </c>
      <c r="M34" s="223"/>
      <c r="N34" s="492">
        <v>14</v>
      </c>
      <c r="O34" s="492"/>
      <c r="P34" s="492"/>
      <c r="Q34" s="492">
        <v>-0.00204</v>
      </c>
      <c r="R34" s="492"/>
      <c r="S34" s="492">
        <v>0.0024</v>
      </c>
      <c r="T34" s="492"/>
      <c r="U34" s="492">
        <v>0.00676</v>
      </c>
      <c r="V34" s="492"/>
      <c r="W34" s="492">
        <v>0.01126</v>
      </c>
      <c r="X34" s="492"/>
      <c r="Y34" s="492">
        <v>14</v>
      </c>
      <c r="BF34" s="9"/>
      <c r="BI34" s="10"/>
      <c r="BJ34" s="12"/>
      <c r="BK34" s="12"/>
    </row>
    <row r="35" spans="1:63" s="481" customFormat="1" ht="12.75">
      <c r="A35" s="494">
        <v>15</v>
      </c>
      <c r="B35" s="494"/>
      <c r="C35" s="494"/>
      <c r="D35" s="494">
        <v>-0.00248</v>
      </c>
      <c r="E35" s="494"/>
      <c r="F35" s="494">
        <v>0.00194</v>
      </c>
      <c r="G35" s="494"/>
      <c r="H35" s="494">
        <v>0.00618</v>
      </c>
      <c r="I35" s="494"/>
      <c r="J35" s="494">
        <v>0.01068</v>
      </c>
      <c r="K35" s="494"/>
      <c r="L35" s="494">
        <v>15</v>
      </c>
      <c r="N35" s="492">
        <v>15</v>
      </c>
      <c r="O35" s="492"/>
      <c r="P35" s="492"/>
      <c r="Q35" s="492">
        <v>-0.0029</v>
      </c>
      <c r="R35" s="492"/>
      <c r="S35" s="492">
        <v>0.00154</v>
      </c>
      <c r="T35" s="492"/>
      <c r="U35" s="492">
        <v>0.00594</v>
      </c>
      <c r="V35" s="492"/>
      <c r="W35" s="492">
        <v>0.01044</v>
      </c>
      <c r="X35" s="492"/>
      <c r="Y35" s="492">
        <v>15</v>
      </c>
      <c r="BF35" s="9"/>
      <c r="BI35" s="10"/>
      <c r="BJ35" s="12"/>
      <c r="BK35" s="12"/>
    </row>
    <row r="36" spans="1:63" s="481" customFormat="1" ht="12.75">
      <c r="A36" s="494" t="s">
        <v>106</v>
      </c>
      <c r="B36" s="494"/>
      <c r="C36" s="494"/>
      <c r="D36" s="494">
        <v>-0.00136</v>
      </c>
      <c r="E36" s="494"/>
      <c r="F36" s="494">
        <v>0.00306</v>
      </c>
      <c r="G36" s="494"/>
      <c r="H36" s="494">
        <v>0.00732</v>
      </c>
      <c r="I36" s="494"/>
      <c r="J36" s="494">
        <v>0.01166</v>
      </c>
      <c r="K36" s="494"/>
      <c r="L36" s="494" t="s">
        <v>106</v>
      </c>
      <c r="N36" s="492" t="s">
        <v>106</v>
      </c>
      <c r="O36" s="492"/>
      <c r="P36" s="492"/>
      <c r="Q36" s="492">
        <v>-0.00124</v>
      </c>
      <c r="R36" s="492"/>
      <c r="S36" s="492">
        <v>0.00326</v>
      </c>
      <c r="T36" s="492"/>
      <c r="U36" s="492">
        <v>0.00748</v>
      </c>
      <c r="V36" s="492"/>
      <c r="W36" s="492">
        <v>0.0119</v>
      </c>
      <c r="X36" s="492"/>
      <c r="Y36" s="492" t="s">
        <v>106</v>
      </c>
      <c r="BF36" s="9"/>
      <c r="BI36" s="10"/>
      <c r="BJ36" s="12"/>
      <c r="BK36" s="12"/>
    </row>
    <row r="37" spans="1:63" s="182" customFormat="1" ht="12.75" hidden="1">
      <c r="A37" s="494" t="s">
        <v>107</v>
      </c>
      <c r="B37" s="494"/>
      <c r="C37" s="494"/>
      <c r="D37" s="494">
        <v>0.0059</v>
      </c>
      <c r="E37" s="494"/>
      <c r="F37" s="494">
        <v>0.00864</v>
      </c>
      <c r="G37" s="494"/>
      <c r="H37" s="494">
        <v>0.01136</v>
      </c>
      <c r="I37" s="494"/>
      <c r="J37" s="494">
        <v>0.01174</v>
      </c>
      <c r="K37" s="494"/>
      <c r="L37" s="494" t="s">
        <v>107</v>
      </c>
      <c r="M37" s="481"/>
      <c r="N37" s="492" t="s">
        <v>107</v>
      </c>
      <c r="O37" s="492"/>
      <c r="P37" s="492"/>
      <c r="Q37" s="492">
        <v>0.00626</v>
      </c>
      <c r="R37" s="492"/>
      <c r="S37" s="492">
        <v>0.00898</v>
      </c>
      <c r="T37" s="492"/>
      <c r="U37" s="492">
        <v>0.01166</v>
      </c>
      <c r="V37" s="492"/>
      <c r="W37" s="492">
        <v>0.012</v>
      </c>
      <c r="X37" s="492"/>
      <c r="Y37" s="492" t="s">
        <v>107</v>
      </c>
      <c r="BF37" s="68"/>
      <c r="BI37" s="183"/>
      <c r="BJ37" s="184"/>
      <c r="BK37" s="184"/>
    </row>
    <row r="38" spans="1:63" s="481" customFormat="1" ht="13.5" thickBot="1">
      <c r="A38" s="527">
        <v>17</v>
      </c>
      <c r="B38" s="527"/>
      <c r="C38" s="527"/>
      <c r="D38" s="527">
        <v>-0.00162</v>
      </c>
      <c r="E38" s="527">
        <v>0.00012</v>
      </c>
      <c r="F38" s="576">
        <v>0.00286</v>
      </c>
      <c r="G38" s="527">
        <v>0.00228</v>
      </c>
      <c r="H38" s="527">
        <v>0.0072</v>
      </c>
      <c r="I38" s="527">
        <v>0.0043</v>
      </c>
      <c r="J38" s="527">
        <v>0.01162</v>
      </c>
      <c r="K38" s="527">
        <v>0.00646</v>
      </c>
      <c r="L38" s="527">
        <v>17</v>
      </c>
      <c r="M38" s="223"/>
      <c r="N38" s="492">
        <v>17</v>
      </c>
      <c r="O38" s="492"/>
      <c r="P38" s="492"/>
      <c r="Q38" s="492">
        <v>-0.0023</v>
      </c>
      <c r="R38" s="492">
        <v>-2E-05</v>
      </c>
      <c r="S38" s="492">
        <v>0.00228</v>
      </c>
      <c r="T38" s="492">
        <v>0.00216</v>
      </c>
      <c r="U38" s="492">
        <v>0.00668</v>
      </c>
      <c r="V38" s="492">
        <v>0.00414</v>
      </c>
      <c r="W38" s="492">
        <v>0.01118</v>
      </c>
      <c r="X38" s="492">
        <v>0.00626</v>
      </c>
      <c r="Y38" s="492">
        <v>17</v>
      </c>
      <c r="BF38" s="9"/>
      <c r="BI38" s="10"/>
      <c r="BJ38" s="12"/>
      <c r="BK38" s="12"/>
    </row>
    <row r="39" spans="1:63" s="481" customFormat="1" ht="13.5" thickBot="1">
      <c r="A39" s="494">
        <v>18</v>
      </c>
      <c r="B39" s="494"/>
      <c r="C39" s="494"/>
      <c r="D39" s="494">
        <v>0.0058</v>
      </c>
      <c r="E39" s="577">
        <v>0.00238</v>
      </c>
      <c r="F39" s="578">
        <v>0.00862</v>
      </c>
      <c r="G39" s="579">
        <v>0.0042</v>
      </c>
      <c r="H39" s="494">
        <v>0.01132</v>
      </c>
      <c r="I39" s="494">
        <v>0.00594</v>
      </c>
      <c r="J39" s="494">
        <v>0.0117</v>
      </c>
      <c r="K39" s="494">
        <v>0.00646</v>
      </c>
      <c r="L39" s="494">
        <v>18</v>
      </c>
      <c r="N39" s="492">
        <v>18</v>
      </c>
      <c r="O39" s="492"/>
      <c r="P39" s="492"/>
      <c r="Q39" s="492">
        <v>0.00544</v>
      </c>
      <c r="R39" s="492">
        <v>0.0023</v>
      </c>
      <c r="S39" s="492">
        <v>0.00828</v>
      </c>
      <c r="T39" s="492">
        <v>0.00404</v>
      </c>
      <c r="U39" s="492">
        <v>0.011</v>
      </c>
      <c r="V39" s="492">
        <v>0.00578</v>
      </c>
      <c r="W39" s="492">
        <v>0.01138</v>
      </c>
      <c r="X39" s="492">
        <v>0.00626</v>
      </c>
      <c r="Y39" s="492">
        <v>18</v>
      </c>
      <c r="BF39" s="9"/>
      <c r="BI39" s="10"/>
      <c r="BJ39" s="12"/>
      <c r="BK39" s="12"/>
    </row>
    <row r="40" spans="1:63" s="481" customFormat="1" ht="12.75">
      <c r="A40" s="494" t="s">
        <v>108</v>
      </c>
      <c r="B40" s="494"/>
      <c r="C40" s="494"/>
      <c r="D40" s="494"/>
      <c r="E40" s="494"/>
      <c r="F40" s="580"/>
      <c r="G40" s="494"/>
      <c r="H40" s="494"/>
      <c r="I40" s="494"/>
      <c r="J40" s="494"/>
      <c r="K40" s="494"/>
      <c r="L40" s="494" t="s">
        <v>108</v>
      </c>
      <c r="N40" s="492" t="s">
        <v>108</v>
      </c>
      <c r="O40" s="492"/>
      <c r="P40" s="492"/>
      <c r="Q40" s="492"/>
      <c r="R40" s="492"/>
      <c r="S40" s="492"/>
      <c r="T40" s="492"/>
      <c r="U40" s="492"/>
      <c r="V40" s="492"/>
      <c r="W40" s="492"/>
      <c r="X40" s="492"/>
      <c r="Y40" s="492" t="s">
        <v>108</v>
      </c>
      <c r="BF40" s="9"/>
      <c r="BI40" s="10"/>
      <c r="BJ40" s="12"/>
      <c r="BK40" s="12"/>
    </row>
    <row r="41" spans="1:63" s="182" customFormat="1" ht="12.75" hidden="1">
      <c r="A41" s="494" t="s">
        <v>109</v>
      </c>
      <c r="B41" s="494"/>
      <c r="C41" s="494"/>
      <c r="D41" s="494"/>
      <c r="E41" s="494"/>
      <c r="F41" s="494"/>
      <c r="G41" s="494"/>
      <c r="H41" s="494"/>
      <c r="I41" s="494"/>
      <c r="J41" s="494"/>
      <c r="K41" s="494"/>
      <c r="L41" s="494" t="s">
        <v>109</v>
      </c>
      <c r="M41" s="481"/>
      <c r="N41" s="492" t="s">
        <v>109</v>
      </c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 t="s">
        <v>109</v>
      </c>
      <c r="BF41" s="68"/>
      <c r="BI41" s="183"/>
      <c r="BJ41" s="184"/>
      <c r="BK41" s="184"/>
    </row>
    <row r="42" spans="1:63" s="481" customFormat="1" ht="12.75">
      <c r="A42" s="23"/>
      <c r="B42" s="461"/>
      <c r="C42" s="47"/>
      <c r="D42" s="495">
        <f>AVERAGE(D16,D18:D20,D22:D24,D26:D28,D30:D32,D34:D36,D38:D40)</f>
        <v>-0.001</v>
      </c>
      <c r="E42" s="180">
        <f>STDEV(D16,D18:D20,D22:D24,D26:D28,D30:D32,D34:D36,D38:D40)</f>
        <v>0.0017797950972612815</v>
      </c>
      <c r="F42" s="495">
        <f>AVERAGE(F16,F18:F20,F22:F24,F26:F28,F30:F32,F34:F36,F38:F40)</f>
        <v>0.0033055555555555555</v>
      </c>
      <c r="G42" s="180">
        <f>STDEV(F16,F18:F20,F22:F24,F26:F28,F30:F32,F34:F36,F38:F40)</f>
        <v>0.0014156737004492913</v>
      </c>
      <c r="H42" s="495">
        <f>AVERAGE(H16,H18:H20,H22:H24,H26:H28,H30:H32,H34:H36,H38:H40)</f>
        <v>0.0074955555555555565</v>
      </c>
      <c r="I42" s="180">
        <f>STDEV(H16,H18:H20,H22:H24,H26:H28,H30:H32,H34:H36,H38:H40)</f>
        <v>0.0010691735248049136</v>
      </c>
      <c r="J42" s="495">
        <f>AVERAGE(J16,J18:J20,J22:J24,J26:J28,J30:J32,J34:J36,J38:J40)</f>
        <v>0.011622222222222221</v>
      </c>
      <c r="K42" s="180">
        <f>STDEV(J16,J18:J20,J22:J24,J26:J28,J30:J32,J34:J36,J38:J40)</f>
        <v>0.00045139724979689847</v>
      </c>
      <c r="L42" s="96"/>
      <c r="M42" s="462"/>
      <c r="N42" s="96"/>
      <c r="O42" s="96"/>
      <c r="P42" s="96"/>
      <c r="Q42" s="495">
        <f>AVERAGE(Q16,Q18:Q20,Q22:Q24,Q26:Q28,Q30:Q32,Q34:Q36,Q38:Q40)</f>
        <v>-0.0012744444444444446</v>
      </c>
      <c r="R42" s="180">
        <f>STDEV(Q16,Q18:Q20,Q22:Q24,Q26:Q28,Q30:Q32,Q34:Q36,Q38:Q40)</f>
        <v>0.001775662998704236</v>
      </c>
      <c r="S42" s="495">
        <f>AVERAGE(S16,S18:S20,S22:S24,S26:S28,S30:S32,S34:S36,S38:S40)</f>
        <v>0.0030777777777777774</v>
      </c>
      <c r="T42" s="180">
        <f>STDEV(S16,S18:S20,S22:S24,S26:S28,S30:S32,S34:S36,S38:S40)</f>
        <v>0.0014246549863266406</v>
      </c>
      <c r="U42" s="495">
        <f>AVERAGE(U16,U18:U20,U22:U24,U26:U28,U30:U32,U34:U36,U38:U40)</f>
        <v>0.007297777777777778</v>
      </c>
      <c r="V42" s="180">
        <f>STDEV(U16,U18:U20,U22:U24,U26:U28,U30:U32,U34:U36,U38:U40)</f>
        <v>0.0010699068434189803</v>
      </c>
      <c r="W42" s="495">
        <f>AVERAGE(W16,W18:W20,W22:W24,W26:W28,W30:W32,W34:W36,W38:W40)</f>
        <v>0.01147333333333333</v>
      </c>
      <c r="X42" s="180">
        <f>STDEV(W16,W18:W20,W22:W24,W26:W28,W30:W32,W34:W36,W38:W40)</f>
        <v>0.0004978542191540284</v>
      </c>
      <c r="Y42" s="22"/>
      <c r="BF42" s="9"/>
      <c r="BI42" s="10"/>
      <c r="BJ42" s="12"/>
      <c r="BK42" s="12"/>
    </row>
    <row r="43" spans="1:63" s="481" customFormat="1" ht="12.75">
      <c r="A43" s="23" t="s">
        <v>150</v>
      </c>
      <c r="B43" s="461"/>
      <c r="C43" s="47"/>
      <c r="D43" s="180">
        <f>AVERAGE(E16,E18:E20,E22:E24,E26:E28,E30:E32,E34:E36,E38)</f>
        <v>6E-05</v>
      </c>
      <c r="E43" s="180"/>
      <c r="F43" s="180">
        <f>AVERAGE(G16,G18:G20,G22:G24,G26:G28,G30:G32,G34:G36,G38)</f>
        <v>0.0022500000000000003</v>
      </c>
      <c r="G43" s="180"/>
      <c r="H43" s="180">
        <f>AVERAGE(I16,I18:I20,I22:I24,I26:I28,I30:I32,I34:I36,I38)</f>
        <v>0.00428</v>
      </c>
      <c r="I43" s="180"/>
      <c r="J43" s="180">
        <f>AVERAGE(K16,K18:K20,K22:K24,K26:K28,K30:K32,K34:K36,K38)</f>
        <v>0.00646</v>
      </c>
      <c r="L43" s="96"/>
      <c r="M43" s="462"/>
      <c r="N43" s="96"/>
      <c r="O43" s="96"/>
      <c r="P43" s="96"/>
      <c r="Q43" s="180">
        <f>AVERAGE(R16,R18:R20,R22:R24,R26:R28,R30:R32,R34:R36,R38)</f>
        <v>-1E-05</v>
      </c>
      <c r="R43" s="180"/>
      <c r="S43" s="180">
        <f>AVERAGE(T16,T18:T20,T22:T24,T26:T28,T30:T32,T34:T36,T38)</f>
        <v>0.00218</v>
      </c>
      <c r="T43" s="180"/>
      <c r="U43" s="180">
        <f>AVERAGE(V16,V18:V20,V22:V24,V26:V28,V30:V32,V34:V36,V38)</f>
        <v>0.00416</v>
      </c>
      <c r="V43" s="180"/>
      <c r="W43" s="180">
        <f>AVERAGE(X16,X18:X20,X22:X24,X26:X28,X30:X32,X34:X36,X38)</f>
        <v>0.0063</v>
      </c>
      <c r="X43" s="96"/>
      <c r="Y43" s="22"/>
      <c r="BF43" s="9"/>
      <c r="BI43" s="10"/>
      <c r="BJ43" s="12"/>
      <c r="BK43" s="12"/>
    </row>
    <row r="44" spans="1:25" s="481" customFormat="1" ht="12.75">
      <c r="A44" s="25"/>
      <c r="B44" s="25"/>
      <c r="C44" s="25"/>
      <c r="D44" s="25"/>
      <c r="E44" s="97"/>
      <c r="F44" s="509">
        <f>F42-D42</f>
        <v>0.0043055555555555555</v>
      </c>
      <c r="G44" s="97"/>
      <c r="H44" s="509">
        <f>H42-F42</f>
        <v>0.004190000000000001</v>
      </c>
      <c r="I44" s="97"/>
      <c r="J44" s="509">
        <f>J42-H42</f>
        <v>0.004126666666666665</v>
      </c>
      <c r="K44" s="97"/>
      <c r="L44" s="97"/>
      <c r="M44" s="97"/>
      <c r="N44" s="97"/>
      <c r="O44" s="97"/>
      <c r="P44" s="97"/>
      <c r="Q44" s="97"/>
      <c r="R44" s="99"/>
      <c r="S44" s="509">
        <f>S42-Q42</f>
        <v>0.004352222222222222</v>
      </c>
      <c r="T44" s="98"/>
      <c r="U44" s="509">
        <f>U42-S42</f>
        <v>0.004220000000000001</v>
      </c>
      <c r="V44" s="98"/>
      <c r="W44" s="509">
        <f>W42-U42</f>
        <v>0.004175555555555552</v>
      </c>
      <c r="X44" s="98"/>
      <c r="Y44" s="26"/>
    </row>
    <row r="45" spans="1:24" s="481" customFormat="1" ht="12.75">
      <c r="A45" s="68" t="s">
        <v>110</v>
      </c>
      <c r="B45" s="48"/>
      <c r="C45" s="25"/>
      <c r="D45" s="25"/>
      <c r="E45" s="462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9"/>
    </row>
    <row r="46" spans="1:25" s="173" customFormat="1" ht="12.75">
      <c r="A46" s="140" t="s">
        <v>111</v>
      </c>
      <c r="B46" s="141"/>
      <c r="C46" s="142"/>
      <c r="D46" s="170">
        <v>1</v>
      </c>
      <c r="E46" s="171">
        <f aca="true" t="shared" si="0" ref="E46:N46">D46+1</f>
        <v>2</v>
      </c>
      <c r="F46" s="171">
        <f t="shared" si="0"/>
        <v>3</v>
      </c>
      <c r="G46" s="171">
        <f t="shared" si="0"/>
        <v>4</v>
      </c>
      <c r="H46" s="171">
        <f t="shared" si="0"/>
        <v>5</v>
      </c>
      <c r="I46" s="171">
        <f t="shared" si="0"/>
        <v>6</v>
      </c>
      <c r="J46" s="171">
        <f t="shared" si="0"/>
        <v>7</v>
      </c>
      <c r="K46" s="171">
        <f t="shared" si="0"/>
        <v>8</v>
      </c>
      <c r="L46" s="171">
        <f t="shared" si="0"/>
        <v>9</v>
      </c>
      <c r="M46" s="171">
        <f t="shared" si="0"/>
        <v>10</v>
      </c>
      <c r="N46" s="171">
        <f t="shared" si="0"/>
        <v>11</v>
      </c>
      <c r="O46" s="171">
        <f aca="true" t="shared" si="1" ref="O46:V46">N46+1</f>
        <v>12</v>
      </c>
      <c r="P46" s="171">
        <f t="shared" si="1"/>
        <v>13</v>
      </c>
      <c r="Q46" s="171">
        <f t="shared" si="1"/>
        <v>14</v>
      </c>
      <c r="R46" s="171">
        <f t="shared" si="1"/>
        <v>15</v>
      </c>
      <c r="S46" s="171">
        <f t="shared" si="1"/>
        <v>16</v>
      </c>
      <c r="T46" s="171">
        <f t="shared" si="1"/>
        <v>17</v>
      </c>
      <c r="U46" s="171">
        <f t="shared" si="1"/>
        <v>18</v>
      </c>
      <c r="V46" s="171">
        <f t="shared" si="1"/>
        <v>19</v>
      </c>
      <c r="W46" s="422" t="s">
        <v>0</v>
      </c>
      <c r="X46" s="530" t="s">
        <v>68</v>
      </c>
      <c r="Y46" s="481"/>
    </row>
    <row r="47" spans="1:24" s="481" customFormat="1" ht="27" customHeight="1">
      <c r="A47" s="45" t="s">
        <v>112</v>
      </c>
      <c r="B47" s="46" t="s">
        <v>113</v>
      </c>
      <c r="C47" s="420" t="s">
        <v>35</v>
      </c>
      <c r="D47" s="120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581"/>
      <c r="W47" s="121"/>
      <c r="X47" s="463"/>
    </row>
    <row r="48" spans="1:24" s="481" customFormat="1" ht="12.75">
      <c r="A48" s="456">
        <v>1111</v>
      </c>
      <c r="B48" s="25">
        <v>8000</v>
      </c>
      <c r="C48" s="25" t="s">
        <v>9</v>
      </c>
      <c r="D48" s="458">
        <f>-D16+$D$43</f>
        <v>0.0014399999999999999</v>
      </c>
      <c r="E48" s="459">
        <f>-D18+$D$43</f>
        <v>0.0008600000000000001</v>
      </c>
      <c r="F48" s="459">
        <f>-D19+$D$43</f>
        <v>0.0024200000000000003</v>
      </c>
      <c r="G48" s="459">
        <f>-D20+$D$43</f>
        <v>0.00022</v>
      </c>
      <c r="H48" s="459">
        <f>-D22+$D$43</f>
        <v>0.00076</v>
      </c>
      <c r="I48" s="459">
        <f>-D23+$D$43</f>
        <v>0.00146</v>
      </c>
      <c r="J48" s="459">
        <f>-D24+$D$43</f>
        <v>0.00138</v>
      </c>
      <c r="K48" s="459">
        <f>-D26+$D$43</f>
        <v>0.0018399999999999998</v>
      </c>
      <c r="L48" s="459">
        <f>-D27+$D$43</f>
        <v>0.00166</v>
      </c>
      <c r="M48" s="459">
        <f>-D28+$D$43</f>
        <v>0.0012599999999999998</v>
      </c>
      <c r="N48" s="459">
        <f>-D30+$D$43</f>
        <v>0.0017599999999999998</v>
      </c>
      <c r="O48" s="459">
        <f>-D31+$D$43</f>
        <v>0.00146</v>
      </c>
      <c r="P48" s="459">
        <f>-D32+$D$43</f>
        <v>0.0014</v>
      </c>
      <c r="Q48" s="459">
        <f>-D34+$D$43</f>
        <v>0.0012599999999999998</v>
      </c>
      <c r="R48" s="459">
        <f>-D35+$D$43</f>
        <v>0.00254</v>
      </c>
      <c r="S48" s="459">
        <f>-D36+$D$43</f>
        <v>0.00142</v>
      </c>
      <c r="T48" s="459">
        <f>-D38+$D$43</f>
        <v>0.0016799999999999999</v>
      </c>
      <c r="U48" s="460"/>
      <c r="V48" s="464"/>
      <c r="W48" s="570">
        <f>AVERAGE(D48:T48)</f>
        <v>0.0014600000000000001</v>
      </c>
      <c r="X48" s="465">
        <f>STDEV(D48:T48)</f>
        <v>0.000552856220006612</v>
      </c>
    </row>
    <row r="49" spans="1:24" s="481" customFormat="1" ht="12.75">
      <c r="A49" s="456">
        <v>1111</v>
      </c>
      <c r="B49" s="25">
        <v>8000</v>
      </c>
      <c r="C49" s="25" t="s">
        <v>7</v>
      </c>
      <c r="D49" s="466">
        <f>-Q16+$Q$43</f>
        <v>0.00143</v>
      </c>
      <c r="E49" s="467">
        <f>-Q18+$Q$43</f>
        <v>0.0016099999999999999</v>
      </c>
      <c r="F49" s="467">
        <f>-Q19+$Q$43</f>
        <v>0.00121</v>
      </c>
      <c r="G49" s="467">
        <f>-Q20+$Q$43</f>
        <v>0.00107</v>
      </c>
      <c r="H49" s="467">
        <f>-Q22+$Q$43</f>
        <v>0.00317</v>
      </c>
      <c r="I49" s="467">
        <f>-Q23+$Q$43</f>
        <v>0.00131</v>
      </c>
      <c r="J49" s="467">
        <f>-Q24+$Q$43</f>
        <v>0.00143</v>
      </c>
      <c r="K49" s="467">
        <f>-Q26+$Q$43</f>
        <v>0.00171</v>
      </c>
      <c r="L49" s="467">
        <f>-Q27+$Q$43</f>
        <v>0.00129</v>
      </c>
      <c r="M49" s="467">
        <f>-Q28+$Q$43</f>
        <v>0.0011099999999999999</v>
      </c>
      <c r="N49" s="467">
        <f>-Q30+$Q$43</f>
        <v>0.00149</v>
      </c>
      <c r="O49" s="467">
        <f>-Q31+$Q$43</f>
        <v>0.00159</v>
      </c>
      <c r="P49" s="467">
        <f>-Q32+$Q$43</f>
        <v>0.00135</v>
      </c>
      <c r="Q49" s="467">
        <f>-Q34+$Q$43</f>
        <v>0.00203</v>
      </c>
      <c r="R49" s="467">
        <f>-Q35+$Q$43</f>
        <v>0.0028899999999999998</v>
      </c>
      <c r="S49" s="467">
        <f>-Q36+$Q$43</f>
        <v>0.00123</v>
      </c>
      <c r="T49" s="467">
        <f>-Q38+$Q$43</f>
        <v>0.00229</v>
      </c>
      <c r="U49" s="460"/>
      <c r="V49" s="464"/>
      <c r="W49" s="570">
        <f aca="true" t="shared" si="2" ref="W49:W55">AVERAGE(D49:T49)</f>
        <v>0.0016594117647058826</v>
      </c>
      <c r="X49" s="465">
        <f aca="true" t="shared" si="3" ref="X49:X55">STDEV(D49:T49)</f>
        <v>0.000605438586772383</v>
      </c>
    </row>
    <row r="50" spans="1:24" s="481" customFormat="1" ht="12.75">
      <c r="A50" s="456">
        <v>2222</v>
      </c>
      <c r="B50" s="25">
        <v>10000</v>
      </c>
      <c r="C50" s="25" t="s">
        <v>9</v>
      </c>
      <c r="D50" s="458">
        <f>-F16+$F$43</f>
        <v>-0.0007899999999999999</v>
      </c>
      <c r="E50" s="459">
        <f>-F18+$F$43</f>
        <v>-0.0012299999999999998</v>
      </c>
      <c r="F50" s="459">
        <f>-F19+$F$43</f>
        <v>0.00031000000000000016</v>
      </c>
      <c r="G50" s="459">
        <f>-F20+$F$43</f>
        <v>-0.0017299999999999998</v>
      </c>
      <c r="H50" s="459">
        <f>-F22+$F$43</f>
        <v>-0.0013499999999999996</v>
      </c>
      <c r="I50" s="459">
        <f>-F23+$F$43</f>
        <v>-0.0008099999999999995</v>
      </c>
      <c r="J50" s="459">
        <f>-F24+$F$43</f>
        <v>-0.0008299999999999996</v>
      </c>
      <c r="K50" s="459">
        <f>-F26+$F$43</f>
        <v>-0.0003899999999999997</v>
      </c>
      <c r="L50" s="459">
        <f>-F27+$F$43</f>
        <v>-0.0006299999999999999</v>
      </c>
      <c r="M50" s="459">
        <f>-F28+$F$43</f>
        <v>-0.0010099999999999996</v>
      </c>
      <c r="N50" s="459">
        <f>-F30+$F$43</f>
        <v>-0.0005099999999999996</v>
      </c>
      <c r="O50" s="459">
        <f>-F31+$F$43</f>
        <v>-0.0007099999999999997</v>
      </c>
      <c r="P50" s="459">
        <f>-F32+$F$43</f>
        <v>-0.0008699999999999997</v>
      </c>
      <c r="Q50" s="459">
        <f>-F34+$F$43</f>
        <v>-0.0009699999999999999</v>
      </c>
      <c r="R50" s="459">
        <f>-F35+$F$43</f>
        <v>0.00031000000000000016</v>
      </c>
      <c r="S50" s="459">
        <f>-F36+$F$43</f>
        <v>-0.0008099999999999995</v>
      </c>
      <c r="T50" s="459">
        <f>-F38+$F$43</f>
        <v>-0.0006099999999999999</v>
      </c>
      <c r="U50" s="460"/>
      <c r="V50" s="464"/>
      <c r="W50" s="570">
        <f t="shared" si="2"/>
        <v>-0.000742941176470588</v>
      </c>
      <c r="X50" s="465">
        <f t="shared" si="3"/>
        <v>0.0005102421570426429</v>
      </c>
    </row>
    <row r="51" spans="1:24" s="481" customFormat="1" ht="12.75">
      <c r="A51" s="456">
        <v>2222</v>
      </c>
      <c r="B51" s="25">
        <v>10000</v>
      </c>
      <c r="C51" s="25" t="s">
        <v>7</v>
      </c>
      <c r="D51" s="466">
        <f>-S16+$S$43</f>
        <v>-0.0007999999999999999</v>
      </c>
      <c r="E51" s="467">
        <f>-S18+$S$43</f>
        <v>-0.0005200000000000001</v>
      </c>
      <c r="F51" s="467">
        <f>-S19+$S$43</f>
        <v>-0.00102</v>
      </c>
      <c r="G51" s="467">
        <f>-S20+$S$43</f>
        <v>-0.0012199999999999997</v>
      </c>
      <c r="H51" s="467">
        <f>-S22+$S$43</f>
        <v>0.0009400000000000001</v>
      </c>
      <c r="I51" s="467">
        <f>-S23+$S$43</f>
        <v>-0.0009399999999999999</v>
      </c>
      <c r="J51" s="467">
        <f>-S24+$S$43</f>
        <v>-0.00082</v>
      </c>
      <c r="K51" s="467">
        <f>-S26+$S$43</f>
        <v>-0.0005</v>
      </c>
      <c r="L51" s="467">
        <f>-S27+$S$43</f>
        <v>-0.00098</v>
      </c>
      <c r="M51" s="467">
        <f>-S28+$S$43</f>
        <v>-0.00112</v>
      </c>
      <c r="N51" s="467">
        <f>-S30+$S$43</f>
        <v>-0.0007999999999999999</v>
      </c>
      <c r="O51" s="467">
        <f>-S31+$S$43</f>
        <v>-0.0006399999999999999</v>
      </c>
      <c r="P51" s="467">
        <f>-S32+$S$43</f>
        <v>-0.0008799999999999997</v>
      </c>
      <c r="Q51" s="467">
        <f>-S34+$S$43</f>
        <v>-0.0002199999999999997</v>
      </c>
      <c r="R51" s="467">
        <f>-S35+$S$43</f>
        <v>0.0006400000000000002</v>
      </c>
      <c r="S51" s="467">
        <f>-S36+$S$43</f>
        <v>-0.0010799999999999998</v>
      </c>
      <c r="T51" s="467">
        <f>-S38+$S$43</f>
        <v>-9.999999999999983E-05</v>
      </c>
      <c r="U51" s="460"/>
      <c r="V51" s="464"/>
      <c r="W51" s="570">
        <f t="shared" si="2"/>
        <v>-0.0005917647058823528</v>
      </c>
      <c r="X51" s="465">
        <f t="shared" si="3"/>
        <v>0.0006046097428725992</v>
      </c>
    </row>
    <row r="52" spans="1:24" s="481" customFormat="1" ht="12.75">
      <c r="A52" s="456">
        <v>3333</v>
      </c>
      <c r="B52" s="25">
        <v>12000</v>
      </c>
      <c r="C52" s="25" t="s">
        <v>9</v>
      </c>
      <c r="D52" s="458">
        <f>-H16+$H$43</f>
        <v>-0.00294</v>
      </c>
      <c r="E52" s="459">
        <f>-H18+$H$43</f>
        <v>-0.00334</v>
      </c>
      <c r="F52" s="459">
        <f>-H19+$H$43</f>
        <v>-0.0018399999999999996</v>
      </c>
      <c r="G52" s="459">
        <f>-H20+$H$43</f>
        <v>-0.0038800000000000006</v>
      </c>
      <c r="H52" s="459">
        <f>-H22+$H$43</f>
        <v>-0.0034999999999999996</v>
      </c>
      <c r="I52" s="459">
        <f>-H23+$H$43</f>
        <v>-0.0030800000000000003</v>
      </c>
      <c r="J52" s="459">
        <f>-H24+$H$43</f>
        <v>-0.0031200000000000004</v>
      </c>
      <c r="K52" s="459">
        <f>-H26+$H$43</f>
        <v>-0.0027600000000000003</v>
      </c>
      <c r="L52" s="459">
        <f>-H27+$H$43</f>
        <v>-0.00294</v>
      </c>
      <c r="M52" s="459">
        <f>-H28+$H$43</f>
        <v>-0.00328</v>
      </c>
      <c r="N52" s="459">
        <f>-H30+$H$43</f>
        <v>-0.0029</v>
      </c>
      <c r="O52" s="459">
        <f>-H31+$H$43</f>
        <v>-0.0030800000000000003</v>
      </c>
      <c r="P52" s="459">
        <f>-H32+$H$43</f>
        <v>-0.0030800000000000003</v>
      </c>
      <c r="Q52" s="459">
        <f>-H34+$H$43</f>
        <v>-0.00324</v>
      </c>
      <c r="R52" s="459">
        <f>-H35+$H$43</f>
        <v>-0.0018999999999999998</v>
      </c>
      <c r="S52" s="459">
        <f>-H36+$H$43</f>
        <v>-0.00304</v>
      </c>
      <c r="T52" s="459">
        <f>-H38+$H$43</f>
        <v>-0.00292</v>
      </c>
      <c r="U52" s="460"/>
      <c r="V52" s="464"/>
      <c r="W52" s="570">
        <f t="shared" si="2"/>
        <v>-0.0029905882352941173</v>
      </c>
      <c r="X52" s="465">
        <f t="shared" si="3"/>
        <v>0.0004966446238035213</v>
      </c>
    </row>
    <row r="53" spans="1:24" s="481" customFormat="1" ht="12.75">
      <c r="A53" s="456">
        <v>3333</v>
      </c>
      <c r="B53" s="25">
        <v>12000</v>
      </c>
      <c r="C53" s="25" t="s">
        <v>7</v>
      </c>
      <c r="D53" s="466">
        <f>-U16+$U$43</f>
        <v>-0.0030600000000000002</v>
      </c>
      <c r="E53" s="467">
        <f>-U18+$U$43</f>
        <v>-0.0028400000000000005</v>
      </c>
      <c r="F53" s="467">
        <f>-U19+$U$43</f>
        <v>-0.0032600000000000007</v>
      </c>
      <c r="G53" s="467">
        <f>-U20+$U$43</f>
        <v>-0.0034600000000000004</v>
      </c>
      <c r="H53" s="467">
        <f>-U22+$U$43</f>
        <v>-0.0014600000000000004</v>
      </c>
      <c r="I53" s="467">
        <f>-U23+$U$43</f>
        <v>-0.0032000000000000006</v>
      </c>
      <c r="J53" s="467">
        <f>-U24+$U$43</f>
        <v>-0.0030800000000000003</v>
      </c>
      <c r="K53" s="467">
        <f>-U26+$U$43</f>
        <v>-0.00302</v>
      </c>
      <c r="L53" s="467">
        <f>-U27+$U$43</f>
        <v>-0.00334</v>
      </c>
      <c r="M53" s="467">
        <f>-U28+$U$43</f>
        <v>-0.0034400000000000003</v>
      </c>
      <c r="N53" s="467">
        <f>-U30+$U$43</f>
        <v>-0.0031800000000000005</v>
      </c>
      <c r="O53" s="467">
        <f>-U31+$U$43</f>
        <v>-0.003</v>
      </c>
      <c r="P53" s="467">
        <f>-U32+$U$43</f>
        <v>-0.0030800000000000003</v>
      </c>
      <c r="Q53" s="467">
        <f>-U34+$U$43</f>
        <v>-0.0026000000000000007</v>
      </c>
      <c r="R53" s="467">
        <f>-U35+$U$43</f>
        <v>-0.0017800000000000003</v>
      </c>
      <c r="S53" s="467">
        <f>-U36+$U$43</f>
        <v>-0.00332</v>
      </c>
      <c r="T53" s="467">
        <f>-U38+$U$43</f>
        <v>-0.0025200000000000005</v>
      </c>
      <c r="U53" s="460"/>
      <c r="V53" s="464"/>
      <c r="W53" s="570">
        <f t="shared" si="2"/>
        <v>-0.0029200000000000007</v>
      </c>
      <c r="X53" s="465">
        <f t="shared" si="3"/>
        <v>0.0005560575509783126</v>
      </c>
    </row>
    <row r="54" spans="1:24" s="481" customFormat="1" ht="12.75">
      <c r="A54" s="456">
        <v>4444</v>
      </c>
      <c r="B54" s="25">
        <v>14000</v>
      </c>
      <c r="C54" s="25" t="s">
        <v>9</v>
      </c>
      <c r="D54" s="458">
        <f>-J16+$J$43</f>
        <v>-0.004940000000000001</v>
      </c>
      <c r="E54" s="459">
        <f>-J18+$J$43</f>
        <v>-0.0053</v>
      </c>
      <c r="F54" s="459">
        <f>-J19+$J$43</f>
        <v>-0.00394</v>
      </c>
      <c r="G54" s="459">
        <f>-J20+$J$43</f>
        <v>-0.0059</v>
      </c>
      <c r="H54" s="459">
        <f>-J22+$J$43</f>
        <v>-0.005620000000000001</v>
      </c>
      <c r="I54" s="459">
        <f>-J23+$J$43</f>
        <v>-0.005320000000000001</v>
      </c>
      <c r="J54" s="459">
        <f>-J24+$J$43</f>
        <v>-0.005320000000000001</v>
      </c>
      <c r="K54" s="459">
        <f>-J26+$J$43</f>
        <v>-0.005060000000000001</v>
      </c>
      <c r="L54" s="459">
        <f>-J27+$J$43</f>
        <v>-0.00522</v>
      </c>
      <c r="M54" s="459">
        <f>-J28+$J$43</f>
        <v>-0.00542</v>
      </c>
      <c r="N54" s="459">
        <f>-J30+$J$43</f>
        <v>-0.005060000000000001</v>
      </c>
      <c r="O54" s="459">
        <f>-J31+$J$43</f>
        <v>-0.00522</v>
      </c>
      <c r="P54" s="459">
        <f>-J32+$J$43</f>
        <v>-0.00534</v>
      </c>
      <c r="Q54" s="459">
        <f>-J34+$J$43</f>
        <v>-0.005440000000000001</v>
      </c>
      <c r="R54" s="459">
        <f>-J35+$J$43</f>
        <v>-0.004220000000000001</v>
      </c>
      <c r="S54" s="459">
        <f>-J36+$J$43</f>
        <v>-0.005200000000000001</v>
      </c>
      <c r="T54" s="459">
        <f>-J38+$J$43</f>
        <v>-0.0051600000000000005</v>
      </c>
      <c r="U54" s="460"/>
      <c r="V54" s="464"/>
      <c r="W54" s="570">
        <f t="shared" si="2"/>
        <v>-0.00515764705882353</v>
      </c>
      <c r="X54" s="465">
        <f t="shared" si="3"/>
        <v>0.00046485924498395785</v>
      </c>
    </row>
    <row r="55" spans="1:24" s="481" customFormat="1" ht="12.75">
      <c r="A55" s="468">
        <v>4444</v>
      </c>
      <c r="B55" s="24">
        <v>14000</v>
      </c>
      <c r="C55" s="24" t="s">
        <v>7</v>
      </c>
      <c r="D55" s="470">
        <f>-W16+$W$43</f>
        <v>-0.005220000000000001</v>
      </c>
      <c r="E55" s="471">
        <f>-W18+$W$43</f>
        <v>-0.0051400000000000005</v>
      </c>
      <c r="F55" s="471">
        <f>-W19+$W$43</f>
        <v>-0.0055</v>
      </c>
      <c r="G55" s="471">
        <f>-W20+$W$43</f>
        <v>-0.00558</v>
      </c>
      <c r="H55" s="471">
        <f>-W22+$W$43</f>
        <v>-0.0037800000000000004</v>
      </c>
      <c r="I55" s="471">
        <f>-W23+$W$43</f>
        <v>-0.00536</v>
      </c>
      <c r="J55" s="471">
        <f>-W24+$W$43</f>
        <v>-0.005379999999999999</v>
      </c>
      <c r="K55" s="471">
        <f>-W26+$W$43</f>
        <v>-0.005260000000000001</v>
      </c>
      <c r="L55" s="471">
        <f>-W27+$W$43</f>
        <v>-0.005600000000000001</v>
      </c>
      <c r="M55" s="471">
        <f>-W28+$W$43</f>
        <v>-0.00566</v>
      </c>
      <c r="N55" s="471">
        <f>-W30+$W$43</f>
        <v>-0.0054</v>
      </c>
      <c r="O55" s="471">
        <f>-W31+$W$43</f>
        <v>-0.005180000000000001</v>
      </c>
      <c r="P55" s="471">
        <f>-W32+$W$43</f>
        <v>-0.0054</v>
      </c>
      <c r="Q55" s="471">
        <f>-W34+$W$43</f>
        <v>-0.004959999999999999</v>
      </c>
      <c r="R55" s="471">
        <f>-W35+$W$43</f>
        <v>-0.00414</v>
      </c>
      <c r="S55" s="471">
        <f>-W36+$W$43</f>
        <v>-0.005600000000000001</v>
      </c>
      <c r="T55" s="471">
        <f>-W38+$W$43</f>
        <v>-0.004880000000000001</v>
      </c>
      <c r="U55" s="472"/>
      <c r="V55" s="473"/>
      <c r="W55" s="571">
        <f t="shared" si="2"/>
        <v>-0.005178823529411765</v>
      </c>
      <c r="X55" s="474">
        <f t="shared" si="3"/>
        <v>0.0005126144061687758</v>
      </c>
    </row>
    <row r="56" spans="1:24" s="481" customFormat="1" ht="12.75">
      <c r="A56" s="25"/>
      <c r="B56" s="25"/>
      <c r="C56" s="25"/>
      <c r="D56" s="512"/>
      <c r="E56" s="512"/>
      <c r="F56" s="512"/>
      <c r="G56" s="512"/>
      <c r="H56" s="512"/>
      <c r="I56" s="512"/>
      <c r="J56" s="512"/>
      <c r="K56" s="512"/>
      <c r="L56" s="512"/>
      <c r="M56" s="512"/>
      <c r="N56" s="512"/>
      <c r="O56" s="512"/>
      <c r="P56" s="512"/>
      <c r="Q56" s="512"/>
      <c r="R56" s="512"/>
      <c r="S56" s="512"/>
      <c r="T56" s="512"/>
      <c r="W56" s="531"/>
      <c r="X56" s="532"/>
    </row>
    <row r="57" spans="1:24" s="481" customFormat="1" ht="12.75">
      <c r="A57" s="25"/>
      <c r="B57" s="25"/>
      <c r="C57" s="25"/>
      <c r="D57" s="512"/>
      <c r="E57" s="512"/>
      <c r="F57" s="512"/>
      <c r="G57" s="512"/>
      <c r="H57" s="512"/>
      <c r="I57" s="512"/>
      <c r="J57" s="512"/>
      <c r="K57" s="512"/>
      <c r="L57" s="512"/>
      <c r="M57" s="512"/>
      <c r="N57" s="512"/>
      <c r="O57" s="512"/>
      <c r="P57" s="512"/>
      <c r="Q57" s="512"/>
      <c r="R57" s="512"/>
      <c r="S57" s="512"/>
      <c r="T57" s="512"/>
      <c r="W57" s="531"/>
      <c r="X57" s="532"/>
    </row>
    <row r="58" spans="1:24" s="481" customFormat="1" ht="12.75">
      <c r="A58" s="67" t="s">
        <v>66</v>
      </c>
      <c r="B58" s="2"/>
      <c r="C58" s="2"/>
      <c r="D58" s="512"/>
      <c r="E58" s="512"/>
      <c r="F58" s="512"/>
      <c r="G58" s="512"/>
      <c r="H58" s="512"/>
      <c r="I58" s="512"/>
      <c r="J58" s="512"/>
      <c r="K58" s="512"/>
      <c r="L58" s="512"/>
      <c r="M58" s="512"/>
      <c r="N58" s="512"/>
      <c r="O58" s="512"/>
      <c r="P58" s="512"/>
      <c r="Q58" s="512"/>
      <c r="R58" s="512"/>
      <c r="S58" s="512"/>
      <c r="T58" s="512"/>
      <c r="W58" s="531"/>
      <c r="X58" s="532"/>
    </row>
    <row r="59" spans="1:26" s="143" customFormat="1" ht="12.75">
      <c r="A59" s="144" t="s">
        <v>111</v>
      </c>
      <c r="B59" s="145"/>
      <c r="C59" s="145"/>
      <c r="D59" s="533">
        <v>1</v>
      </c>
      <c r="E59" s="534">
        <f aca="true" t="shared" si="4" ref="E59:N59">D59+1</f>
        <v>2</v>
      </c>
      <c r="F59" s="534">
        <f t="shared" si="4"/>
        <v>3</v>
      </c>
      <c r="G59" s="534">
        <f t="shared" si="4"/>
        <v>4</v>
      </c>
      <c r="H59" s="534">
        <f t="shared" si="4"/>
        <v>5</v>
      </c>
      <c r="I59" s="534">
        <f t="shared" si="4"/>
        <v>6</v>
      </c>
      <c r="J59" s="534">
        <f t="shared" si="4"/>
        <v>7</v>
      </c>
      <c r="K59" s="534">
        <f t="shared" si="4"/>
        <v>8</v>
      </c>
      <c r="L59" s="534">
        <f t="shared" si="4"/>
        <v>9</v>
      </c>
      <c r="M59" s="534">
        <f t="shared" si="4"/>
        <v>10</v>
      </c>
      <c r="N59" s="534">
        <f t="shared" si="4"/>
        <v>11</v>
      </c>
      <c r="O59" s="534">
        <f aca="true" t="shared" si="5" ref="O59:T59">N59+1</f>
        <v>12</v>
      </c>
      <c r="P59" s="534">
        <f t="shared" si="5"/>
        <v>13</v>
      </c>
      <c r="Q59" s="534">
        <f t="shared" si="5"/>
        <v>14</v>
      </c>
      <c r="R59" s="534">
        <f t="shared" si="5"/>
        <v>15</v>
      </c>
      <c r="S59" s="534">
        <f t="shared" si="5"/>
        <v>16</v>
      </c>
      <c r="T59" s="534">
        <f t="shared" si="5"/>
        <v>17</v>
      </c>
      <c r="U59" s="582"/>
      <c r="V59" s="583"/>
      <c r="W59" s="171" t="s">
        <v>0</v>
      </c>
      <c r="X59" s="535" t="s">
        <v>68</v>
      </c>
      <c r="Y59" s="481"/>
      <c r="Z59" s="145"/>
    </row>
    <row r="60" spans="1:26" s="49" customFormat="1" ht="12" customHeight="1">
      <c r="A60" s="82" t="s">
        <v>114</v>
      </c>
      <c r="B60" s="83"/>
      <c r="C60" s="421" t="s">
        <v>35</v>
      </c>
      <c r="D60" s="124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510"/>
      <c r="V60" s="581"/>
      <c r="W60" s="121"/>
      <c r="X60" s="463"/>
      <c r="Y60" s="481"/>
      <c r="Z60" s="154"/>
    </row>
    <row r="61" spans="1:26" s="51" customFormat="1" ht="12" customHeight="1">
      <c r="A61" s="85">
        <v>8</v>
      </c>
      <c r="B61" s="86">
        <v>10</v>
      </c>
      <c r="C61" s="86" t="s">
        <v>9</v>
      </c>
      <c r="D61" s="85">
        <f aca="true" t="shared" si="6" ref="D61:M64">IF($C$4="inner",(-0.000001*($B50-$B48)/((D50-D48)/($G$6))),(-0.000001*($B50-$B48)/((D50-D48)/($I$6))))</f>
        <v>0.8968503500084335</v>
      </c>
      <c r="E61" s="86">
        <f t="shared" si="6"/>
        <v>0.9569264500089982</v>
      </c>
      <c r="F61" s="86">
        <f t="shared" si="6"/>
        <v>0.9478560571179178</v>
      </c>
      <c r="G61" s="86">
        <f t="shared" si="6"/>
        <v>1.0256288618045162</v>
      </c>
      <c r="H61" s="86">
        <f t="shared" si="6"/>
        <v>0.9478560571179178</v>
      </c>
      <c r="I61" s="86">
        <f t="shared" si="6"/>
        <v>0.8810468196118092</v>
      </c>
      <c r="J61" s="86">
        <f t="shared" si="6"/>
        <v>0.9049666427686909</v>
      </c>
      <c r="K61" s="86">
        <f t="shared" si="6"/>
        <v>0.8968503500084336</v>
      </c>
      <c r="L61" s="86">
        <f t="shared" si="6"/>
        <v>0.8733520875627975</v>
      </c>
      <c r="M61" s="86">
        <f t="shared" si="6"/>
        <v>0.8810468196118092</v>
      </c>
      <c r="N61" s="86">
        <f aca="true" t="shared" si="7" ref="N61:T66">IF($C$4="inner",(-0.000001*($B50-$B48)/((N50-N48)/($G$6))),(-0.000001*($B50-$B48)/((N50-N48)/($I$6))))</f>
        <v>0.8810468196118092</v>
      </c>
      <c r="O61" s="86">
        <f t="shared" si="7"/>
        <v>0.9216480555386205</v>
      </c>
      <c r="P61" s="86">
        <f t="shared" si="7"/>
        <v>0.8810468196118092</v>
      </c>
      <c r="Q61" s="86">
        <f t="shared" si="7"/>
        <v>0.8968503500084335</v>
      </c>
      <c r="R61" s="86">
        <f t="shared" si="7"/>
        <v>0.8968503500084333</v>
      </c>
      <c r="S61" s="86">
        <f t="shared" si="7"/>
        <v>0.8968503500084336</v>
      </c>
      <c r="T61" s="86">
        <f t="shared" si="7"/>
        <v>0.8733520875627977</v>
      </c>
      <c r="U61" s="460"/>
      <c r="V61" s="464"/>
      <c r="W61" s="572">
        <f>AVERAGE(D61:T61)</f>
        <v>0.9094132545865683</v>
      </c>
      <c r="X61" s="573">
        <f>STDEV(D61:T61)</f>
        <v>0.03991968410786557</v>
      </c>
      <c r="Y61" s="177">
        <v>0.6592380291799633</v>
      </c>
      <c r="Z61" s="86"/>
    </row>
    <row r="62" spans="1:26" s="51" customFormat="1" ht="12" customHeight="1">
      <c r="A62" s="85">
        <v>8</v>
      </c>
      <c r="B62" s="86">
        <v>10</v>
      </c>
      <c r="C62" s="86" t="s">
        <v>7</v>
      </c>
      <c r="D62" s="85">
        <f t="shared" si="6"/>
        <v>0.8968503500084333</v>
      </c>
      <c r="E62" s="86">
        <f t="shared" si="6"/>
        <v>0.938956000243571</v>
      </c>
      <c r="F62" s="86">
        <f t="shared" si="6"/>
        <v>0.8968503500084333</v>
      </c>
      <c r="G62" s="86">
        <f t="shared" si="6"/>
        <v>0.8733520875627977</v>
      </c>
      <c r="H62" s="86">
        <f t="shared" si="6"/>
        <v>0.8968503500084333</v>
      </c>
      <c r="I62" s="86">
        <f t="shared" si="6"/>
        <v>0.8888783468972473</v>
      </c>
      <c r="J62" s="86">
        <f t="shared" si="6"/>
        <v>0.8888783468972471</v>
      </c>
      <c r="K62" s="86">
        <f t="shared" si="6"/>
        <v>0.9049666427686905</v>
      </c>
      <c r="L62" s="86">
        <f t="shared" si="6"/>
        <v>0.8810468196118091</v>
      </c>
      <c r="M62" s="86">
        <f t="shared" si="6"/>
        <v>0.8968503500084335</v>
      </c>
      <c r="N62" s="86">
        <f t="shared" si="7"/>
        <v>0.8733520875627975</v>
      </c>
      <c r="O62" s="86">
        <f t="shared" si="7"/>
        <v>0.8968503500084333</v>
      </c>
      <c r="P62" s="86">
        <f t="shared" si="7"/>
        <v>0.8968503500084335</v>
      </c>
      <c r="Q62" s="86">
        <f t="shared" si="7"/>
        <v>0.8888783468972473</v>
      </c>
      <c r="R62" s="86">
        <f t="shared" si="7"/>
        <v>0.8888783468972474</v>
      </c>
      <c r="S62" s="86">
        <f t="shared" si="7"/>
        <v>0.8657905976271889</v>
      </c>
      <c r="T62" s="86">
        <f t="shared" si="7"/>
        <v>0.8368101592128896</v>
      </c>
      <c r="U62" s="460"/>
      <c r="V62" s="464"/>
      <c r="W62" s="572">
        <f aca="true" t="shared" si="8" ref="W62:W68">AVERAGE(D62:T62)</f>
        <v>0.8888758754252549</v>
      </c>
      <c r="X62" s="573">
        <f aca="true" t="shared" si="9" ref="X62:X68">STDEV(D62:T62)</f>
        <v>0.02081994857562236</v>
      </c>
      <c r="Y62" s="177">
        <v>0.5497688153224163</v>
      </c>
      <c r="Z62" s="86"/>
    </row>
    <row r="63" spans="1:26" s="51" customFormat="1" ht="12.75">
      <c r="A63" s="85">
        <v>10</v>
      </c>
      <c r="B63" s="86">
        <v>12</v>
      </c>
      <c r="C63" s="86" t="s">
        <v>9</v>
      </c>
      <c r="D63" s="85">
        <f t="shared" si="6"/>
        <v>0.9302215258227007</v>
      </c>
      <c r="E63" s="86">
        <f t="shared" si="6"/>
        <v>0.9478560571179175</v>
      </c>
      <c r="F63" s="86">
        <f t="shared" si="6"/>
        <v>0.9302215258227007</v>
      </c>
      <c r="G63" s="86">
        <f t="shared" si="6"/>
        <v>0.9302215258227002</v>
      </c>
      <c r="H63" s="86">
        <f t="shared" si="6"/>
        <v>0.9302215258227007</v>
      </c>
      <c r="I63" s="86">
        <f t="shared" si="6"/>
        <v>0.8810468196118086</v>
      </c>
      <c r="J63" s="86">
        <f t="shared" si="6"/>
        <v>0.8733520875627971</v>
      </c>
      <c r="K63" s="86">
        <f t="shared" si="6"/>
        <v>0.8438718483201711</v>
      </c>
      <c r="L63" s="86">
        <f t="shared" si="6"/>
        <v>0.8657905976271888</v>
      </c>
      <c r="M63" s="86">
        <f t="shared" si="6"/>
        <v>0.8810468196118089</v>
      </c>
      <c r="N63" s="86">
        <f t="shared" si="7"/>
        <v>0.8368101592128895</v>
      </c>
      <c r="O63" s="86">
        <f t="shared" si="7"/>
        <v>0.8438718483201711</v>
      </c>
      <c r="P63" s="86">
        <f t="shared" si="7"/>
        <v>0.9049666427686903</v>
      </c>
      <c r="Q63" s="86">
        <f t="shared" si="7"/>
        <v>0.8810468196118091</v>
      </c>
      <c r="R63" s="86">
        <f t="shared" si="7"/>
        <v>0.9049666427686905</v>
      </c>
      <c r="S63" s="86">
        <f t="shared" si="7"/>
        <v>0.896850350008433</v>
      </c>
      <c r="T63" s="86">
        <f t="shared" si="7"/>
        <v>0.8657905976271888</v>
      </c>
      <c r="U63" s="460"/>
      <c r="V63" s="464"/>
      <c r="W63" s="572">
        <f t="shared" si="8"/>
        <v>0.8910678466741393</v>
      </c>
      <c r="X63" s="573">
        <f t="shared" si="9"/>
        <v>0.034522225177368096</v>
      </c>
      <c r="Y63" s="177">
        <v>0.7566214107974003</v>
      </c>
      <c r="Z63" s="86"/>
    </row>
    <row r="64" spans="1:26" s="51" customFormat="1" ht="12.75">
      <c r="A64" s="85">
        <v>10</v>
      </c>
      <c r="B64" s="86">
        <v>12</v>
      </c>
      <c r="C64" s="86" t="s">
        <v>7</v>
      </c>
      <c r="D64" s="85">
        <f t="shared" si="6"/>
        <v>0.8849452568667282</v>
      </c>
      <c r="E64" s="86">
        <f t="shared" si="6"/>
        <v>0.8620587416029336</v>
      </c>
      <c r="F64" s="86">
        <f t="shared" si="6"/>
        <v>0.8928465538030382</v>
      </c>
      <c r="G64" s="86">
        <f t="shared" si="6"/>
        <v>0.8928465538030382</v>
      </c>
      <c r="H64" s="86">
        <f t="shared" si="6"/>
        <v>0.8333234502161692</v>
      </c>
      <c r="I64" s="86">
        <f t="shared" si="6"/>
        <v>0.8849452568667281</v>
      </c>
      <c r="J64" s="86">
        <f t="shared" si="6"/>
        <v>0.8849452568667282</v>
      </c>
      <c r="K64" s="86">
        <f t="shared" si="6"/>
        <v>0.7936413811582564</v>
      </c>
      <c r="L64" s="86">
        <f t="shared" si="6"/>
        <v>0.8474475764910195</v>
      </c>
      <c r="M64" s="86">
        <f t="shared" si="6"/>
        <v>0.8620587416029336</v>
      </c>
      <c r="N64" s="86">
        <f t="shared" si="7"/>
        <v>0.8403261682852124</v>
      </c>
      <c r="O64" s="86">
        <f t="shared" si="7"/>
        <v>0.8474475764910195</v>
      </c>
      <c r="P64" s="86">
        <f t="shared" si="7"/>
        <v>0.909080127508548</v>
      </c>
      <c r="Q64" s="86">
        <f t="shared" si="7"/>
        <v>0.8403261682852123</v>
      </c>
      <c r="R64" s="86">
        <f t="shared" si="7"/>
        <v>0.8264364795532255</v>
      </c>
      <c r="S64" s="86">
        <f t="shared" si="7"/>
        <v>0.8928465538030385</v>
      </c>
      <c r="T64" s="86">
        <f t="shared" si="7"/>
        <v>0.8264364795532254</v>
      </c>
      <c r="U64" s="460"/>
      <c r="V64" s="464"/>
      <c r="W64" s="572">
        <f t="shared" si="8"/>
        <v>0.8601151954562971</v>
      </c>
      <c r="X64" s="573">
        <f t="shared" si="9"/>
        <v>0.031600995201990195</v>
      </c>
      <c r="Y64" s="177">
        <v>0.6417410813310411</v>
      </c>
      <c r="Z64" s="86"/>
    </row>
    <row r="65" spans="1:26" s="51" customFormat="1" ht="12.75">
      <c r="A65" s="85">
        <v>12</v>
      </c>
      <c r="B65" s="86">
        <v>14</v>
      </c>
      <c r="C65" s="86" t="s">
        <v>9</v>
      </c>
      <c r="D65" s="85">
        <f>IF($C$4="inner",(-0.000001*($B54-$B52)/((D54-D52)/($G$6))),(-0.000001*(#REF!-#REF!)/((D54-D52)/($I$6))))</f>
        <v>0.9999881402594027</v>
      </c>
      <c r="E65" s="86">
        <f>IF($C$4="inner",(-0.000001*($B54-$B52)/((E54-E52)/($G$6))),(-0.000001*(#REF!-#REF!)/((E54-E52)/($I$6))))</f>
        <v>1.020396061489187</v>
      </c>
      <c r="F65" s="86">
        <f>IF($C$4="inner",(-0.000001*($B54-$B52)/((F54-F52)/($G$6))),(-0.000001*(#REF!-#REF!)/((F54-F52)/($I$6))))</f>
        <v>0.9523696573899075</v>
      </c>
      <c r="G65" s="86">
        <f>IF($C$4="inner",(-0.000001*($B54-$B52)/((G54-G52)/($G$6))),(-0.000001*(#REF!-#REF!)/((G54-G52)/($I$6))))</f>
        <v>0.9900872675835678</v>
      </c>
      <c r="H65" s="86">
        <f>IF($C$4="inner",(-0.000001*($B54-$B52)/((H54-H52)/($G$6))),(-0.000001*(#REF!-#REF!)/((H54-H52)/($I$6))))</f>
        <v>0.9433850379805685</v>
      </c>
      <c r="I65" s="86">
        <f>IF($C$4="inner",(-0.000001*($B54-$B52)/((I54-I52)/($G$6))),(-0.000001*(#REF!-#REF!)/((I54-I52)/($I$6))))</f>
        <v>0.8928465538030382</v>
      </c>
      <c r="J65" s="86">
        <f>IF($C$4="inner",(-0.000001*($B54-$B52)/((J54-J52)/($G$6))),(-0.000001*(#REF!-#REF!)/((J54-J52)/($I$6))))</f>
        <v>0.909080127508548</v>
      </c>
      <c r="K65" s="86">
        <f>IF($C$4="inner",(-0.000001*($B54-$B52)/((K54-K52)/($G$6))),(-0.000001*(#REF!-#REF!)/((K54-K52)/($I$6))))</f>
        <v>0.8695549045733937</v>
      </c>
      <c r="L65" s="86">
        <f>IF($C$4="inner",(-0.000001*($B54-$B52)/((L54-L52)/($G$6))),(-0.000001*(#REF!-#REF!)/((L54-L52)/($I$6))))</f>
        <v>0.877182579174915</v>
      </c>
      <c r="M65" s="86">
        <f>IF($C$4="inner",(-0.000001*($B54-$B52)/((M54-M52)/($G$6))),(-0.000001*(#REF!-#REF!)/((M54-M52)/($I$6))))</f>
        <v>0.9345683553826195</v>
      </c>
      <c r="N65" s="86">
        <f>IF($C$4="inner",(-0.000001*($B54-$B52)/((N54-N52)/($G$6))),(-0.000001*(#REF!-#REF!)/((N54-N52)/($I$6))))</f>
        <v>0.925914944684632</v>
      </c>
      <c r="O65" s="86">
        <f>IF($C$4="inner",(-0.000001*($B54-$B52)/((O54-O52)/($G$6))),(-0.000001*(#REF!-#REF!)/((O54-O52)/($I$6))))</f>
        <v>0.9345683553826198</v>
      </c>
      <c r="P65" s="86">
        <f>IF($C$4="inner",(-0.000001*($B54-$B52)/((P54-P52)/($G$6))),(-0.000001*(#REF!-#REF!)/((P54-P52)/($I$6))))</f>
        <v>0.8849452568667284</v>
      </c>
      <c r="Q65" s="86">
        <f>IF($C$4="inner",(-0.000001*($B54-$B52)/((Q54-Q52)/($G$6))),(-0.000001*(#REF!-#REF!)/((Q54-Q52)/($I$6))))</f>
        <v>0.9090801275085477</v>
      </c>
      <c r="R65" s="86">
        <f t="shared" si="7"/>
        <v>0.8620587416029334</v>
      </c>
      <c r="S65" s="86">
        <f>IF($C$4="inner",(-0.000001*($B54-$B52)/((S54-S52)/($G$6))),(-0.000001*(#REF!-#REF!)/((S54-S52)/($I$6))))</f>
        <v>0.9259149446846323</v>
      </c>
      <c r="T65" s="86">
        <f>IF($C$4="inner",(-0.000001*($B54-$B52)/((T54-T52)/($G$6))),(-0.000001*(#REF!-#REF!)/((T54-T52)/($I$6))))</f>
        <v>0.8928465538030382</v>
      </c>
      <c r="U65" s="460"/>
      <c r="V65" s="464"/>
      <c r="W65" s="572">
        <f t="shared" si="8"/>
        <v>0.9249875064516635</v>
      </c>
      <c r="X65" s="573">
        <f t="shared" si="9"/>
        <v>0.04591642545271587</v>
      </c>
      <c r="Y65" s="177">
        <v>0.5705052406586181</v>
      </c>
      <c r="Z65" s="86"/>
    </row>
    <row r="66" spans="1:26" s="51" customFormat="1" ht="12.75">
      <c r="A66" s="85">
        <v>12</v>
      </c>
      <c r="B66" s="86">
        <v>14</v>
      </c>
      <c r="C66" s="86" t="s">
        <v>7</v>
      </c>
      <c r="D66" s="85">
        <f>IF($C$4="inner",(-0.000001*($B55-$B53)/((D55-D53)/($G$6))),(-0.000001*(#REF!-#REF!)/((D55-D53)/($I$6))))</f>
        <v>0.9259149446846323</v>
      </c>
      <c r="E66" s="86">
        <f>IF($C$4="inner",(-0.000001*($B55-$B53)/((E55-E53)/($G$6))),(-0.000001*(#REF!-#REF!)/((E55-E53)/($I$6))))</f>
        <v>0.869554904573394</v>
      </c>
      <c r="F66" s="86">
        <f>IF($C$4="inner",(-0.000001*($B55-$B53)/((F55-F53)/($G$6))),(-0.000001*(#REF!-#REF!)/((F55-F53)/($I$6))))</f>
        <v>0.8928465538030389</v>
      </c>
      <c r="G66" s="86">
        <f>IF($C$4="inner",(-0.000001*($B55-$B53)/((G55-G53)/($G$6))),(-0.000001*(#REF!-#REF!)/((G55-G53)/($I$6))))</f>
        <v>0.9433850379805693</v>
      </c>
      <c r="H66" s="86">
        <f>IF($C$4="inner",(-0.000001*($B55-$B53)/((H55-H53)/($G$6))),(-0.000001*(#REF!-#REF!)/((H55-H53)/($I$6))))</f>
        <v>0.8620587416029337</v>
      </c>
      <c r="I66" s="86">
        <f>IF($C$4="inner",(-0.000001*($B55-$B53)/((I55-I53)/($G$6))),(-0.000001*(#REF!-#REF!)/((I55-I53)/($I$6))))</f>
        <v>0.9259149446846328</v>
      </c>
      <c r="J66" s="86">
        <f>IF($C$4="inner",(-0.000001*($B55-$B53)/((J55-J53)/($G$6))),(-0.000001*(#REF!-#REF!)/((J55-J53)/($I$6))))</f>
        <v>0.8695549045733943</v>
      </c>
      <c r="K66" s="86">
        <f>IF($C$4="inner",(-0.000001*($B55-$B53)/((K55-K53)/($G$6))),(-0.000001*(#REF!-#REF!)/((K55-K53)/($I$6))))</f>
        <v>0.8928465538030382</v>
      </c>
      <c r="L66" s="86">
        <f>IF($C$4="inner",(-0.000001*($B55-$B53)/((L55-L53)/($G$6))),(-0.000001*(#REF!-#REF!)/((L55-L53)/($I$6))))</f>
        <v>0.8849452568667281</v>
      </c>
      <c r="M66" s="86">
        <f>IF($C$4="inner",(-0.000001*($B55-$B53)/((M55-M53)/($G$6))),(-0.000001*(#REF!-#REF!)/((M55-M53)/($I$6))))</f>
        <v>0.9008902164499127</v>
      </c>
      <c r="N66" s="86">
        <f>IF($C$4="inner",(-0.000001*($B55-$B53)/((N55-N53)/($G$6))),(-0.000001*(#REF!-#REF!)/((N55-N53)/($I$6))))</f>
        <v>0.9008902164499127</v>
      </c>
      <c r="O66" s="86">
        <f>IF($C$4="inner",(-0.000001*($B55-$B53)/((O55-O53)/($G$6))),(-0.000001*(#REF!-#REF!)/((O55-O53)/($I$6))))</f>
        <v>0.9174203121645897</v>
      </c>
      <c r="P66" s="86">
        <f>IF($C$4="inner",(-0.000001*($B55-$B53)/((P55-P53)/($G$6))),(-0.000001*(#REF!-#REF!)/((P55-P53)/($I$6))))</f>
        <v>0.8620587416029337</v>
      </c>
      <c r="Q66" s="86">
        <f>IF($C$4="inner",(-0.000001*($B55-$B53)/((Q55-Q53)/($G$6))),(-0.000001*(#REF!-#REF!)/((Q55-Q53)/($I$6))))</f>
        <v>0.8474475764910202</v>
      </c>
      <c r="R66" s="86">
        <f t="shared" si="7"/>
        <v>0.8474475764910199</v>
      </c>
      <c r="S66" s="86">
        <f>IF($C$4="inner",(-0.000001*($B55-$B53)/((S55-S53)/($G$6))),(-0.000001*(#REF!-#REF!)/((S55-S53)/($I$6))))</f>
        <v>0.8771825791749147</v>
      </c>
      <c r="T66" s="86">
        <f>IF($C$4="inner",(-0.000001*($B55-$B53)/((T55-T53)/($G$6))),(-0.000001*(#REF!-#REF!)/((T55-T53)/($I$6))))</f>
        <v>0.8474475764910195</v>
      </c>
      <c r="U66" s="460"/>
      <c r="V66" s="464"/>
      <c r="W66" s="572">
        <f t="shared" si="8"/>
        <v>0.8863415669345697</v>
      </c>
      <c r="X66" s="573">
        <f t="shared" si="9"/>
        <v>0.029819106768972734</v>
      </c>
      <c r="Y66" s="177">
        <v>0.6714426174840732</v>
      </c>
      <c r="Z66" s="86"/>
    </row>
    <row r="67" spans="1:26" s="51" customFormat="1" ht="12.75">
      <c r="A67" s="85">
        <v>10</v>
      </c>
      <c r="B67" s="86">
        <v>14</v>
      </c>
      <c r="C67" s="86" t="s">
        <v>9</v>
      </c>
      <c r="D67" s="85">
        <f aca="true" t="shared" si="10" ref="D67:M68">IF($C$4="inner",(-0.000001*($B54-$B50)/((D54-D50)/($G$6))),(-0.000001*($B54-$B50)/((D54-D50)/($I$6))))</f>
        <v>0.9638439906114726</v>
      </c>
      <c r="E67" s="86">
        <f t="shared" si="10"/>
        <v>0.9827893270362682</v>
      </c>
      <c r="F67" s="86">
        <f t="shared" si="10"/>
        <v>0.941165308479438</v>
      </c>
      <c r="G67" s="86">
        <f t="shared" si="10"/>
        <v>0.9592212376588998</v>
      </c>
      <c r="H67" s="86">
        <f t="shared" si="10"/>
        <v>0.9367570400556468</v>
      </c>
      <c r="I67" s="86">
        <f t="shared" si="10"/>
        <v>0.8869074414717542</v>
      </c>
      <c r="J67" s="86">
        <f t="shared" si="10"/>
        <v>0.8908580314114947</v>
      </c>
      <c r="K67" s="86">
        <f t="shared" si="10"/>
        <v>0.8565208910144778</v>
      </c>
      <c r="L67" s="86">
        <f t="shared" si="10"/>
        <v>0.8714493597031835</v>
      </c>
      <c r="M67" s="86">
        <f t="shared" si="10"/>
        <v>0.9070187213237214</v>
      </c>
      <c r="N67" s="86">
        <f aca="true" t="shared" si="11" ref="N67:T68">IF($C$4="inner",(-0.000001*($B54-$B50)/((N54-N50)/($G$6))),(-0.000001*($B54-$B50)/((N54-N50)/($I$6))))</f>
        <v>0.879110452975299</v>
      </c>
      <c r="O67" s="86">
        <f t="shared" si="11"/>
        <v>0.8869074414717545</v>
      </c>
      <c r="P67" s="86">
        <f t="shared" si="11"/>
        <v>0.8948439733864905</v>
      </c>
      <c r="Q67" s="86">
        <f t="shared" si="11"/>
        <v>0.8948439733864901</v>
      </c>
      <c r="R67" s="86">
        <f t="shared" si="11"/>
        <v>0.882991735328391</v>
      </c>
      <c r="S67" s="86">
        <f t="shared" si="11"/>
        <v>0.911150925065515</v>
      </c>
      <c r="T67" s="86">
        <f t="shared" si="11"/>
        <v>0.8791104529752993</v>
      </c>
      <c r="U67" s="460"/>
      <c r="V67" s="464"/>
      <c r="W67" s="572">
        <f t="shared" si="8"/>
        <v>0.9073817825503291</v>
      </c>
      <c r="X67" s="573">
        <f t="shared" si="9"/>
        <v>0.03629512987817017</v>
      </c>
      <c r="Y67" s="177">
        <v>0.6503348931170524</v>
      </c>
      <c r="Z67" s="86"/>
    </row>
    <row r="68" spans="1:26" s="51" customFormat="1" ht="12.75">
      <c r="A68" s="87">
        <v>10</v>
      </c>
      <c r="B68" s="88">
        <v>14</v>
      </c>
      <c r="C68" s="88" t="s">
        <v>7</v>
      </c>
      <c r="D68" s="87">
        <f t="shared" si="10"/>
        <v>0.9049666427686905</v>
      </c>
      <c r="E68" s="88">
        <f t="shared" si="10"/>
        <v>0.8657905976271886</v>
      </c>
      <c r="F68" s="88">
        <f t="shared" si="10"/>
        <v>0.8928465538030386</v>
      </c>
      <c r="G68" s="88">
        <f t="shared" si="10"/>
        <v>0.91742031216459</v>
      </c>
      <c r="H68" s="88">
        <f t="shared" si="10"/>
        <v>0.8474475764910195</v>
      </c>
      <c r="I68" s="88">
        <f t="shared" si="10"/>
        <v>0.9049666427686905</v>
      </c>
      <c r="J68" s="88">
        <f t="shared" si="10"/>
        <v>0.877182579174915</v>
      </c>
      <c r="K68" s="88">
        <f t="shared" si="10"/>
        <v>0.8403261682852126</v>
      </c>
      <c r="L68" s="88">
        <f t="shared" si="10"/>
        <v>0.8657905976271886</v>
      </c>
      <c r="M68" s="88">
        <f t="shared" si="10"/>
        <v>0.8810468196118089</v>
      </c>
      <c r="N68" s="88">
        <f t="shared" si="11"/>
        <v>0.869554904573394</v>
      </c>
      <c r="O68" s="88">
        <f t="shared" si="11"/>
        <v>0.8810468196118089</v>
      </c>
      <c r="P68" s="88">
        <f t="shared" si="11"/>
        <v>0.8849452568667282</v>
      </c>
      <c r="Q68" s="88">
        <f t="shared" si="11"/>
        <v>0.8438718483201715</v>
      </c>
      <c r="R68" s="88">
        <f t="shared" si="11"/>
        <v>0.8368101592128896</v>
      </c>
      <c r="S68" s="88">
        <f t="shared" si="11"/>
        <v>0.8849452568667281</v>
      </c>
      <c r="T68" s="88">
        <f t="shared" si="11"/>
        <v>0.8368101592128894</v>
      </c>
      <c r="U68" s="472"/>
      <c r="V68" s="473"/>
      <c r="W68" s="574">
        <f t="shared" si="8"/>
        <v>0.8726922879404091</v>
      </c>
      <c r="X68" s="575">
        <f t="shared" si="9"/>
        <v>0.025181505125656135</v>
      </c>
      <c r="Y68" s="177">
        <v>0.655979508273607</v>
      </c>
      <c r="Z68" s="88"/>
    </row>
    <row r="69" spans="1:26" s="49" customFormat="1" ht="12.75">
      <c r="A69" s="3"/>
      <c r="B69" s="3"/>
      <c r="C69" s="3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481"/>
      <c r="V69" s="481"/>
      <c r="W69" s="127"/>
      <c r="Y69" s="481"/>
      <c r="Z69" s="3"/>
    </row>
    <row r="70" spans="1:31" s="49" customFormat="1" ht="12.75">
      <c r="A70" s="67" t="s">
        <v>69</v>
      </c>
      <c r="D70" s="462" t="str">
        <f>$C$3</f>
        <v>I-001 3rd sizing</v>
      </c>
      <c r="E70" s="462"/>
      <c r="F70" s="462" t="str">
        <f>$C$4</f>
        <v>inner</v>
      </c>
      <c r="G70" s="462" t="s">
        <v>115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481"/>
      <c r="V70" s="481"/>
      <c r="W70" s="127"/>
      <c r="Y70" s="481"/>
      <c r="AA70" s="67" t="s">
        <v>69</v>
      </c>
      <c r="AD70" s="51" t="str">
        <f>D70</f>
        <v>I-001 3rd sizing</v>
      </c>
      <c r="AE70" s="51" t="str">
        <f>F70</f>
        <v>inner</v>
      </c>
    </row>
    <row r="71" spans="1:31" s="173" customFormat="1" ht="12.75">
      <c r="A71" s="144" t="s">
        <v>116</v>
      </c>
      <c r="B71" s="141"/>
      <c r="C71" s="141"/>
      <c r="D71" s="422">
        <v>1</v>
      </c>
      <c r="E71" s="423">
        <f aca="true" t="shared" si="12" ref="E71:N71">D71+1</f>
        <v>2</v>
      </c>
      <c r="F71" s="423">
        <f t="shared" si="12"/>
        <v>3</v>
      </c>
      <c r="G71" s="423">
        <f t="shared" si="12"/>
        <v>4</v>
      </c>
      <c r="H71" s="423">
        <f t="shared" si="12"/>
        <v>5</v>
      </c>
      <c r="I71" s="423">
        <f t="shared" si="12"/>
        <v>6</v>
      </c>
      <c r="J71" s="423">
        <f t="shared" si="12"/>
        <v>7</v>
      </c>
      <c r="K71" s="423">
        <f t="shared" si="12"/>
        <v>8</v>
      </c>
      <c r="L71" s="423">
        <f t="shared" si="12"/>
        <v>9</v>
      </c>
      <c r="M71" s="423">
        <f t="shared" si="12"/>
        <v>10</v>
      </c>
      <c r="N71" s="423">
        <f t="shared" si="12"/>
        <v>11</v>
      </c>
      <c r="O71" s="423">
        <f aca="true" t="shared" si="13" ref="O71:T71">N71+1</f>
        <v>12</v>
      </c>
      <c r="P71" s="423">
        <f t="shared" si="13"/>
        <v>13</v>
      </c>
      <c r="Q71" s="423">
        <f t="shared" si="13"/>
        <v>14</v>
      </c>
      <c r="R71" s="423">
        <f t="shared" si="13"/>
        <v>15</v>
      </c>
      <c r="S71" s="423">
        <f t="shared" si="13"/>
        <v>16</v>
      </c>
      <c r="T71" s="423">
        <f t="shared" si="13"/>
        <v>17</v>
      </c>
      <c r="U71" s="582"/>
      <c r="V71" s="583"/>
      <c r="W71" s="171" t="s">
        <v>0</v>
      </c>
      <c r="X71" s="172" t="s">
        <v>117</v>
      </c>
      <c r="Y71" s="481"/>
      <c r="Z71" s="148"/>
      <c r="AA71" s="144" t="s">
        <v>116</v>
      </c>
      <c r="AB71" s="141"/>
      <c r="AC71" s="142"/>
      <c r="AD71" s="171" t="s">
        <v>0</v>
      </c>
      <c r="AE71" s="172" t="s">
        <v>117</v>
      </c>
    </row>
    <row r="72" spans="1:31" s="173" customFormat="1" ht="12.75">
      <c r="A72" s="144" t="s">
        <v>118</v>
      </c>
      <c r="B72" s="141"/>
      <c r="C72" s="142"/>
      <c r="D72" s="584"/>
      <c r="E72" s="515"/>
      <c r="F72" s="515"/>
      <c r="G72" s="515"/>
      <c r="H72" s="515"/>
      <c r="I72" s="515"/>
      <c r="J72" s="515"/>
      <c r="K72" s="515"/>
      <c r="L72" s="515"/>
      <c r="M72" s="515"/>
      <c r="N72" s="515"/>
      <c r="O72" s="515"/>
      <c r="P72" s="515"/>
      <c r="Q72" s="515"/>
      <c r="R72" s="515"/>
      <c r="S72" s="515"/>
      <c r="T72" s="515"/>
      <c r="U72" s="481"/>
      <c r="V72" s="481"/>
      <c r="W72" s="171"/>
      <c r="X72" s="172"/>
      <c r="Y72" s="481"/>
      <c r="Z72" s="148"/>
      <c r="AA72" s="144" t="s">
        <v>118</v>
      </c>
      <c r="AB72" s="141"/>
      <c r="AC72" s="142"/>
      <c r="AD72" s="171"/>
      <c r="AE72" s="172"/>
    </row>
    <row r="73" spans="1:31" s="49" customFormat="1" ht="12.75" customHeight="1">
      <c r="A73" s="82" t="s">
        <v>114</v>
      </c>
      <c r="B73" s="83"/>
      <c r="C73" s="421" t="s">
        <v>35</v>
      </c>
      <c r="D73" s="124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510"/>
      <c r="V73" s="581"/>
      <c r="W73" s="151"/>
      <c r="X73" s="129"/>
      <c r="Y73" s="481"/>
      <c r="Z73" s="154"/>
      <c r="AA73" s="82" t="s">
        <v>114</v>
      </c>
      <c r="AB73" s="83"/>
      <c r="AC73" s="84" t="s">
        <v>35</v>
      </c>
      <c r="AD73" s="151"/>
      <c r="AE73" s="129"/>
    </row>
    <row r="74" spans="1:31" s="51" customFormat="1" ht="12.75" customHeight="1">
      <c r="A74" s="71">
        <f aca="true" t="shared" si="14" ref="A74:B81">A61</f>
        <v>8</v>
      </c>
      <c r="B74" s="56">
        <f t="shared" si="14"/>
        <v>10</v>
      </c>
      <c r="C74" s="86" t="s">
        <v>6</v>
      </c>
      <c r="D74" s="80">
        <f aca="true" t="shared" si="15" ref="D74:T74">D61</f>
        <v>0.8968503500084335</v>
      </c>
      <c r="E74" s="81">
        <f t="shared" si="15"/>
        <v>0.9569264500089982</v>
      </c>
      <c r="F74" s="81">
        <f t="shared" si="15"/>
        <v>0.9478560571179178</v>
      </c>
      <c r="G74" s="81">
        <f t="shared" si="15"/>
        <v>1.0256288618045162</v>
      </c>
      <c r="H74" s="81">
        <f t="shared" si="15"/>
        <v>0.9478560571179178</v>
      </c>
      <c r="I74" s="81">
        <f t="shared" si="15"/>
        <v>0.8810468196118092</v>
      </c>
      <c r="J74" s="81">
        <f t="shared" si="15"/>
        <v>0.9049666427686909</v>
      </c>
      <c r="K74" s="81">
        <f t="shared" si="15"/>
        <v>0.8968503500084336</v>
      </c>
      <c r="L74" s="81">
        <f t="shared" si="15"/>
        <v>0.8733520875627975</v>
      </c>
      <c r="M74" s="81">
        <f t="shared" si="15"/>
        <v>0.8810468196118092</v>
      </c>
      <c r="N74" s="81">
        <f t="shared" si="15"/>
        <v>0.8810468196118092</v>
      </c>
      <c r="O74" s="81">
        <f t="shared" si="15"/>
        <v>0.9216480555386205</v>
      </c>
      <c r="P74" s="81">
        <f t="shared" si="15"/>
        <v>0.8810468196118092</v>
      </c>
      <c r="Q74" s="81">
        <f t="shared" si="15"/>
        <v>0.8968503500084335</v>
      </c>
      <c r="R74" s="81">
        <f t="shared" si="15"/>
        <v>0.8968503500084333</v>
      </c>
      <c r="S74" s="81">
        <f t="shared" si="15"/>
        <v>0.8968503500084336</v>
      </c>
      <c r="T74" s="81">
        <f t="shared" si="15"/>
        <v>0.8733520875627977</v>
      </c>
      <c r="U74" s="460"/>
      <c r="V74" s="464"/>
      <c r="W74" s="86">
        <f>W61</f>
        <v>0.9094132545865683</v>
      </c>
      <c r="X74" s="412">
        <f>X61</f>
        <v>0.03991968410786557</v>
      </c>
      <c r="Y74" s="481"/>
      <c r="Z74" s="86"/>
      <c r="AA74" s="71">
        <f aca="true" t="shared" si="16" ref="AA74:AB81">A74</f>
        <v>8</v>
      </c>
      <c r="AB74" s="56">
        <f t="shared" si="16"/>
        <v>10</v>
      </c>
      <c r="AC74" s="72" t="s">
        <v>9</v>
      </c>
      <c r="AD74" s="86">
        <f aca="true" t="shared" si="17" ref="AD74:AE81">W74</f>
        <v>0.9094132545865683</v>
      </c>
      <c r="AE74" s="72">
        <f t="shared" si="17"/>
        <v>0.03991968410786557</v>
      </c>
    </row>
    <row r="75" spans="1:31" s="51" customFormat="1" ht="12.75" customHeight="1">
      <c r="A75" s="71">
        <f t="shared" si="14"/>
        <v>8</v>
      </c>
      <c r="B75" s="56">
        <f t="shared" si="14"/>
        <v>10</v>
      </c>
      <c r="C75" s="86" t="s">
        <v>8</v>
      </c>
      <c r="D75" s="80">
        <f aca="true" t="shared" si="18" ref="D75:T75">D62</f>
        <v>0.8968503500084333</v>
      </c>
      <c r="E75" s="81">
        <f t="shared" si="18"/>
        <v>0.938956000243571</v>
      </c>
      <c r="F75" s="81">
        <f t="shared" si="18"/>
        <v>0.8968503500084333</v>
      </c>
      <c r="G75" s="81">
        <f t="shared" si="18"/>
        <v>0.8733520875627977</v>
      </c>
      <c r="H75" s="81">
        <f t="shared" si="18"/>
        <v>0.8968503500084333</v>
      </c>
      <c r="I75" s="81">
        <f t="shared" si="18"/>
        <v>0.8888783468972473</v>
      </c>
      <c r="J75" s="81">
        <f t="shared" si="18"/>
        <v>0.8888783468972471</v>
      </c>
      <c r="K75" s="81">
        <f t="shared" si="18"/>
        <v>0.9049666427686905</v>
      </c>
      <c r="L75" s="81">
        <f t="shared" si="18"/>
        <v>0.8810468196118091</v>
      </c>
      <c r="M75" s="81">
        <f t="shared" si="18"/>
        <v>0.8968503500084335</v>
      </c>
      <c r="N75" s="81">
        <f t="shared" si="18"/>
        <v>0.8733520875627975</v>
      </c>
      <c r="O75" s="81">
        <f t="shared" si="18"/>
        <v>0.8968503500084333</v>
      </c>
      <c r="P75" s="81">
        <f t="shared" si="18"/>
        <v>0.8968503500084335</v>
      </c>
      <c r="Q75" s="81">
        <f t="shared" si="18"/>
        <v>0.8888783468972473</v>
      </c>
      <c r="R75" s="81">
        <f t="shared" si="18"/>
        <v>0.8888783468972474</v>
      </c>
      <c r="S75" s="81">
        <f t="shared" si="18"/>
        <v>0.8657905976271889</v>
      </c>
      <c r="T75" s="81">
        <f t="shared" si="18"/>
        <v>0.8368101592128896</v>
      </c>
      <c r="U75" s="460"/>
      <c r="V75" s="464"/>
      <c r="W75" s="86">
        <f aca="true" t="shared" si="19" ref="W75:X81">W62</f>
        <v>0.8888758754252549</v>
      </c>
      <c r="X75" s="412">
        <f t="shared" si="19"/>
        <v>0.02081994857562236</v>
      </c>
      <c r="Y75" s="481"/>
      <c r="Z75" s="86"/>
      <c r="AA75" s="71">
        <f t="shared" si="16"/>
        <v>8</v>
      </c>
      <c r="AB75" s="56">
        <f t="shared" si="16"/>
        <v>10</v>
      </c>
      <c r="AC75" s="72" t="s">
        <v>7</v>
      </c>
      <c r="AD75" s="86">
        <f t="shared" si="17"/>
        <v>0.8888758754252549</v>
      </c>
      <c r="AE75" s="72">
        <f t="shared" si="17"/>
        <v>0.02081994857562236</v>
      </c>
    </row>
    <row r="76" spans="1:31" s="51" customFormat="1" ht="13.5" customHeight="1">
      <c r="A76" s="71">
        <f t="shared" si="14"/>
        <v>10</v>
      </c>
      <c r="B76" s="56">
        <f t="shared" si="14"/>
        <v>12</v>
      </c>
      <c r="C76" s="86" t="s">
        <v>6</v>
      </c>
      <c r="D76" s="80">
        <f aca="true" t="shared" si="20" ref="D76:T76">D63</f>
        <v>0.9302215258227007</v>
      </c>
      <c r="E76" s="81">
        <f t="shared" si="20"/>
        <v>0.9478560571179175</v>
      </c>
      <c r="F76" s="81">
        <f t="shared" si="20"/>
        <v>0.9302215258227007</v>
      </c>
      <c r="G76" s="81">
        <f t="shared" si="20"/>
        <v>0.9302215258227002</v>
      </c>
      <c r="H76" s="81">
        <f t="shared" si="20"/>
        <v>0.9302215258227007</v>
      </c>
      <c r="I76" s="81">
        <f t="shared" si="20"/>
        <v>0.8810468196118086</v>
      </c>
      <c r="J76" s="81">
        <f t="shared" si="20"/>
        <v>0.8733520875627971</v>
      </c>
      <c r="K76" s="81">
        <f t="shared" si="20"/>
        <v>0.8438718483201711</v>
      </c>
      <c r="L76" s="81">
        <f t="shared" si="20"/>
        <v>0.8657905976271888</v>
      </c>
      <c r="M76" s="81">
        <f t="shared" si="20"/>
        <v>0.8810468196118089</v>
      </c>
      <c r="N76" s="81">
        <f t="shared" si="20"/>
        <v>0.8368101592128895</v>
      </c>
      <c r="O76" s="81">
        <f t="shared" si="20"/>
        <v>0.8438718483201711</v>
      </c>
      <c r="P76" s="81">
        <f t="shared" si="20"/>
        <v>0.9049666427686903</v>
      </c>
      <c r="Q76" s="81">
        <f t="shared" si="20"/>
        <v>0.8810468196118091</v>
      </c>
      <c r="R76" s="81">
        <f t="shared" si="20"/>
        <v>0.9049666427686905</v>
      </c>
      <c r="S76" s="81">
        <f t="shared" si="20"/>
        <v>0.896850350008433</v>
      </c>
      <c r="T76" s="81">
        <f t="shared" si="20"/>
        <v>0.8657905976271888</v>
      </c>
      <c r="U76" s="460"/>
      <c r="V76" s="464"/>
      <c r="W76" s="86">
        <f t="shared" si="19"/>
        <v>0.8910678466741393</v>
      </c>
      <c r="X76" s="412">
        <f t="shared" si="19"/>
        <v>0.034522225177368096</v>
      </c>
      <c r="Y76" s="481"/>
      <c r="Z76" s="86"/>
      <c r="AA76" s="71">
        <f t="shared" si="16"/>
        <v>10</v>
      </c>
      <c r="AB76" s="56">
        <f t="shared" si="16"/>
        <v>12</v>
      </c>
      <c r="AC76" s="72" t="s">
        <v>9</v>
      </c>
      <c r="AD76" s="86">
        <f t="shared" si="17"/>
        <v>0.8910678466741393</v>
      </c>
      <c r="AE76" s="72">
        <f t="shared" si="17"/>
        <v>0.034522225177368096</v>
      </c>
    </row>
    <row r="77" spans="1:31" s="51" customFormat="1" ht="12.75">
      <c r="A77" s="71">
        <f t="shared" si="14"/>
        <v>10</v>
      </c>
      <c r="B77" s="56">
        <f t="shared" si="14"/>
        <v>12</v>
      </c>
      <c r="C77" s="86" t="s">
        <v>8</v>
      </c>
      <c r="D77" s="80">
        <f aca="true" t="shared" si="21" ref="D77:T77">D64</f>
        <v>0.8849452568667282</v>
      </c>
      <c r="E77" s="81">
        <f t="shared" si="21"/>
        <v>0.8620587416029336</v>
      </c>
      <c r="F77" s="81">
        <f t="shared" si="21"/>
        <v>0.8928465538030382</v>
      </c>
      <c r="G77" s="81">
        <f t="shared" si="21"/>
        <v>0.8928465538030382</v>
      </c>
      <c r="H77" s="81">
        <f t="shared" si="21"/>
        <v>0.8333234502161692</v>
      </c>
      <c r="I77" s="81">
        <f t="shared" si="21"/>
        <v>0.8849452568667281</v>
      </c>
      <c r="J77" s="81">
        <f t="shared" si="21"/>
        <v>0.8849452568667282</v>
      </c>
      <c r="K77" s="81">
        <f t="shared" si="21"/>
        <v>0.7936413811582564</v>
      </c>
      <c r="L77" s="81">
        <f t="shared" si="21"/>
        <v>0.8474475764910195</v>
      </c>
      <c r="M77" s="81">
        <f t="shared" si="21"/>
        <v>0.8620587416029336</v>
      </c>
      <c r="N77" s="81">
        <f t="shared" si="21"/>
        <v>0.8403261682852124</v>
      </c>
      <c r="O77" s="81">
        <f t="shared" si="21"/>
        <v>0.8474475764910195</v>
      </c>
      <c r="P77" s="81">
        <f t="shared" si="21"/>
        <v>0.909080127508548</v>
      </c>
      <c r="Q77" s="81">
        <f t="shared" si="21"/>
        <v>0.8403261682852123</v>
      </c>
      <c r="R77" s="81">
        <f t="shared" si="21"/>
        <v>0.8264364795532255</v>
      </c>
      <c r="S77" s="81">
        <f t="shared" si="21"/>
        <v>0.8928465538030385</v>
      </c>
      <c r="T77" s="81">
        <f t="shared" si="21"/>
        <v>0.8264364795532254</v>
      </c>
      <c r="U77" s="460"/>
      <c r="V77" s="464"/>
      <c r="W77" s="86">
        <f t="shared" si="19"/>
        <v>0.8601151954562971</v>
      </c>
      <c r="X77" s="412">
        <f t="shared" si="19"/>
        <v>0.031600995201990195</v>
      </c>
      <c r="Y77" s="481"/>
      <c r="Z77" s="86"/>
      <c r="AA77" s="71">
        <f t="shared" si="16"/>
        <v>10</v>
      </c>
      <c r="AB77" s="56">
        <f t="shared" si="16"/>
        <v>12</v>
      </c>
      <c r="AC77" s="72" t="s">
        <v>7</v>
      </c>
      <c r="AD77" s="86">
        <f t="shared" si="17"/>
        <v>0.8601151954562971</v>
      </c>
      <c r="AE77" s="72">
        <f t="shared" si="17"/>
        <v>0.031600995201990195</v>
      </c>
    </row>
    <row r="78" spans="1:31" s="51" customFormat="1" ht="12.75">
      <c r="A78" s="71">
        <f t="shared" si="14"/>
        <v>12</v>
      </c>
      <c r="B78" s="56">
        <f t="shared" si="14"/>
        <v>14</v>
      </c>
      <c r="C78" s="86" t="s">
        <v>6</v>
      </c>
      <c r="D78" s="80">
        <f aca="true" t="shared" si="22" ref="D78:T78">D65</f>
        <v>0.9999881402594027</v>
      </c>
      <c r="E78" s="81">
        <f t="shared" si="22"/>
        <v>1.020396061489187</v>
      </c>
      <c r="F78" s="81">
        <f t="shared" si="22"/>
        <v>0.9523696573899075</v>
      </c>
      <c r="G78" s="81">
        <f t="shared" si="22"/>
        <v>0.9900872675835678</v>
      </c>
      <c r="H78" s="81">
        <f t="shared" si="22"/>
        <v>0.9433850379805685</v>
      </c>
      <c r="I78" s="81">
        <f t="shared" si="22"/>
        <v>0.8928465538030382</v>
      </c>
      <c r="J78" s="81">
        <f t="shared" si="22"/>
        <v>0.909080127508548</v>
      </c>
      <c r="K78" s="81">
        <f t="shared" si="22"/>
        <v>0.8695549045733937</v>
      </c>
      <c r="L78" s="81">
        <f t="shared" si="22"/>
        <v>0.877182579174915</v>
      </c>
      <c r="M78" s="81">
        <f t="shared" si="22"/>
        <v>0.9345683553826195</v>
      </c>
      <c r="N78" s="81">
        <f t="shared" si="22"/>
        <v>0.925914944684632</v>
      </c>
      <c r="O78" s="81">
        <f t="shared" si="22"/>
        <v>0.9345683553826198</v>
      </c>
      <c r="P78" s="81">
        <f t="shared" si="22"/>
        <v>0.8849452568667284</v>
      </c>
      <c r="Q78" s="81">
        <f t="shared" si="22"/>
        <v>0.9090801275085477</v>
      </c>
      <c r="R78" s="81">
        <f t="shared" si="22"/>
        <v>0.8620587416029334</v>
      </c>
      <c r="S78" s="81">
        <f t="shared" si="22"/>
        <v>0.9259149446846323</v>
      </c>
      <c r="T78" s="81">
        <f t="shared" si="22"/>
        <v>0.8928465538030382</v>
      </c>
      <c r="U78" s="460"/>
      <c r="V78" s="464"/>
      <c r="W78" s="86">
        <f t="shared" si="19"/>
        <v>0.9249875064516635</v>
      </c>
      <c r="X78" s="412">
        <f t="shared" si="19"/>
        <v>0.04591642545271587</v>
      </c>
      <c r="Y78" s="481"/>
      <c r="Z78" s="86"/>
      <c r="AA78" s="71">
        <f t="shared" si="16"/>
        <v>12</v>
      </c>
      <c r="AB78" s="56">
        <f t="shared" si="16"/>
        <v>14</v>
      </c>
      <c r="AC78" s="72" t="s">
        <v>9</v>
      </c>
      <c r="AD78" s="86">
        <f t="shared" si="17"/>
        <v>0.9249875064516635</v>
      </c>
      <c r="AE78" s="72">
        <f t="shared" si="17"/>
        <v>0.04591642545271587</v>
      </c>
    </row>
    <row r="79" spans="1:31" s="51" customFormat="1" ht="12.75">
      <c r="A79" s="71">
        <f t="shared" si="14"/>
        <v>12</v>
      </c>
      <c r="B79" s="56">
        <f t="shared" si="14"/>
        <v>14</v>
      </c>
      <c r="C79" s="86" t="s">
        <v>8</v>
      </c>
      <c r="D79" s="80">
        <f aca="true" t="shared" si="23" ref="D79:T79">D66</f>
        <v>0.9259149446846323</v>
      </c>
      <c r="E79" s="81">
        <f t="shared" si="23"/>
        <v>0.869554904573394</v>
      </c>
      <c r="F79" s="81">
        <f t="shared" si="23"/>
        <v>0.8928465538030389</v>
      </c>
      <c r="G79" s="81">
        <f t="shared" si="23"/>
        <v>0.9433850379805693</v>
      </c>
      <c r="H79" s="81">
        <f t="shared" si="23"/>
        <v>0.8620587416029337</v>
      </c>
      <c r="I79" s="81">
        <f t="shared" si="23"/>
        <v>0.9259149446846328</v>
      </c>
      <c r="J79" s="81">
        <f t="shared" si="23"/>
        <v>0.8695549045733943</v>
      </c>
      <c r="K79" s="81">
        <f t="shared" si="23"/>
        <v>0.8928465538030382</v>
      </c>
      <c r="L79" s="81">
        <f t="shared" si="23"/>
        <v>0.8849452568667281</v>
      </c>
      <c r="M79" s="81">
        <f t="shared" si="23"/>
        <v>0.9008902164499127</v>
      </c>
      <c r="N79" s="81">
        <f t="shared" si="23"/>
        <v>0.9008902164499127</v>
      </c>
      <c r="O79" s="81">
        <f t="shared" si="23"/>
        <v>0.9174203121645897</v>
      </c>
      <c r="P79" s="81">
        <f t="shared" si="23"/>
        <v>0.8620587416029337</v>
      </c>
      <c r="Q79" s="81">
        <f t="shared" si="23"/>
        <v>0.8474475764910202</v>
      </c>
      <c r="R79" s="81">
        <f t="shared" si="23"/>
        <v>0.8474475764910199</v>
      </c>
      <c r="S79" s="81">
        <f t="shared" si="23"/>
        <v>0.8771825791749147</v>
      </c>
      <c r="T79" s="81">
        <f t="shared" si="23"/>
        <v>0.8474475764910195</v>
      </c>
      <c r="U79" s="460"/>
      <c r="V79" s="464"/>
      <c r="W79" s="86">
        <f t="shared" si="19"/>
        <v>0.8863415669345697</v>
      </c>
      <c r="X79" s="412">
        <f t="shared" si="19"/>
        <v>0.029819106768972734</v>
      </c>
      <c r="Y79" s="481"/>
      <c r="Z79" s="86"/>
      <c r="AA79" s="71">
        <f t="shared" si="16"/>
        <v>12</v>
      </c>
      <c r="AB79" s="56">
        <f t="shared" si="16"/>
        <v>14</v>
      </c>
      <c r="AC79" s="72" t="s">
        <v>7</v>
      </c>
      <c r="AD79" s="86">
        <f t="shared" si="17"/>
        <v>0.8863415669345697</v>
      </c>
      <c r="AE79" s="72">
        <f t="shared" si="17"/>
        <v>0.029819106768972734</v>
      </c>
    </row>
    <row r="80" spans="1:31" s="51" customFormat="1" ht="12.75">
      <c r="A80" s="71">
        <f t="shared" si="14"/>
        <v>10</v>
      </c>
      <c r="B80" s="56">
        <f t="shared" si="14"/>
        <v>14</v>
      </c>
      <c r="C80" s="86" t="s">
        <v>6</v>
      </c>
      <c r="D80" s="80">
        <f aca="true" t="shared" si="24" ref="D80:T80">D67</f>
        <v>0.9638439906114726</v>
      </c>
      <c r="E80" s="81">
        <f t="shared" si="24"/>
        <v>0.9827893270362682</v>
      </c>
      <c r="F80" s="81">
        <f t="shared" si="24"/>
        <v>0.941165308479438</v>
      </c>
      <c r="G80" s="81">
        <f t="shared" si="24"/>
        <v>0.9592212376588998</v>
      </c>
      <c r="H80" s="81">
        <f t="shared" si="24"/>
        <v>0.9367570400556468</v>
      </c>
      <c r="I80" s="81">
        <f t="shared" si="24"/>
        <v>0.8869074414717542</v>
      </c>
      <c r="J80" s="81">
        <f t="shared" si="24"/>
        <v>0.8908580314114947</v>
      </c>
      <c r="K80" s="81">
        <f t="shared" si="24"/>
        <v>0.8565208910144778</v>
      </c>
      <c r="L80" s="81">
        <f t="shared" si="24"/>
        <v>0.8714493597031835</v>
      </c>
      <c r="M80" s="81">
        <f t="shared" si="24"/>
        <v>0.9070187213237214</v>
      </c>
      <c r="N80" s="81">
        <f t="shared" si="24"/>
        <v>0.879110452975299</v>
      </c>
      <c r="O80" s="81">
        <f t="shared" si="24"/>
        <v>0.8869074414717545</v>
      </c>
      <c r="P80" s="81">
        <f t="shared" si="24"/>
        <v>0.8948439733864905</v>
      </c>
      <c r="Q80" s="81">
        <f t="shared" si="24"/>
        <v>0.8948439733864901</v>
      </c>
      <c r="R80" s="81">
        <f t="shared" si="24"/>
        <v>0.882991735328391</v>
      </c>
      <c r="S80" s="81">
        <f t="shared" si="24"/>
        <v>0.911150925065515</v>
      </c>
      <c r="T80" s="81">
        <f t="shared" si="24"/>
        <v>0.8791104529752993</v>
      </c>
      <c r="U80" s="460"/>
      <c r="V80" s="464"/>
      <c r="W80" s="86">
        <f t="shared" si="19"/>
        <v>0.9073817825503291</v>
      </c>
      <c r="X80" s="412">
        <f t="shared" si="19"/>
        <v>0.03629512987817017</v>
      </c>
      <c r="Y80" s="481"/>
      <c r="Z80" s="86"/>
      <c r="AA80" s="71">
        <f t="shared" si="16"/>
        <v>10</v>
      </c>
      <c r="AB80" s="56">
        <f t="shared" si="16"/>
        <v>14</v>
      </c>
      <c r="AC80" s="72" t="s">
        <v>9</v>
      </c>
      <c r="AD80" s="86">
        <f t="shared" si="17"/>
        <v>0.9073817825503291</v>
      </c>
      <c r="AE80" s="72">
        <f t="shared" si="17"/>
        <v>0.03629512987817017</v>
      </c>
    </row>
    <row r="81" spans="1:31" s="51" customFormat="1" ht="12.75">
      <c r="A81" s="71">
        <f t="shared" si="14"/>
        <v>10</v>
      </c>
      <c r="B81" s="56">
        <f t="shared" si="14"/>
        <v>14</v>
      </c>
      <c r="C81" s="86" t="s">
        <v>8</v>
      </c>
      <c r="D81" s="80">
        <f aca="true" t="shared" si="25" ref="D81:T81">D68</f>
        <v>0.9049666427686905</v>
      </c>
      <c r="E81" s="81">
        <f t="shared" si="25"/>
        <v>0.8657905976271886</v>
      </c>
      <c r="F81" s="81">
        <f t="shared" si="25"/>
        <v>0.8928465538030386</v>
      </c>
      <c r="G81" s="81">
        <f t="shared" si="25"/>
        <v>0.91742031216459</v>
      </c>
      <c r="H81" s="81">
        <f t="shared" si="25"/>
        <v>0.8474475764910195</v>
      </c>
      <c r="I81" s="81">
        <f t="shared" si="25"/>
        <v>0.9049666427686905</v>
      </c>
      <c r="J81" s="81">
        <f t="shared" si="25"/>
        <v>0.877182579174915</v>
      </c>
      <c r="K81" s="81">
        <f t="shared" si="25"/>
        <v>0.8403261682852126</v>
      </c>
      <c r="L81" s="81">
        <f t="shared" si="25"/>
        <v>0.8657905976271886</v>
      </c>
      <c r="M81" s="81">
        <f t="shared" si="25"/>
        <v>0.8810468196118089</v>
      </c>
      <c r="N81" s="81">
        <f t="shared" si="25"/>
        <v>0.869554904573394</v>
      </c>
      <c r="O81" s="81">
        <f t="shared" si="25"/>
        <v>0.8810468196118089</v>
      </c>
      <c r="P81" s="81">
        <f t="shared" si="25"/>
        <v>0.8849452568667282</v>
      </c>
      <c r="Q81" s="81">
        <f t="shared" si="25"/>
        <v>0.8438718483201715</v>
      </c>
      <c r="R81" s="81">
        <f t="shared" si="25"/>
        <v>0.8368101592128896</v>
      </c>
      <c r="S81" s="81">
        <f t="shared" si="25"/>
        <v>0.8849452568667281</v>
      </c>
      <c r="T81" s="81">
        <f t="shared" si="25"/>
        <v>0.8368101592128894</v>
      </c>
      <c r="U81" s="460"/>
      <c r="V81" s="464"/>
      <c r="W81" s="86">
        <f t="shared" si="19"/>
        <v>0.8726922879404091</v>
      </c>
      <c r="X81" s="412">
        <f t="shared" si="19"/>
        <v>0.025181505125656135</v>
      </c>
      <c r="Y81" s="481"/>
      <c r="Z81" s="86"/>
      <c r="AA81" s="71">
        <f t="shared" si="16"/>
        <v>10</v>
      </c>
      <c r="AB81" s="56">
        <f t="shared" si="16"/>
        <v>14</v>
      </c>
      <c r="AC81" s="72" t="s">
        <v>7</v>
      </c>
      <c r="AD81" s="86">
        <f t="shared" si="17"/>
        <v>0.8726922879404091</v>
      </c>
      <c r="AE81" s="72">
        <f t="shared" si="17"/>
        <v>0.025181505125656135</v>
      </c>
    </row>
    <row r="82" spans="1:31" s="51" customFormat="1" ht="12.75">
      <c r="A82" s="71"/>
      <c r="B82" s="56"/>
      <c r="C82" s="86"/>
      <c r="D82" s="80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460"/>
      <c r="V82" s="464"/>
      <c r="W82" s="86"/>
      <c r="X82" s="72"/>
      <c r="Y82" s="481"/>
      <c r="Z82" s="86"/>
      <c r="AA82" s="71"/>
      <c r="AB82" s="56"/>
      <c r="AC82" s="72"/>
      <c r="AD82" s="86"/>
      <c r="AE82" s="72"/>
    </row>
    <row r="83" spans="1:31" s="51" customFormat="1" ht="12.75">
      <c r="A83" s="71"/>
      <c r="B83" s="56"/>
      <c r="C83" s="86"/>
      <c r="D83" s="80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460"/>
      <c r="V83" s="464"/>
      <c r="W83" s="86"/>
      <c r="X83" s="72"/>
      <c r="Y83" s="481"/>
      <c r="Z83" s="86"/>
      <c r="AA83" s="71"/>
      <c r="AB83" s="56"/>
      <c r="AC83" s="72"/>
      <c r="AD83" s="86"/>
      <c r="AE83" s="72"/>
    </row>
    <row r="84" spans="1:31" s="51" customFormat="1" ht="12" customHeight="1">
      <c r="A84" s="73" t="s">
        <v>119</v>
      </c>
      <c r="B84" s="58"/>
      <c r="C84" s="86"/>
      <c r="D84" s="80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460"/>
      <c r="V84" s="464"/>
      <c r="W84" s="86"/>
      <c r="X84" s="72"/>
      <c r="Y84" s="481"/>
      <c r="Z84" s="86"/>
      <c r="AA84" s="73" t="s">
        <v>119</v>
      </c>
      <c r="AB84" s="58"/>
      <c r="AC84" s="72"/>
      <c r="AD84" s="86"/>
      <c r="AE84" s="72"/>
    </row>
    <row r="85" spans="1:31" s="49" customFormat="1" ht="12" customHeight="1">
      <c r="A85" s="71" t="str">
        <f>$C$3</f>
        <v>I-001 3rd sizing</v>
      </c>
      <c r="B85" s="56" t="str">
        <f>$C$4</f>
        <v>inner</v>
      </c>
      <c r="C85" s="56" t="s">
        <v>9</v>
      </c>
      <c r="D85" s="80">
        <f aca="true" t="shared" si="26" ref="D85:M86">D52*1000</f>
        <v>-2.94</v>
      </c>
      <c r="E85" s="81">
        <f t="shared" si="26"/>
        <v>-3.3400000000000003</v>
      </c>
      <c r="F85" s="81">
        <f t="shared" si="26"/>
        <v>-1.8399999999999996</v>
      </c>
      <c r="G85" s="81">
        <f t="shared" si="26"/>
        <v>-3.880000000000001</v>
      </c>
      <c r="H85" s="81">
        <f t="shared" si="26"/>
        <v>-3.4999999999999996</v>
      </c>
      <c r="I85" s="81">
        <f t="shared" si="26"/>
        <v>-3.08</v>
      </c>
      <c r="J85" s="81">
        <f t="shared" si="26"/>
        <v>-3.1200000000000006</v>
      </c>
      <c r="K85" s="81">
        <f t="shared" si="26"/>
        <v>-2.7600000000000002</v>
      </c>
      <c r="L85" s="81">
        <f t="shared" si="26"/>
        <v>-2.94</v>
      </c>
      <c r="M85" s="81">
        <f t="shared" si="26"/>
        <v>-3.28</v>
      </c>
      <c r="N85" s="81">
        <f aca="true" t="shared" si="27" ref="N85:T86">N52*1000</f>
        <v>-2.9</v>
      </c>
      <c r="O85" s="81">
        <f t="shared" si="27"/>
        <v>-3.08</v>
      </c>
      <c r="P85" s="81">
        <f t="shared" si="27"/>
        <v>-3.08</v>
      </c>
      <c r="Q85" s="81">
        <f t="shared" si="27"/>
        <v>-3.2399999999999998</v>
      </c>
      <c r="R85" s="81">
        <f t="shared" si="27"/>
        <v>-1.8999999999999997</v>
      </c>
      <c r="S85" s="81">
        <f t="shared" si="27"/>
        <v>-3.04</v>
      </c>
      <c r="T85" s="81">
        <f t="shared" si="27"/>
        <v>-2.92</v>
      </c>
      <c r="U85" s="460"/>
      <c r="V85" s="464"/>
      <c r="W85" s="81">
        <f>W52*1000</f>
        <v>-2.9905882352941173</v>
      </c>
      <c r="X85" s="413">
        <f>X52*1000</f>
        <v>0.4966446238035213</v>
      </c>
      <c r="Y85" s="481"/>
      <c r="Z85" s="56"/>
      <c r="AA85" s="71" t="str">
        <f>$C$3</f>
        <v>I-001 3rd sizing</v>
      </c>
      <c r="AB85" s="56" t="str">
        <f>$C$4</f>
        <v>inner</v>
      </c>
      <c r="AC85" s="69" t="s">
        <v>9</v>
      </c>
      <c r="AD85" s="86">
        <f>W85</f>
        <v>-2.9905882352941173</v>
      </c>
      <c r="AE85" s="72">
        <f>X85</f>
        <v>0.4966446238035213</v>
      </c>
    </row>
    <row r="86" spans="1:31" s="49" customFormat="1" ht="12" customHeight="1">
      <c r="A86" s="74" t="str">
        <f>$C$3</f>
        <v>I-001 3rd sizing</v>
      </c>
      <c r="B86" s="52" t="str">
        <f>$C$4</f>
        <v>inner</v>
      </c>
      <c r="C86" s="52" t="s">
        <v>7</v>
      </c>
      <c r="D86" s="130">
        <f t="shared" si="26"/>
        <v>-3.06</v>
      </c>
      <c r="E86" s="131">
        <f t="shared" si="26"/>
        <v>-2.8400000000000003</v>
      </c>
      <c r="F86" s="131">
        <f t="shared" si="26"/>
        <v>-3.2600000000000007</v>
      </c>
      <c r="G86" s="131">
        <f t="shared" si="26"/>
        <v>-3.4600000000000004</v>
      </c>
      <c r="H86" s="150">
        <f t="shared" si="26"/>
        <v>-1.4600000000000004</v>
      </c>
      <c r="I86" s="131">
        <f t="shared" si="26"/>
        <v>-3.2000000000000006</v>
      </c>
      <c r="J86" s="131">
        <f t="shared" si="26"/>
        <v>-3.08</v>
      </c>
      <c r="K86" s="131">
        <f t="shared" si="26"/>
        <v>-3.02</v>
      </c>
      <c r="L86" s="131">
        <f t="shared" si="26"/>
        <v>-3.3400000000000003</v>
      </c>
      <c r="M86" s="131">
        <f t="shared" si="26"/>
        <v>-3.4400000000000004</v>
      </c>
      <c r="N86" s="131">
        <f t="shared" si="27"/>
        <v>-3.1800000000000006</v>
      </c>
      <c r="O86" s="131">
        <f t="shared" si="27"/>
        <v>-3</v>
      </c>
      <c r="P86" s="131">
        <f t="shared" si="27"/>
        <v>-3.08</v>
      </c>
      <c r="Q86" s="131">
        <f t="shared" si="27"/>
        <v>-2.6000000000000005</v>
      </c>
      <c r="R86" s="131">
        <f t="shared" si="27"/>
        <v>-1.7800000000000002</v>
      </c>
      <c r="S86" s="131">
        <f t="shared" si="27"/>
        <v>-3.32</v>
      </c>
      <c r="T86" s="131">
        <f t="shared" si="27"/>
        <v>-2.5200000000000005</v>
      </c>
      <c r="U86" s="472"/>
      <c r="V86" s="473"/>
      <c r="W86" s="131">
        <f>W53*1000</f>
        <v>-2.920000000000001</v>
      </c>
      <c r="X86" s="414">
        <f>X53*1000</f>
        <v>0.5560575509783126</v>
      </c>
      <c r="Y86" s="481"/>
      <c r="Z86" s="52"/>
      <c r="AA86" s="74" t="str">
        <f>$C$3</f>
        <v>I-001 3rd sizing</v>
      </c>
      <c r="AB86" s="52" t="str">
        <f>$C$4</f>
        <v>inner</v>
      </c>
      <c r="AC86" s="70" t="s">
        <v>7</v>
      </c>
      <c r="AD86" s="88">
        <f>W86</f>
        <v>-2.920000000000001</v>
      </c>
      <c r="AE86" s="89">
        <f>X86</f>
        <v>0.5560575509783126</v>
      </c>
    </row>
    <row r="87" spans="1:26" s="49" customFormat="1" ht="12.75">
      <c r="A87" s="53"/>
      <c r="B87" s="56"/>
      <c r="C87" s="3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481"/>
      <c r="V87" s="481"/>
      <c r="W87" s="86"/>
      <c r="X87" s="127"/>
      <c r="Y87" s="481"/>
      <c r="Z87" s="3"/>
    </row>
    <row r="88" spans="1:31" s="49" customFormat="1" ht="12.75">
      <c r="A88" s="66" t="s">
        <v>69</v>
      </c>
      <c r="B88" s="57"/>
      <c r="C88" s="3"/>
      <c r="D88" s="462" t="str">
        <f>$C$3</f>
        <v>I-001 3rd sizing</v>
      </c>
      <c r="E88" s="462"/>
      <c r="F88" s="462" t="str">
        <f>$C$4</f>
        <v>inner</v>
      </c>
      <c r="G88" s="462" t="s">
        <v>115</v>
      </c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481"/>
      <c r="V88" s="481"/>
      <c r="W88" s="86"/>
      <c r="X88" s="127"/>
      <c r="Y88" s="481"/>
      <c r="Z88" s="3"/>
      <c r="AA88" s="66" t="s">
        <v>69</v>
      </c>
      <c r="AB88" s="54"/>
      <c r="AC88" s="54"/>
      <c r="AD88" s="169" t="str">
        <f>D88</f>
        <v>I-001 3rd sizing</v>
      </c>
      <c r="AE88" s="185" t="str">
        <f>F88</f>
        <v>inner</v>
      </c>
    </row>
    <row r="89" spans="1:31" s="176" customFormat="1" ht="12.75">
      <c r="A89" s="147" t="s">
        <v>116</v>
      </c>
      <c r="B89" s="148"/>
      <c r="C89" s="148"/>
      <c r="D89" s="422">
        <v>1</v>
      </c>
      <c r="E89" s="423">
        <f aca="true" t="shared" si="28" ref="E89:N89">D89+1</f>
        <v>2</v>
      </c>
      <c r="F89" s="423">
        <f t="shared" si="28"/>
        <v>3</v>
      </c>
      <c r="G89" s="423">
        <f t="shared" si="28"/>
        <v>4</v>
      </c>
      <c r="H89" s="423">
        <f t="shared" si="28"/>
        <v>5</v>
      </c>
      <c r="I89" s="423">
        <f t="shared" si="28"/>
        <v>6</v>
      </c>
      <c r="J89" s="423">
        <f t="shared" si="28"/>
        <v>7</v>
      </c>
      <c r="K89" s="423">
        <f t="shared" si="28"/>
        <v>8</v>
      </c>
      <c r="L89" s="423">
        <f t="shared" si="28"/>
        <v>9</v>
      </c>
      <c r="M89" s="423">
        <f t="shared" si="28"/>
        <v>10</v>
      </c>
      <c r="N89" s="423">
        <f t="shared" si="28"/>
        <v>11</v>
      </c>
      <c r="O89" s="423">
        <f aca="true" t="shared" si="29" ref="O89:T89">N89+1</f>
        <v>12</v>
      </c>
      <c r="P89" s="423">
        <f t="shared" si="29"/>
        <v>13</v>
      </c>
      <c r="Q89" s="423">
        <f t="shared" si="29"/>
        <v>14</v>
      </c>
      <c r="R89" s="423">
        <f t="shared" si="29"/>
        <v>15</v>
      </c>
      <c r="S89" s="423">
        <f t="shared" si="29"/>
        <v>16</v>
      </c>
      <c r="T89" s="423">
        <f t="shared" si="29"/>
        <v>17</v>
      </c>
      <c r="U89" s="582"/>
      <c r="V89" s="583"/>
      <c r="W89" s="171" t="s">
        <v>0</v>
      </c>
      <c r="X89" s="172" t="s">
        <v>117</v>
      </c>
      <c r="Y89" s="481"/>
      <c r="Z89" s="481"/>
      <c r="AA89" s="157" t="str">
        <f aca="true" t="shared" si="30" ref="AA89:AA99">A89</f>
        <v>Axial location from lead end </v>
      </c>
      <c r="AB89" s="158"/>
      <c r="AC89" s="159"/>
      <c r="AD89" s="174" t="s">
        <v>0</v>
      </c>
      <c r="AE89" s="175" t="s">
        <v>117</v>
      </c>
    </row>
    <row r="90" spans="1:31" s="54" customFormat="1" ht="12" customHeight="1">
      <c r="A90" s="78" t="s">
        <v>120</v>
      </c>
      <c r="B90" s="75"/>
      <c r="C90" s="415"/>
      <c r="D90" s="132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585"/>
      <c r="V90" s="586"/>
      <c r="W90" s="152"/>
      <c r="X90" s="134"/>
      <c r="Y90" s="516"/>
      <c r="Z90" s="516"/>
      <c r="AA90" s="157" t="str">
        <f t="shared" si="30"/>
        <v>Coil modulus [GPa]</v>
      </c>
      <c r="AB90" s="158"/>
      <c r="AC90" s="159"/>
      <c r="AD90" s="174"/>
      <c r="AE90" s="175"/>
    </row>
    <row r="91" spans="1:31" s="55" customFormat="1" ht="12" customHeight="1">
      <c r="A91" s="160" t="s">
        <v>121</v>
      </c>
      <c r="B91" s="161"/>
      <c r="C91" s="416" t="s">
        <v>35</v>
      </c>
      <c r="D91" s="135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517"/>
      <c r="V91" s="518"/>
      <c r="W91" s="153"/>
      <c r="X91" s="137"/>
      <c r="Y91" s="516"/>
      <c r="Z91" s="516"/>
      <c r="AA91" s="160" t="str">
        <f t="shared" si="30"/>
        <v>Pressure range [MPa]</v>
      </c>
      <c r="AB91" s="161"/>
      <c r="AC91" s="162" t="s">
        <v>35</v>
      </c>
      <c r="AD91" s="152"/>
      <c r="AE91" s="134"/>
    </row>
    <row r="92" spans="1:31" s="55" customFormat="1" ht="12" customHeight="1">
      <c r="A92" s="91">
        <f aca="true" t="shared" si="31" ref="A92:B99">A74*6.895</f>
        <v>55.16</v>
      </c>
      <c r="B92" s="92">
        <f t="shared" si="31"/>
        <v>68.94999999999999</v>
      </c>
      <c r="C92" s="60" t="str">
        <f aca="true" t="shared" si="32" ref="C92:C99">C74</f>
        <v>A</v>
      </c>
      <c r="D92" s="135">
        <f aca="true" t="shared" si="33" ref="D92:M99">D74*6.895</f>
        <v>6.183783163308148</v>
      </c>
      <c r="E92" s="136">
        <f t="shared" si="33"/>
        <v>6.598007872812042</v>
      </c>
      <c r="F92" s="136">
        <f t="shared" si="33"/>
        <v>6.535467513828043</v>
      </c>
      <c r="G92" s="136">
        <f t="shared" si="33"/>
        <v>7.0717110021421385</v>
      </c>
      <c r="H92" s="136">
        <f t="shared" si="33"/>
        <v>6.535467513828043</v>
      </c>
      <c r="I92" s="136">
        <f t="shared" si="33"/>
        <v>6.074817821223424</v>
      </c>
      <c r="J92" s="136">
        <f t="shared" si="33"/>
        <v>6.239745001890123</v>
      </c>
      <c r="K92" s="136">
        <f t="shared" si="33"/>
        <v>6.183783163308149</v>
      </c>
      <c r="L92" s="136">
        <f t="shared" si="33"/>
        <v>6.021762643745488</v>
      </c>
      <c r="M92" s="136">
        <f t="shared" si="33"/>
        <v>6.074817821223424</v>
      </c>
      <c r="N92" s="136">
        <f aca="true" t="shared" si="34" ref="N92:T99">N74*6.895</f>
        <v>6.074817821223424</v>
      </c>
      <c r="O92" s="136">
        <f t="shared" si="34"/>
        <v>6.354763342938788</v>
      </c>
      <c r="P92" s="136">
        <f t="shared" si="34"/>
        <v>6.074817821223424</v>
      </c>
      <c r="Q92" s="136">
        <f t="shared" si="34"/>
        <v>6.183783163308148</v>
      </c>
      <c r="R92" s="136">
        <f t="shared" si="34"/>
        <v>6.183783163308147</v>
      </c>
      <c r="S92" s="136">
        <f t="shared" si="34"/>
        <v>6.183783163308149</v>
      </c>
      <c r="T92" s="136">
        <f t="shared" si="34"/>
        <v>6.02176264374549</v>
      </c>
      <c r="U92" s="517"/>
      <c r="V92" s="518"/>
      <c r="W92" s="153">
        <f aca="true" t="shared" si="35" ref="W92:X99">W74*6.895</f>
        <v>6.270404390374388</v>
      </c>
      <c r="X92" s="137">
        <f t="shared" si="35"/>
        <v>0.27524622192373305</v>
      </c>
      <c r="Y92" s="516"/>
      <c r="Z92" s="516"/>
      <c r="AA92" s="79">
        <f t="shared" si="30"/>
        <v>55.16</v>
      </c>
      <c r="AB92" s="60">
        <f aca="true" t="shared" si="36" ref="AB92:AB99">B92</f>
        <v>68.94999999999999</v>
      </c>
      <c r="AC92" s="137" t="s">
        <v>9</v>
      </c>
      <c r="AD92" s="153">
        <f aca="true" t="shared" si="37" ref="AD92:AE99">W92</f>
        <v>6.270404390374388</v>
      </c>
      <c r="AE92" s="137">
        <f t="shared" si="37"/>
        <v>0.27524622192373305</v>
      </c>
    </row>
    <row r="93" spans="1:31" s="55" customFormat="1" ht="12.75">
      <c r="A93" s="91">
        <f t="shared" si="31"/>
        <v>55.16</v>
      </c>
      <c r="B93" s="92">
        <f t="shared" si="31"/>
        <v>68.94999999999999</v>
      </c>
      <c r="C93" s="60" t="str">
        <f t="shared" si="32"/>
        <v>B</v>
      </c>
      <c r="D93" s="135">
        <f t="shared" si="33"/>
        <v>6.183783163308147</v>
      </c>
      <c r="E93" s="136">
        <f t="shared" si="33"/>
        <v>6.474101621679421</v>
      </c>
      <c r="F93" s="136">
        <f t="shared" si="33"/>
        <v>6.183783163308147</v>
      </c>
      <c r="G93" s="136">
        <f t="shared" si="33"/>
        <v>6.02176264374549</v>
      </c>
      <c r="H93" s="136">
        <f t="shared" si="33"/>
        <v>6.183783163308147</v>
      </c>
      <c r="I93" s="136">
        <f t="shared" si="33"/>
        <v>6.1288162018565195</v>
      </c>
      <c r="J93" s="136">
        <f t="shared" si="33"/>
        <v>6.128816201856519</v>
      </c>
      <c r="K93" s="136">
        <f t="shared" si="33"/>
        <v>6.239745001890121</v>
      </c>
      <c r="L93" s="136">
        <f t="shared" si="33"/>
        <v>6.074817821223423</v>
      </c>
      <c r="M93" s="136">
        <f t="shared" si="33"/>
        <v>6.183783163308148</v>
      </c>
      <c r="N93" s="136">
        <f t="shared" si="34"/>
        <v>6.021762643745488</v>
      </c>
      <c r="O93" s="136">
        <f t="shared" si="34"/>
        <v>6.183783163308147</v>
      </c>
      <c r="P93" s="136">
        <f t="shared" si="34"/>
        <v>6.183783163308148</v>
      </c>
      <c r="Q93" s="136">
        <f t="shared" si="34"/>
        <v>6.1288162018565195</v>
      </c>
      <c r="R93" s="136">
        <f t="shared" si="34"/>
        <v>6.12881620185652</v>
      </c>
      <c r="S93" s="136">
        <f t="shared" si="34"/>
        <v>5.969626170639467</v>
      </c>
      <c r="T93" s="136">
        <f t="shared" si="34"/>
        <v>5.769806047772874</v>
      </c>
      <c r="U93" s="517"/>
      <c r="V93" s="518"/>
      <c r="W93" s="153">
        <f t="shared" si="35"/>
        <v>6.128799161057132</v>
      </c>
      <c r="X93" s="137">
        <f t="shared" si="35"/>
        <v>0.14355354542891616</v>
      </c>
      <c r="Y93" s="516"/>
      <c r="Z93" s="516"/>
      <c r="AA93" s="79">
        <f t="shared" si="30"/>
        <v>55.16</v>
      </c>
      <c r="AB93" s="60">
        <f t="shared" si="36"/>
        <v>68.94999999999999</v>
      </c>
      <c r="AC93" s="137" t="s">
        <v>7</v>
      </c>
      <c r="AD93" s="153">
        <f t="shared" si="37"/>
        <v>6.128799161057132</v>
      </c>
      <c r="AE93" s="137">
        <f t="shared" si="37"/>
        <v>0.14355354542891616</v>
      </c>
    </row>
    <row r="94" spans="1:31" s="55" customFormat="1" ht="12.75">
      <c r="A94" s="91">
        <f t="shared" si="31"/>
        <v>68.94999999999999</v>
      </c>
      <c r="B94" s="92">
        <f t="shared" si="31"/>
        <v>82.74</v>
      </c>
      <c r="C94" s="60" t="str">
        <f t="shared" si="32"/>
        <v>A</v>
      </c>
      <c r="D94" s="135">
        <f t="shared" si="33"/>
        <v>6.413877420547521</v>
      </c>
      <c r="E94" s="136">
        <f t="shared" si="33"/>
        <v>6.535467513828041</v>
      </c>
      <c r="F94" s="136">
        <f t="shared" si="33"/>
        <v>6.413877420547521</v>
      </c>
      <c r="G94" s="136">
        <f t="shared" si="33"/>
        <v>6.413877420547518</v>
      </c>
      <c r="H94" s="136">
        <f t="shared" si="33"/>
        <v>6.413877420547521</v>
      </c>
      <c r="I94" s="136">
        <f t="shared" si="33"/>
        <v>6.07481782122342</v>
      </c>
      <c r="J94" s="136">
        <f t="shared" si="33"/>
        <v>6.021762643745486</v>
      </c>
      <c r="K94" s="136">
        <f t="shared" si="33"/>
        <v>5.81849639416758</v>
      </c>
      <c r="L94" s="136">
        <f t="shared" si="33"/>
        <v>5.969626170639466</v>
      </c>
      <c r="M94" s="136">
        <f t="shared" si="33"/>
        <v>6.074817821223422</v>
      </c>
      <c r="N94" s="136">
        <f t="shared" si="34"/>
        <v>5.769806047772873</v>
      </c>
      <c r="O94" s="136">
        <f t="shared" si="34"/>
        <v>5.81849639416758</v>
      </c>
      <c r="P94" s="136">
        <f t="shared" si="34"/>
        <v>6.239745001890119</v>
      </c>
      <c r="Q94" s="136">
        <f t="shared" si="34"/>
        <v>6.074817821223423</v>
      </c>
      <c r="R94" s="136">
        <f t="shared" si="34"/>
        <v>6.239745001890121</v>
      </c>
      <c r="S94" s="136">
        <f t="shared" si="34"/>
        <v>6.183783163308146</v>
      </c>
      <c r="T94" s="136">
        <f t="shared" si="34"/>
        <v>5.969626170639466</v>
      </c>
      <c r="U94" s="517"/>
      <c r="V94" s="518"/>
      <c r="W94" s="153">
        <f t="shared" si="35"/>
        <v>6.14391280281819</v>
      </c>
      <c r="X94" s="137">
        <f t="shared" si="35"/>
        <v>0.238030742597953</v>
      </c>
      <c r="Y94" s="516"/>
      <c r="Z94" s="516"/>
      <c r="AA94" s="79">
        <f t="shared" si="30"/>
        <v>68.94999999999999</v>
      </c>
      <c r="AB94" s="60">
        <f t="shared" si="36"/>
        <v>82.74</v>
      </c>
      <c r="AC94" s="137" t="s">
        <v>9</v>
      </c>
      <c r="AD94" s="153">
        <f t="shared" si="37"/>
        <v>6.14391280281819</v>
      </c>
      <c r="AE94" s="137">
        <f t="shared" si="37"/>
        <v>0.238030742597953</v>
      </c>
    </row>
    <row r="95" spans="1:31" s="55" customFormat="1" ht="12.75">
      <c r="A95" s="91">
        <f t="shared" si="31"/>
        <v>68.94999999999999</v>
      </c>
      <c r="B95" s="92">
        <f t="shared" si="31"/>
        <v>82.74</v>
      </c>
      <c r="C95" s="60" t="str">
        <f t="shared" si="32"/>
        <v>B</v>
      </c>
      <c r="D95" s="135">
        <f t="shared" si="33"/>
        <v>6.101697546096091</v>
      </c>
      <c r="E95" s="136">
        <f t="shared" si="33"/>
        <v>5.943895023352227</v>
      </c>
      <c r="F95" s="136">
        <f t="shared" si="33"/>
        <v>6.156176988471948</v>
      </c>
      <c r="G95" s="136">
        <f t="shared" si="33"/>
        <v>6.156176988471948</v>
      </c>
      <c r="H95" s="136">
        <f t="shared" si="33"/>
        <v>5.745765189240486</v>
      </c>
      <c r="I95" s="136">
        <f t="shared" si="33"/>
        <v>6.10169754609609</v>
      </c>
      <c r="J95" s="136">
        <f t="shared" si="33"/>
        <v>6.101697546096091</v>
      </c>
      <c r="K95" s="136">
        <f t="shared" si="33"/>
        <v>5.4721573230861775</v>
      </c>
      <c r="L95" s="136">
        <f t="shared" si="33"/>
        <v>5.843151039905579</v>
      </c>
      <c r="M95" s="136">
        <f t="shared" si="33"/>
        <v>5.943895023352227</v>
      </c>
      <c r="N95" s="136">
        <f t="shared" si="34"/>
        <v>5.7940489303265394</v>
      </c>
      <c r="O95" s="136">
        <f t="shared" si="34"/>
        <v>5.843151039905579</v>
      </c>
      <c r="P95" s="136">
        <f t="shared" si="34"/>
        <v>6.268107479171438</v>
      </c>
      <c r="Q95" s="136">
        <f t="shared" si="34"/>
        <v>5.794048930326539</v>
      </c>
      <c r="R95" s="136">
        <f t="shared" si="34"/>
        <v>5.69827952651949</v>
      </c>
      <c r="S95" s="136">
        <f t="shared" si="34"/>
        <v>6.15617698847195</v>
      </c>
      <c r="T95" s="136">
        <f t="shared" si="34"/>
        <v>5.698279526519489</v>
      </c>
      <c r="U95" s="517"/>
      <c r="V95" s="518"/>
      <c r="W95" s="153">
        <f t="shared" si="35"/>
        <v>5.930494272671168</v>
      </c>
      <c r="X95" s="137">
        <f t="shared" si="35"/>
        <v>0.2178888619177224</v>
      </c>
      <c r="Y95" s="516"/>
      <c r="Z95" s="516"/>
      <c r="AA95" s="79">
        <f t="shared" si="30"/>
        <v>68.94999999999999</v>
      </c>
      <c r="AB95" s="60">
        <f t="shared" si="36"/>
        <v>82.74</v>
      </c>
      <c r="AC95" s="137" t="s">
        <v>7</v>
      </c>
      <c r="AD95" s="153">
        <f t="shared" si="37"/>
        <v>5.930494272671168</v>
      </c>
      <c r="AE95" s="137">
        <f t="shared" si="37"/>
        <v>0.2178888619177224</v>
      </c>
    </row>
    <row r="96" spans="1:31" s="55" customFormat="1" ht="12.75">
      <c r="A96" s="91">
        <f t="shared" si="31"/>
        <v>82.74</v>
      </c>
      <c r="B96" s="92">
        <f t="shared" si="31"/>
        <v>96.53</v>
      </c>
      <c r="C96" s="60" t="str">
        <f t="shared" si="32"/>
        <v>A</v>
      </c>
      <c r="D96" s="135">
        <f t="shared" si="33"/>
        <v>6.894918227088581</v>
      </c>
      <c r="E96" s="136">
        <f t="shared" si="33"/>
        <v>7.035630843967944</v>
      </c>
      <c r="F96" s="136">
        <f t="shared" si="33"/>
        <v>6.566588787703412</v>
      </c>
      <c r="G96" s="136">
        <f t="shared" si="33"/>
        <v>6.8266517099887</v>
      </c>
      <c r="H96" s="136">
        <f t="shared" si="33"/>
        <v>6.504639836876019</v>
      </c>
      <c r="I96" s="136">
        <f t="shared" si="33"/>
        <v>6.156176988471948</v>
      </c>
      <c r="J96" s="136">
        <f t="shared" si="33"/>
        <v>6.268107479171438</v>
      </c>
      <c r="K96" s="136">
        <f t="shared" si="33"/>
        <v>5.995581067033549</v>
      </c>
      <c r="L96" s="136">
        <f t="shared" si="33"/>
        <v>6.048173883411039</v>
      </c>
      <c r="M96" s="136">
        <f t="shared" si="33"/>
        <v>6.4438488103631615</v>
      </c>
      <c r="N96" s="136">
        <f t="shared" si="34"/>
        <v>6.384183543600537</v>
      </c>
      <c r="O96" s="136">
        <f t="shared" si="34"/>
        <v>6.443848810363163</v>
      </c>
      <c r="P96" s="136">
        <f t="shared" si="34"/>
        <v>6.1016975460960925</v>
      </c>
      <c r="Q96" s="136">
        <f t="shared" si="34"/>
        <v>6.268107479171436</v>
      </c>
      <c r="R96" s="136">
        <f t="shared" si="34"/>
        <v>5.943895023352225</v>
      </c>
      <c r="S96" s="136">
        <f t="shared" si="34"/>
        <v>6.384183543600539</v>
      </c>
      <c r="T96" s="136">
        <f t="shared" si="34"/>
        <v>6.156176988471948</v>
      </c>
      <c r="U96" s="517"/>
      <c r="V96" s="518"/>
      <c r="W96" s="153">
        <f t="shared" si="35"/>
        <v>6.377788856984219</v>
      </c>
      <c r="X96" s="137">
        <f t="shared" si="35"/>
        <v>0.3165937534964759</v>
      </c>
      <c r="Y96" s="516"/>
      <c r="Z96" s="516"/>
      <c r="AA96" s="79">
        <f t="shared" si="30"/>
        <v>82.74</v>
      </c>
      <c r="AB96" s="60">
        <f t="shared" si="36"/>
        <v>96.53</v>
      </c>
      <c r="AC96" s="137" t="s">
        <v>9</v>
      </c>
      <c r="AD96" s="153">
        <f t="shared" si="37"/>
        <v>6.377788856984219</v>
      </c>
      <c r="AE96" s="137">
        <f t="shared" si="37"/>
        <v>0.3165937534964759</v>
      </c>
    </row>
    <row r="97" spans="1:31" s="55" customFormat="1" ht="12.75">
      <c r="A97" s="91">
        <f t="shared" si="31"/>
        <v>82.74</v>
      </c>
      <c r="B97" s="92">
        <f t="shared" si="31"/>
        <v>96.53</v>
      </c>
      <c r="C97" s="60" t="str">
        <f t="shared" si="32"/>
        <v>B</v>
      </c>
      <c r="D97" s="135">
        <f t="shared" si="33"/>
        <v>6.384183543600539</v>
      </c>
      <c r="E97" s="136">
        <f t="shared" si="33"/>
        <v>5.995581067033552</v>
      </c>
      <c r="F97" s="136">
        <f t="shared" si="33"/>
        <v>6.156176988471953</v>
      </c>
      <c r="G97" s="136">
        <f t="shared" si="33"/>
        <v>6.5046398368760245</v>
      </c>
      <c r="H97" s="136">
        <f t="shared" si="33"/>
        <v>5.943895023352227</v>
      </c>
      <c r="I97" s="136">
        <f t="shared" si="33"/>
        <v>6.3841835436005425</v>
      </c>
      <c r="J97" s="136">
        <f t="shared" si="33"/>
        <v>5.995581067033553</v>
      </c>
      <c r="K97" s="136">
        <f t="shared" si="33"/>
        <v>6.156176988471948</v>
      </c>
      <c r="L97" s="136">
        <f t="shared" si="33"/>
        <v>6.10169754609609</v>
      </c>
      <c r="M97" s="136">
        <f t="shared" si="33"/>
        <v>6.211638042422148</v>
      </c>
      <c r="N97" s="136">
        <f t="shared" si="34"/>
        <v>6.211638042422148</v>
      </c>
      <c r="O97" s="136">
        <f t="shared" si="34"/>
        <v>6.3256130523748455</v>
      </c>
      <c r="P97" s="136">
        <f t="shared" si="34"/>
        <v>5.943895023352227</v>
      </c>
      <c r="Q97" s="136">
        <f t="shared" si="34"/>
        <v>5.843151039905584</v>
      </c>
      <c r="R97" s="136">
        <f t="shared" si="34"/>
        <v>5.843151039905582</v>
      </c>
      <c r="S97" s="136">
        <f t="shared" si="34"/>
        <v>6.048173883411036</v>
      </c>
      <c r="T97" s="136">
        <f t="shared" si="34"/>
        <v>5.843151039905579</v>
      </c>
      <c r="U97" s="517"/>
      <c r="V97" s="518"/>
      <c r="W97" s="153">
        <f t="shared" si="35"/>
        <v>6.111325104013858</v>
      </c>
      <c r="X97" s="137">
        <f t="shared" si="35"/>
        <v>0.20560274117206698</v>
      </c>
      <c r="Y97" s="516"/>
      <c r="Z97" s="516"/>
      <c r="AA97" s="79">
        <f t="shared" si="30"/>
        <v>82.74</v>
      </c>
      <c r="AB97" s="60">
        <f t="shared" si="36"/>
        <v>96.53</v>
      </c>
      <c r="AC97" s="137" t="s">
        <v>7</v>
      </c>
      <c r="AD97" s="153">
        <f t="shared" si="37"/>
        <v>6.111325104013858</v>
      </c>
      <c r="AE97" s="137">
        <f t="shared" si="37"/>
        <v>0.20560274117206698</v>
      </c>
    </row>
    <row r="98" spans="1:31" s="55" customFormat="1" ht="12.75">
      <c r="A98" s="91">
        <f t="shared" si="31"/>
        <v>68.94999999999999</v>
      </c>
      <c r="B98" s="92">
        <f t="shared" si="31"/>
        <v>96.53</v>
      </c>
      <c r="C98" s="60" t="str">
        <f t="shared" si="32"/>
        <v>A</v>
      </c>
      <c r="D98" s="135">
        <f t="shared" si="33"/>
        <v>6.645704315266103</v>
      </c>
      <c r="E98" s="136">
        <f t="shared" si="33"/>
        <v>6.776332409915069</v>
      </c>
      <c r="F98" s="136">
        <f t="shared" si="33"/>
        <v>6.489334801965724</v>
      </c>
      <c r="G98" s="136">
        <f t="shared" si="33"/>
        <v>6.613830433658114</v>
      </c>
      <c r="H98" s="136">
        <f t="shared" si="33"/>
        <v>6.458939791183684</v>
      </c>
      <c r="I98" s="136">
        <f t="shared" si="33"/>
        <v>6.115226808947744</v>
      </c>
      <c r="J98" s="136">
        <f t="shared" si="33"/>
        <v>6.1424661265822555</v>
      </c>
      <c r="K98" s="136">
        <f t="shared" si="33"/>
        <v>5.905711543544824</v>
      </c>
      <c r="L98" s="136">
        <f t="shared" si="33"/>
        <v>6.00864333515345</v>
      </c>
      <c r="M98" s="136">
        <f t="shared" si="33"/>
        <v>6.253894083527059</v>
      </c>
      <c r="N98" s="136">
        <f t="shared" si="34"/>
        <v>6.061466573264687</v>
      </c>
      <c r="O98" s="136">
        <f t="shared" si="34"/>
        <v>6.115226808947747</v>
      </c>
      <c r="P98" s="136">
        <f t="shared" si="34"/>
        <v>6.169949196499851</v>
      </c>
      <c r="Q98" s="136">
        <f t="shared" si="34"/>
        <v>6.169949196499849</v>
      </c>
      <c r="R98" s="136">
        <f t="shared" si="34"/>
        <v>6.088228015089256</v>
      </c>
      <c r="S98" s="136">
        <f t="shared" si="34"/>
        <v>6.282385628326725</v>
      </c>
      <c r="T98" s="136">
        <f t="shared" si="34"/>
        <v>6.061466573264688</v>
      </c>
      <c r="U98" s="517"/>
      <c r="V98" s="518"/>
      <c r="W98" s="153">
        <f t="shared" si="35"/>
        <v>6.256397390684518</v>
      </c>
      <c r="X98" s="137">
        <f t="shared" si="35"/>
        <v>0.2502549205099833</v>
      </c>
      <c r="Y98" s="516"/>
      <c r="Z98" s="516"/>
      <c r="AA98" s="79">
        <f t="shared" si="30"/>
        <v>68.94999999999999</v>
      </c>
      <c r="AB98" s="60">
        <f t="shared" si="36"/>
        <v>96.53</v>
      </c>
      <c r="AC98" s="137" t="s">
        <v>9</v>
      </c>
      <c r="AD98" s="153">
        <f t="shared" si="37"/>
        <v>6.256397390684518</v>
      </c>
      <c r="AE98" s="137">
        <f t="shared" si="37"/>
        <v>0.2502549205099833</v>
      </c>
    </row>
    <row r="99" spans="1:31" s="55" customFormat="1" ht="12.75">
      <c r="A99" s="91">
        <f t="shared" si="31"/>
        <v>68.94999999999999</v>
      </c>
      <c r="B99" s="92">
        <f t="shared" si="31"/>
        <v>96.53</v>
      </c>
      <c r="C99" s="60" t="str">
        <f t="shared" si="32"/>
        <v>B</v>
      </c>
      <c r="D99" s="135">
        <f t="shared" si="33"/>
        <v>6.239745001890121</v>
      </c>
      <c r="E99" s="136">
        <f t="shared" si="33"/>
        <v>5.969626170639465</v>
      </c>
      <c r="F99" s="136">
        <f t="shared" si="33"/>
        <v>6.156176988471951</v>
      </c>
      <c r="G99" s="136">
        <f t="shared" si="33"/>
        <v>6.325613052374847</v>
      </c>
      <c r="H99" s="136">
        <f t="shared" si="33"/>
        <v>5.843151039905579</v>
      </c>
      <c r="I99" s="136">
        <f t="shared" si="33"/>
        <v>6.239745001890121</v>
      </c>
      <c r="J99" s="136">
        <f t="shared" si="33"/>
        <v>6.048173883411039</v>
      </c>
      <c r="K99" s="136">
        <f t="shared" si="33"/>
        <v>5.79404893032654</v>
      </c>
      <c r="L99" s="136">
        <f t="shared" si="33"/>
        <v>5.969626170639465</v>
      </c>
      <c r="M99" s="136">
        <f t="shared" si="33"/>
        <v>6.074817821223422</v>
      </c>
      <c r="N99" s="136">
        <f t="shared" si="34"/>
        <v>5.995581067033552</v>
      </c>
      <c r="O99" s="136">
        <f t="shared" si="34"/>
        <v>6.074817821223422</v>
      </c>
      <c r="P99" s="136">
        <f t="shared" si="34"/>
        <v>6.101697546096091</v>
      </c>
      <c r="Q99" s="136">
        <f t="shared" si="34"/>
        <v>5.818496394167582</v>
      </c>
      <c r="R99" s="136">
        <f t="shared" si="34"/>
        <v>5.769806047772874</v>
      </c>
      <c r="S99" s="136">
        <f t="shared" si="34"/>
        <v>6.10169754609609</v>
      </c>
      <c r="T99" s="136">
        <f t="shared" si="34"/>
        <v>5.769806047772872</v>
      </c>
      <c r="U99" s="517"/>
      <c r="V99" s="518"/>
      <c r="W99" s="153">
        <f t="shared" si="35"/>
        <v>6.01721332534912</v>
      </c>
      <c r="X99" s="137">
        <f t="shared" si="35"/>
        <v>0.17362647784139904</v>
      </c>
      <c r="Y99" s="516"/>
      <c r="Z99" s="516"/>
      <c r="AA99" s="79">
        <f t="shared" si="30"/>
        <v>68.94999999999999</v>
      </c>
      <c r="AB99" s="60">
        <f t="shared" si="36"/>
        <v>96.53</v>
      </c>
      <c r="AC99" s="137" t="s">
        <v>7</v>
      </c>
      <c r="AD99" s="153">
        <f t="shared" si="37"/>
        <v>6.01721332534912</v>
      </c>
      <c r="AE99" s="137">
        <f t="shared" si="37"/>
        <v>0.17362647784139904</v>
      </c>
    </row>
    <row r="100" spans="1:31" s="55" customFormat="1" ht="12.75">
      <c r="A100" s="79"/>
      <c r="B100" s="60"/>
      <c r="C100" s="60" t="s">
        <v>0</v>
      </c>
      <c r="D100" s="135">
        <f>AVERAGE(D92:D97)</f>
        <v>6.360373843991504</v>
      </c>
      <c r="E100" s="136">
        <f aca="true" t="shared" si="38" ref="E100:T100">AVERAGE(E92:E97)</f>
        <v>6.430447323778871</v>
      </c>
      <c r="F100" s="136">
        <f t="shared" si="38"/>
        <v>6.335345143721837</v>
      </c>
      <c r="G100" s="136">
        <f t="shared" si="38"/>
        <v>6.499136600295302</v>
      </c>
      <c r="H100" s="136">
        <f t="shared" si="38"/>
        <v>6.221238024525408</v>
      </c>
      <c r="I100" s="136">
        <f t="shared" si="38"/>
        <v>6.1534183204119905</v>
      </c>
      <c r="J100" s="136">
        <f t="shared" si="38"/>
        <v>6.125951656632201</v>
      </c>
      <c r="K100" s="136">
        <f t="shared" si="38"/>
        <v>5.977656656326254</v>
      </c>
      <c r="L100" s="136">
        <f t="shared" si="38"/>
        <v>6.009871517503513</v>
      </c>
      <c r="M100" s="136">
        <f t="shared" si="38"/>
        <v>6.155466780315422</v>
      </c>
      <c r="N100" s="136">
        <f t="shared" si="38"/>
        <v>6.0427095048485</v>
      </c>
      <c r="O100" s="136">
        <f t="shared" si="38"/>
        <v>6.161609300509684</v>
      </c>
      <c r="P100" s="136">
        <f t="shared" si="38"/>
        <v>6.135341005840242</v>
      </c>
      <c r="Q100" s="136">
        <f t="shared" si="38"/>
        <v>6.048787439298608</v>
      </c>
      <c r="R100" s="136">
        <f t="shared" si="38"/>
        <v>6.0062783261386805</v>
      </c>
      <c r="S100" s="136">
        <f t="shared" si="38"/>
        <v>6.154287818789881</v>
      </c>
      <c r="T100" s="136">
        <f t="shared" si="38"/>
        <v>5.909800402842475</v>
      </c>
      <c r="U100" s="517"/>
      <c r="V100" s="518"/>
      <c r="W100" s="136">
        <f>AVERAGE(W92:W97)</f>
        <v>6.160454097986492</v>
      </c>
      <c r="X100" s="417">
        <f>AVERAGE(X92:X97)</f>
        <v>0.23281931108947787</v>
      </c>
      <c r="Y100" s="516"/>
      <c r="Z100" s="516"/>
      <c r="AA100" s="79"/>
      <c r="AB100" s="60"/>
      <c r="AC100" s="137" t="s">
        <v>0</v>
      </c>
      <c r="AD100" s="153">
        <f>W100</f>
        <v>6.160454097986492</v>
      </c>
      <c r="AE100" s="153">
        <f>X100</f>
        <v>0.23281931108947787</v>
      </c>
    </row>
    <row r="101" spans="1:31" s="55" customFormat="1" ht="12" customHeight="1">
      <c r="A101" s="79"/>
      <c r="B101" s="516"/>
      <c r="C101" s="60"/>
      <c r="D101" s="135"/>
      <c r="E101" s="517"/>
      <c r="F101" s="517"/>
      <c r="G101" s="517"/>
      <c r="H101" s="517"/>
      <c r="I101" s="517"/>
      <c r="J101" s="517"/>
      <c r="K101" s="517"/>
      <c r="L101" s="517"/>
      <c r="M101" s="517"/>
      <c r="N101" s="517"/>
      <c r="O101" s="517"/>
      <c r="P101" s="517"/>
      <c r="Q101" s="517"/>
      <c r="R101" s="517"/>
      <c r="S101" s="517"/>
      <c r="T101" s="517"/>
      <c r="U101" s="517"/>
      <c r="V101" s="518"/>
      <c r="W101" s="517"/>
      <c r="X101" s="137"/>
      <c r="Y101" s="516"/>
      <c r="Z101" s="516"/>
      <c r="AA101" s="79"/>
      <c r="AB101" s="60"/>
      <c r="AC101" s="137"/>
      <c r="AD101" s="153"/>
      <c r="AE101" s="137"/>
    </row>
    <row r="102" spans="1:31" s="90" customFormat="1" ht="12" customHeight="1">
      <c r="A102" s="77" t="s">
        <v>122</v>
      </c>
      <c r="B102" s="59"/>
      <c r="C102" s="60"/>
      <c r="D102" s="135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517"/>
      <c r="V102" s="518"/>
      <c r="W102" s="153"/>
      <c r="X102" s="137"/>
      <c r="Y102" s="516"/>
      <c r="Z102" s="516"/>
      <c r="AA102" s="77" t="str">
        <f>A102</f>
        <v>Coil size at 83 MPa coil pressure [µm]</v>
      </c>
      <c r="AB102" s="163"/>
      <c r="AC102" s="137"/>
      <c r="AD102" s="153"/>
      <c r="AE102" s="137"/>
    </row>
    <row r="103" spans="1:31" s="90" customFormat="1" ht="12" customHeight="1">
      <c r="A103" s="79" t="str">
        <f>$C$3</f>
        <v>I-001 3rd sizing</v>
      </c>
      <c r="B103" s="60" t="str">
        <f>$C$4</f>
        <v>inner</v>
      </c>
      <c r="C103" s="92" t="s">
        <v>9</v>
      </c>
      <c r="D103" s="155">
        <f aca="true" t="shared" si="39" ref="D103:M104">D85*1000/39.37</f>
        <v>-74.67614935229871</v>
      </c>
      <c r="E103" s="156">
        <f t="shared" si="39"/>
        <v>-84.83616967233937</v>
      </c>
      <c r="F103" s="156">
        <f t="shared" si="39"/>
        <v>-46.73609347218694</v>
      </c>
      <c r="G103" s="156">
        <f t="shared" si="39"/>
        <v>-98.55219710439424</v>
      </c>
      <c r="H103" s="156">
        <f t="shared" si="39"/>
        <v>-88.90017780035559</v>
      </c>
      <c r="I103" s="156">
        <f t="shared" si="39"/>
        <v>-78.23215646431294</v>
      </c>
      <c r="J103" s="156">
        <f t="shared" si="39"/>
        <v>-79.248158496317</v>
      </c>
      <c r="K103" s="156">
        <f t="shared" si="39"/>
        <v>-70.10414020828043</v>
      </c>
      <c r="L103" s="156">
        <f t="shared" si="39"/>
        <v>-74.67614935229871</v>
      </c>
      <c r="M103" s="156">
        <f t="shared" si="39"/>
        <v>-83.31216662433326</v>
      </c>
      <c r="N103" s="156">
        <f aca="true" t="shared" si="40" ref="N103:T104">N85*1000/39.37</f>
        <v>-73.66014732029464</v>
      </c>
      <c r="O103" s="156">
        <f t="shared" si="40"/>
        <v>-78.23215646431294</v>
      </c>
      <c r="P103" s="156">
        <f t="shared" si="40"/>
        <v>-78.23215646431294</v>
      </c>
      <c r="Q103" s="156">
        <f t="shared" si="40"/>
        <v>-82.29616459232918</v>
      </c>
      <c r="R103" s="156">
        <f t="shared" si="40"/>
        <v>-48.26009652019304</v>
      </c>
      <c r="S103" s="156">
        <f t="shared" si="40"/>
        <v>-77.21615443230887</v>
      </c>
      <c r="T103" s="156">
        <f t="shared" si="40"/>
        <v>-74.16814833629668</v>
      </c>
      <c r="U103" s="517"/>
      <c r="V103" s="518"/>
      <c r="W103" s="156">
        <f>W85*1000/39.37</f>
        <v>-75.96109309865678</v>
      </c>
      <c r="X103" s="418">
        <f>X85*1000/39.37</f>
        <v>12.61479867420679</v>
      </c>
      <c r="Y103" s="516"/>
      <c r="Z103" s="516"/>
      <c r="AA103" s="79" t="str">
        <f>$C$3</f>
        <v>I-001 3rd sizing</v>
      </c>
      <c r="AB103" s="60" t="str">
        <f>$C$4</f>
        <v>inner</v>
      </c>
      <c r="AC103" s="76" t="s">
        <v>9</v>
      </c>
      <c r="AD103" s="153">
        <f>W103</f>
        <v>-75.96109309865678</v>
      </c>
      <c r="AE103" s="137">
        <f>X103</f>
        <v>12.61479867420679</v>
      </c>
    </row>
    <row r="104" spans="1:31" ht="12.75">
      <c r="A104" s="164" t="str">
        <f>$C$3</f>
        <v>I-001 3rd sizing</v>
      </c>
      <c r="B104" s="165" t="str">
        <f>$C$4</f>
        <v>inner</v>
      </c>
      <c r="C104" s="93" t="s">
        <v>7</v>
      </c>
      <c r="D104" s="94">
        <f t="shared" si="39"/>
        <v>-77.7241554483109</v>
      </c>
      <c r="E104" s="95">
        <f t="shared" si="39"/>
        <v>-72.13614427228856</v>
      </c>
      <c r="F104" s="95">
        <f t="shared" si="39"/>
        <v>-82.80416560833123</v>
      </c>
      <c r="G104" s="95">
        <f t="shared" si="39"/>
        <v>-87.88417576835155</v>
      </c>
      <c r="H104" s="95">
        <f t="shared" si="39"/>
        <v>-37.08407416814835</v>
      </c>
      <c r="I104" s="95">
        <f t="shared" si="39"/>
        <v>-81.28016256032514</v>
      </c>
      <c r="J104" s="95">
        <f t="shared" si="39"/>
        <v>-78.23215646431294</v>
      </c>
      <c r="K104" s="95">
        <f t="shared" si="39"/>
        <v>-76.70815341630684</v>
      </c>
      <c r="L104" s="95">
        <f t="shared" si="39"/>
        <v>-84.83616967233937</v>
      </c>
      <c r="M104" s="95">
        <f t="shared" si="39"/>
        <v>-87.37617475234953</v>
      </c>
      <c r="N104" s="95">
        <f t="shared" si="40"/>
        <v>-80.77216154432311</v>
      </c>
      <c r="O104" s="95">
        <f t="shared" si="40"/>
        <v>-76.2001524003048</v>
      </c>
      <c r="P104" s="95">
        <f t="shared" si="40"/>
        <v>-78.23215646431294</v>
      </c>
      <c r="Q104" s="95">
        <f t="shared" si="40"/>
        <v>-66.04013208026417</v>
      </c>
      <c r="R104" s="95">
        <f t="shared" si="40"/>
        <v>-45.21209042418086</v>
      </c>
      <c r="S104" s="95">
        <f t="shared" si="40"/>
        <v>-84.32816865633731</v>
      </c>
      <c r="T104" s="95">
        <f t="shared" si="40"/>
        <v>-64.00812801625605</v>
      </c>
      <c r="U104" s="536"/>
      <c r="V104" s="537"/>
      <c r="W104" s="95">
        <f>W86*1000/39.37</f>
        <v>-74.1681483362967</v>
      </c>
      <c r="X104" s="419">
        <f>X86*1000/39.37</f>
        <v>14.123890042629224</v>
      </c>
      <c r="AA104" s="164" t="str">
        <f>$C$3</f>
        <v>I-001 3rd sizing</v>
      </c>
      <c r="AB104" s="165" t="str">
        <f>$C$4</f>
        <v>inner</v>
      </c>
      <c r="AC104" s="166" t="s">
        <v>7</v>
      </c>
      <c r="AD104" s="167">
        <f>W104</f>
        <v>-74.1681483362967</v>
      </c>
      <c r="AE104" s="168">
        <f>X104</f>
        <v>14.123890042629224</v>
      </c>
    </row>
    <row r="105" spans="1:24" ht="12.75">
      <c r="A105" s="516" t="s">
        <v>139</v>
      </c>
      <c r="D105" s="520"/>
      <c r="X105" s="516"/>
    </row>
  </sheetData>
  <printOptions horizontalCentered="1" verticalCentered="1"/>
  <pageMargins left="0" right="0" top="0" bottom="0" header="0.5" footer="0.5"/>
  <pageSetup fitToHeight="1" fitToWidth="1" orientation="portrait" scale="52" r:id="rId2"/>
  <headerFooter alignWithMargins="0">
    <oddHeader>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5"/>
  <sheetViews>
    <sheetView view="pageBreakPreview" zoomScale="60" workbookViewId="0" topLeftCell="A1">
      <selection activeCell="O23" sqref="O23"/>
    </sheetView>
  </sheetViews>
  <sheetFormatPr defaultColWidth="9.00390625" defaultRowHeight="12" customHeight="1"/>
  <cols>
    <col min="1" max="3" width="13.125" style="516" customWidth="1"/>
    <col min="4" max="4" width="9.75390625" style="516" customWidth="1"/>
    <col min="5" max="24" width="9.75390625" style="520" customWidth="1"/>
    <col min="25" max="16384" width="7.875" style="516" customWidth="1"/>
  </cols>
  <sheetData>
    <row r="1" spans="1:25" s="481" customFormat="1" ht="12" customHeight="1">
      <c r="A1" s="68" t="s">
        <v>72</v>
      </c>
      <c r="B1" s="22"/>
      <c r="C1" s="22"/>
      <c r="D1" s="22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22"/>
    </row>
    <row r="2" spans="1:22" s="481" customFormat="1" ht="12" customHeight="1">
      <c r="A2" s="22"/>
      <c r="B2" s="22"/>
      <c r="C2" s="22"/>
      <c r="D2" s="22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s="481" customFormat="1" ht="12" customHeight="1">
      <c r="A3" s="23" t="s">
        <v>73</v>
      </c>
      <c r="B3" s="461" t="s">
        <v>160</v>
      </c>
      <c r="C3" s="24" t="s">
        <v>151</v>
      </c>
      <c r="D3" s="25"/>
      <c r="E3" s="100"/>
      <c r="F3" s="101"/>
      <c r="G3" s="102" t="s">
        <v>19</v>
      </c>
      <c r="H3" s="103"/>
      <c r="I3" s="102" t="s">
        <v>20</v>
      </c>
      <c r="J3" s="103"/>
      <c r="M3" s="462"/>
      <c r="N3" s="96"/>
      <c r="O3" s="96"/>
      <c r="P3" s="96"/>
      <c r="Q3" s="96"/>
      <c r="R3" s="96"/>
      <c r="S3" s="96"/>
      <c r="T3" s="96"/>
      <c r="U3" s="96"/>
      <c r="V3" s="96"/>
    </row>
    <row r="4" spans="1:22" s="481" customFormat="1" ht="12" customHeight="1">
      <c r="A4" s="23" t="s">
        <v>74</v>
      </c>
      <c r="B4" s="461" t="s">
        <v>161</v>
      </c>
      <c r="C4" s="24" t="s">
        <v>75</v>
      </c>
      <c r="D4" s="25"/>
      <c r="E4" s="104" t="s">
        <v>76</v>
      </c>
      <c r="F4" s="105"/>
      <c r="G4" s="106">
        <v>34</v>
      </c>
      <c r="H4" s="107"/>
      <c r="I4" s="106">
        <v>24.6</v>
      </c>
      <c r="J4" s="107"/>
      <c r="M4" s="462"/>
      <c r="N4" s="96"/>
      <c r="O4" s="96"/>
      <c r="P4" s="96"/>
      <c r="Q4" s="96"/>
      <c r="R4" s="96"/>
      <c r="S4" s="96"/>
      <c r="T4" s="96"/>
      <c r="U4" s="96"/>
      <c r="V4" s="96"/>
    </row>
    <row r="5" spans="1:22" s="481" customFormat="1" ht="12" customHeight="1">
      <c r="A5" s="23" t="s">
        <v>77</v>
      </c>
      <c r="B5" s="461"/>
      <c r="C5" s="24" t="s">
        <v>78</v>
      </c>
      <c r="D5" s="25"/>
      <c r="E5" s="108" t="s">
        <v>79</v>
      </c>
      <c r="F5" s="109"/>
      <c r="G5" s="110">
        <v>1.68515</v>
      </c>
      <c r="H5" s="111"/>
      <c r="I5" s="110">
        <v>2.31845</v>
      </c>
      <c r="J5" s="112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63" s="481" customFormat="1" ht="12" customHeight="1">
      <c r="A6" s="23" t="s">
        <v>53</v>
      </c>
      <c r="B6" s="461"/>
      <c r="C6" s="24"/>
      <c r="D6" s="25"/>
      <c r="E6" s="113" t="s">
        <v>80</v>
      </c>
      <c r="F6" s="114"/>
      <c r="G6" s="115">
        <f>G5*G4*PI()/180</f>
        <v>0.9999881402594031</v>
      </c>
      <c r="H6" s="116"/>
      <c r="I6" s="115">
        <f>I5*I4*PI()/180</f>
        <v>0.9954288166544184</v>
      </c>
      <c r="J6" s="117"/>
      <c r="K6" s="96"/>
      <c r="L6" s="96"/>
      <c r="M6" s="462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22"/>
      <c r="BI6" s="9"/>
      <c r="BJ6" s="12"/>
      <c r="BK6" s="12"/>
    </row>
    <row r="7" spans="1:63" s="481" customFormat="1" ht="12" customHeight="1">
      <c r="A7" s="96" t="s">
        <v>81</v>
      </c>
      <c r="B7" s="96"/>
      <c r="C7" s="178">
        <v>34129</v>
      </c>
      <c r="D7" s="25"/>
      <c r="E7" s="96"/>
      <c r="F7" s="96"/>
      <c r="G7" s="96"/>
      <c r="H7" s="96"/>
      <c r="I7" s="96"/>
      <c r="J7" s="96"/>
      <c r="K7" s="96"/>
      <c r="L7" s="96"/>
      <c r="M7" s="462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22"/>
      <c r="BI7" s="9"/>
      <c r="BJ7" s="12"/>
      <c r="BK7" s="12"/>
    </row>
    <row r="8" spans="1:63" s="481" customFormat="1" ht="12" customHeight="1">
      <c r="A8" s="96" t="s">
        <v>82</v>
      </c>
      <c r="B8" s="96"/>
      <c r="C8" s="179" t="s">
        <v>83</v>
      </c>
      <c r="D8" s="25"/>
      <c r="E8" s="96"/>
      <c r="F8" s="96"/>
      <c r="G8" s="96"/>
      <c r="H8" s="96"/>
      <c r="I8" s="96"/>
      <c r="J8" s="96"/>
      <c r="K8" s="96"/>
      <c r="L8" s="96"/>
      <c r="M8" s="462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22"/>
      <c r="BI8" s="9"/>
      <c r="BJ8" s="12"/>
      <c r="BK8" s="12"/>
    </row>
    <row r="9" spans="1:63" s="481" customFormat="1" ht="12" customHeight="1">
      <c r="A9" s="23"/>
      <c r="B9" s="461"/>
      <c r="C9" s="47"/>
      <c r="D9" s="47"/>
      <c r="E9" s="96"/>
      <c r="F9" s="96"/>
      <c r="G9" s="96"/>
      <c r="H9" s="96"/>
      <c r="I9" s="96"/>
      <c r="J9" s="96"/>
      <c r="K9" s="96"/>
      <c r="L9" s="96"/>
      <c r="M9" s="462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22"/>
      <c r="BF9" s="9"/>
      <c r="BI9" s="10"/>
      <c r="BJ9" s="12"/>
      <c r="BK9" s="12"/>
    </row>
    <row r="10" spans="1:63" s="481" customFormat="1" ht="12" customHeight="1">
      <c r="A10" s="493"/>
      <c r="B10" s="493" t="s">
        <v>84</v>
      </c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N10" s="491"/>
      <c r="O10" s="491" t="s">
        <v>84</v>
      </c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BF10" s="9"/>
      <c r="BI10" s="10"/>
      <c r="BJ10" s="12"/>
      <c r="BK10" s="12"/>
    </row>
    <row r="11" spans="1:63" s="481" customFormat="1" ht="12" customHeight="1">
      <c r="A11" s="494"/>
      <c r="B11" s="497" t="s">
        <v>85</v>
      </c>
      <c r="C11" s="498"/>
      <c r="D11" s="497" t="s">
        <v>85</v>
      </c>
      <c r="E11" s="498"/>
      <c r="F11" s="497" t="s">
        <v>85</v>
      </c>
      <c r="G11" s="498"/>
      <c r="H11" s="497" t="s">
        <v>85</v>
      </c>
      <c r="I11" s="498"/>
      <c r="J11" s="497" t="s">
        <v>85</v>
      </c>
      <c r="K11" s="498"/>
      <c r="L11" s="494"/>
      <c r="N11" s="492"/>
      <c r="O11" s="496" t="s">
        <v>85</v>
      </c>
      <c r="P11" s="188"/>
      <c r="Q11" s="496" t="s">
        <v>85</v>
      </c>
      <c r="R11" s="188"/>
      <c r="S11" s="496" t="s">
        <v>85</v>
      </c>
      <c r="T11" s="188"/>
      <c r="U11" s="496" t="s">
        <v>85</v>
      </c>
      <c r="V11" s="188"/>
      <c r="W11" s="496" t="s">
        <v>85</v>
      </c>
      <c r="X11" s="188"/>
      <c r="Y11" s="492"/>
      <c r="BF11" s="9"/>
      <c r="BI11" s="10"/>
      <c r="BJ11" s="12"/>
      <c r="BK11" s="12"/>
    </row>
    <row r="12" spans="1:63" s="481" customFormat="1" ht="12" customHeight="1">
      <c r="A12" s="494" t="s">
        <v>86</v>
      </c>
      <c r="B12" s="500"/>
      <c r="C12" s="501"/>
      <c r="D12" s="500">
        <v>3135</v>
      </c>
      <c r="E12" s="501"/>
      <c r="F12" s="500">
        <v>3918</v>
      </c>
      <c r="G12" s="501"/>
      <c r="H12" s="500">
        <v>4703</v>
      </c>
      <c r="I12" s="501"/>
      <c r="J12" s="500">
        <v>5486</v>
      </c>
      <c r="K12" s="501"/>
      <c r="L12" s="494" t="s">
        <v>86</v>
      </c>
      <c r="N12" s="492" t="s">
        <v>86</v>
      </c>
      <c r="O12" s="499"/>
      <c r="P12" s="189"/>
      <c r="Q12" s="499">
        <v>3135</v>
      </c>
      <c r="R12" s="189"/>
      <c r="S12" s="499">
        <v>3918</v>
      </c>
      <c r="T12" s="189"/>
      <c r="U12" s="499">
        <v>4703</v>
      </c>
      <c r="V12" s="189"/>
      <c r="W12" s="499">
        <v>5486</v>
      </c>
      <c r="X12" s="189"/>
      <c r="Y12" s="492" t="s">
        <v>86</v>
      </c>
      <c r="BF12" s="9"/>
      <c r="BI12" s="10"/>
      <c r="BJ12" s="12"/>
      <c r="BK12" s="12"/>
    </row>
    <row r="13" spans="1:63" s="481" customFormat="1" ht="12" customHeight="1">
      <c r="A13" s="494" t="s">
        <v>87</v>
      </c>
      <c r="B13" s="503" t="s">
        <v>88</v>
      </c>
      <c r="C13" s="504"/>
      <c r="D13" s="503" t="s">
        <v>89</v>
      </c>
      <c r="E13" s="504"/>
      <c r="F13" s="503" t="s">
        <v>90</v>
      </c>
      <c r="G13" s="504"/>
      <c r="H13" s="503" t="s">
        <v>91</v>
      </c>
      <c r="I13" s="504"/>
      <c r="J13" s="503" t="s">
        <v>92</v>
      </c>
      <c r="K13" s="504"/>
      <c r="L13" s="494" t="s">
        <v>87</v>
      </c>
      <c r="N13" s="492" t="s">
        <v>87</v>
      </c>
      <c r="O13" s="502" t="s">
        <v>88</v>
      </c>
      <c r="P13" s="190"/>
      <c r="Q13" s="502" t="s">
        <v>89</v>
      </c>
      <c r="R13" s="190"/>
      <c r="S13" s="502" t="s">
        <v>90</v>
      </c>
      <c r="T13" s="190"/>
      <c r="U13" s="502" t="s">
        <v>91</v>
      </c>
      <c r="V13" s="190"/>
      <c r="W13" s="502" t="s">
        <v>92</v>
      </c>
      <c r="X13" s="190"/>
      <c r="Y13" s="492" t="s">
        <v>87</v>
      </c>
      <c r="BF13" s="9"/>
      <c r="BI13" s="10"/>
      <c r="BJ13" s="12"/>
      <c r="BK13" s="12"/>
    </row>
    <row r="14" spans="1:63" s="481" customFormat="1" ht="12" customHeight="1">
      <c r="A14" s="494" t="s">
        <v>93</v>
      </c>
      <c r="B14" s="494"/>
      <c r="C14" s="494"/>
      <c r="D14" s="494"/>
      <c r="E14" s="494"/>
      <c r="F14" s="494"/>
      <c r="G14" s="494"/>
      <c r="H14" s="494"/>
      <c r="I14" s="494"/>
      <c r="J14" s="494"/>
      <c r="K14" s="494"/>
      <c r="L14" s="494" t="s">
        <v>93</v>
      </c>
      <c r="N14" s="492" t="s">
        <v>93</v>
      </c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 t="s">
        <v>93</v>
      </c>
      <c r="BF14" s="9"/>
      <c r="BI14" s="10"/>
      <c r="BJ14" s="12"/>
      <c r="BK14" s="12"/>
    </row>
    <row r="15" spans="1:63" s="481" customFormat="1" ht="12" customHeight="1">
      <c r="A15" s="494" t="s">
        <v>6</v>
      </c>
      <c r="B15" s="494" t="s">
        <v>94</v>
      </c>
      <c r="C15" s="494" t="s">
        <v>95</v>
      </c>
      <c r="D15" s="494" t="s">
        <v>94</v>
      </c>
      <c r="E15" s="494" t="s">
        <v>95</v>
      </c>
      <c r="F15" s="494" t="s">
        <v>94</v>
      </c>
      <c r="G15" s="494" t="s">
        <v>95</v>
      </c>
      <c r="H15" s="494" t="s">
        <v>94</v>
      </c>
      <c r="I15" s="494" t="s">
        <v>95</v>
      </c>
      <c r="J15" s="494" t="s">
        <v>94</v>
      </c>
      <c r="K15" s="494" t="s">
        <v>95</v>
      </c>
      <c r="L15" s="494" t="s">
        <v>8</v>
      </c>
      <c r="N15" s="492" t="s">
        <v>8</v>
      </c>
      <c r="O15" s="492" t="s">
        <v>94</v>
      </c>
      <c r="P15" s="492" t="s">
        <v>95</v>
      </c>
      <c r="Q15" s="492" t="s">
        <v>94</v>
      </c>
      <c r="R15" s="492" t="s">
        <v>95</v>
      </c>
      <c r="S15" s="492" t="s">
        <v>94</v>
      </c>
      <c r="T15" s="492" t="s">
        <v>95</v>
      </c>
      <c r="U15" s="492" t="s">
        <v>94</v>
      </c>
      <c r="V15" s="492" t="s">
        <v>95</v>
      </c>
      <c r="W15" s="492" t="s">
        <v>94</v>
      </c>
      <c r="X15" s="492" t="s">
        <v>95</v>
      </c>
      <c r="Y15" s="492" t="s">
        <v>8</v>
      </c>
      <c r="BF15" s="9"/>
      <c r="BI15" s="10"/>
      <c r="BJ15" s="12"/>
      <c r="BK15" s="12"/>
    </row>
    <row r="16" spans="1:63" s="481" customFormat="1" ht="12" customHeight="1">
      <c r="A16" s="494" t="s">
        <v>96</v>
      </c>
      <c r="B16" s="494"/>
      <c r="C16" s="494"/>
      <c r="D16" s="587">
        <v>-0.00154</v>
      </c>
      <c r="E16" s="587">
        <v>0</v>
      </c>
      <c r="F16" s="587">
        <v>0.00282</v>
      </c>
      <c r="G16" s="587">
        <v>0.00236</v>
      </c>
      <c r="H16" s="587">
        <v>0.00712</v>
      </c>
      <c r="I16" s="587">
        <v>0.00434</v>
      </c>
      <c r="J16" s="587">
        <v>0.01148</v>
      </c>
      <c r="K16" s="587">
        <v>0.00664</v>
      </c>
      <c r="L16" s="494" t="s">
        <v>96</v>
      </c>
      <c r="N16" s="492" t="s">
        <v>96</v>
      </c>
      <c r="O16" s="492"/>
      <c r="P16" s="492"/>
      <c r="Q16" s="492">
        <v>-0.00118</v>
      </c>
      <c r="R16" s="492">
        <v>0</v>
      </c>
      <c r="S16" s="492">
        <v>0.00322</v>
      </c>
      <c r="T16" s="492">
        <v>0.00246</v>
      </c>
      <c r="U16" s="492">
        <v>0.00758</v>
      </c>
      <c r="V16" s="492">
        <v>0.00448</v>
      </c>
      <c r="W16" s="492">
        <v>0.01206</v>
      </c>
      <c r="X16" s="492">
        <v>0.00692</v>
      </c>
      <c r="Y16" s="492" t="s">
        <v>96</v>
      </c>
      <c r="BF16" s="9"/>
      <c r="BI16" s="10"/>
      <c r="BJ16" s="12"/>
      <c r="BK16" s="12"/>
    </row>
    <row r="17" spans="1:63" s="182" customFormat="1" ht="12" customHeight="1">
      <c r="A17" s="492" t="s">
        <v>97</v>
      </c>
      <c r="B17" s="494"/>
      <c r="C17" s="494"/>
      <c r="D17" s="587">
        <v>0.0062</v>
      </c>
      <c r="E17" s="587">
        <v>0.00244</v>
      </c>
      <c r="F17" s="587">
        <v>0.00894</v>
      </c>
      <c r="G17" s="587">
        <v>0.00416</v>
      </c>
      <c r="H17" s="587">
        <v>0.0114</v>
      </c>
      <c r="I17" s="587">
        <v>0.00608</v>
      </c>
      <c r="J17" s="587">
        <v>0.01168</v>
      </c>
      <c r="K17" s="587">
        <v>0.00664</v>
      </c>
      <c r="L17" s="494" t="s">
        <v>97</v>
      </c>
      <c r="M17" s="481"/>
      <c r="N17" s="492" t="s">
        <v>97</v>
      </c>
      <c r="O17" s="492"/>
      <c r="P17" s="492"/>
      <c r="Q17" s="492">
        <v>0.00654</v>
      </c>
      <c r="R17" s="492">
        <v>0.0026</v>
      </c>
      <c r="S17" s="492">
        <v>0.0095</v>
      </c>
      <c r="T17" s="492">
        <v>0.00446</v>
      </c>
      <c r="U17" s="492">
        <v>0.01198</v>
      </c>
      <c r="V17" s="492">
        <v>0.00642</v>
      </c>
      <c r="W17" s="492">
        <v>0.01232</v>
      </c>
      <c r="X17" s="492">
        <v>0.00692</v>
      </c>
      <c r="Y17" s="492" t="s">
        <v>97</v>
      </c>
      <c r="BF17" s="68"/>
      <c r="BI17" s="183"/>
      <c r="BJ17" s="184"/>
      <c r="BK17" s="184"/>
    </row>
    <row r="18" spans="1:63" s="481" customFormat="1" ht="12" customHeight="1">
      <c r="A18" s="492">
        <v>2</v>
      </c>
      <c r="B18" s="494"/>
      <c r="C18" s="494"/>
      <c r="D18" s="587">
        <v>-0.00108</v>
      </c>
      <c r="E18" s="587"/>
      <c r="F18" s="587">
        <v>0.00314</v>
      </c>
      <c r="G18" s="587"/>
      <c r="H18" s="587">
        <v>0.00742</v>
      </c>
      <c r="I18" s="587"/>
      <c r="J18" s="587">
        <v>0.0118</v>
      </c>
      <c r="K18" s="587"/>
      <c r="L18" s="494">
        <v>2</v>
      </c>
      <c r="N18" s="492">
        <v>2</v>
      </c>
      <c r="O18" s="492"/>
      <c r="P18" s="492"/>
      <c r="Q18" s="492">
        <v>-0.00118</v>
      </c>
      <c r="R18" s="492"/>
      <c r="S18" s="492">
        <v>0.00326</v>
      </c>
      <c r="T18" s="492"/>
      <c r="U18" s="492">
        <v>0.00762</v>
      </c>
      <c r="V18" s="492"/>
      <c r="W18" s="492">
        <v>0.01198</v>
      </c>
      <c r="X18" s="492"/>
      <c r="Y18" s="492">
        <v>2</v>
      </c>
      <c r="BF18" s="9"/>
      <c r="BI18" s="10"/>
      <c r="BJ18" s="12"/>
      <c r="BK18" s="12"/>
    </row>
    <row r="19" spans="1:63" s="481" customFormat="1" ht="12" customHeight="1">
      <c r="A19" s="492">
        <v>3</v>
      </c>
      <c r="B19" s="494"/>
      <c r="C19" s="494"/>
      <c r="D19" s="587">
        <v>-0.00276</v>
      </c>
      <c r="E19" s="587"/>
      <c r="F19" s="587">
        <v>0.00158</v>
      </c>
      <c r="G19" s="587"/>
      <c r="H19" s="587">
        <v>0.00586</v>
      </c>
      <c r="I19" s="587"/>
      <c r="J19" s="587">
        <v>0.01028</v>
      </c>
      <c r="K19" s="587"/>
      <c r="L19" s="494">
        <v>3</v>
      </c>
      <c r="N19" s="492">
        <v>3</v>
      </c>
      <c r="O19" s="492"/>
      <c r="P19" s="492"/>
      <c r="Q19" s="492">
        <v>-0.00096</v>
      </c>
      <c r="R19" s="492"/>
      <c r="S19" s="492">
        <v>0.00332</v>
      </c>
      <c r="T19" s="492"/>
      <c r="U19" s="492">
        <v>0.00772</v>
      </c>
      <c r="V19" s="492"/>
      <c r="W19" s="492">
        <v>0.01212</v>
      </c>
      <c r="X19" s="492"/>
      <c r="Y19" s="492">
        <v>3</v>
      </c>
      <c r="BF19" s="9"/>
      <c r="BI19" s="10"/>
      <c r="BJ19" s="12"/>
      <c r="BK19" s="12"/>
    </row>
    <row r="20" spans="1:63" s="481" customFormat="1" ht="12" customHeight="1">
      <c r="A20" s="494" t="s">
        <v>98</v>
      </c>
      <c r="B20" s="494"/>
      <c r="C20" s="494"/>
      <c r="D20" s="587">
        <v>-0.00068</v>
      </c>
      <c r="E20" s="587"/>
      <c r="F20" s="587">
        <v>0.0036</v>
      </c>
      <c r="G20" s="587"/>
      <c r="H20" s="587">
        <v>0.0079</v>
      </c>
      <c r="I20" s="587"/>
      <c r="J20" s="587">
        <v>0.0123</v>
      </c>
      <c r="K20" s="587"/>
      <c r="L20" s="494" t="s">
        <v>98</v>
      </c>
      <c r="N20" s="492" t="s">
        <v>98</v>
      </c>
      <c r="O20" s="492"/>
      <c r="P20" s="492"/>
      <c r="Q20" s="492">
        <v>-0.0008</v>
      </c>
      <c r="R20" s="492"/>
      <c r="S20" s="492">
        <v>0.0035</v>
      </c>
      <c r="T20" s="492"/>
      <c r="U20" s="492">
        <v>0.00788</v>
      </c>
      <c r="V20" s="492"/>
      <c r="W20" s="492">
        <v>0.0122</v>
      </c>
      <c r="X20" s="492"/>
      <c r="Y20" s="492" t="s">
        <v>98</v>
      </c>
      <c r="BF20" s="9"/>
      <c r="BI20" s="10"/>
      <c r="BJ20" s="12"/>
      <c r="BK20" s="12"/>
    </row>
    <row r="21" spans="1:63" s="182" customFormat="1" ht="12" customHeight="1">
      <c r="A21" s="494" t="s">
        <v>99</v>
      </c>
      <c r="B21" s="494"/>
      <c r="C21" s="494"/>
      <c r="D21" s="587">
        <v>0.0068</v>
      </c>
      <c r="E21" s="587"/>
      <c r="F21" s="587">
        <v>0.00986</v>
      </c>
      <c r="G21" s="587"/>
      <c r="H21" s="587">
        <v>0.01226</v>
      </c>
      <c r="I21" s="587"/>
      <c r="J21" s="587">
        <v>0.01256</v>
      </c>
      <c r="K21" s="587"/>
      <c r="L21" s="494" t="s">
        <v>99</v>
      </c>
      <c r="M21" s="481"/>
      <c r="N21" s="492" t="s">
        <v>99</v>
      </c>
      <c r="O21" s="492"/>
      <c r="P21" s="492"/>
      <c r="Q21" s="492">
        <v>0.0067</v>
      </c>
      <c r="R21" s="492"/>
      <c r="S21" s="492">
        <v>0.0097</v>
      </c>
      <c r="T21" s="492"/>
      <c r="U21" s="492">
        <v>0.0122</v>
      </c>
      <c r="V21" s="492"/>
      <c r="W21" s="492">
        <v>0.0125</v>
      </c>
      <c r="X21" s="492"/>
      <c r="Y21" s="492" t="s">
        <v>99</v>
      </c>
      <c r="BF21" s="68"/>
      <c r="BI21" s="183"/>
      <c r="BJ21" s="184"/>
      <c r="BK21" s="184"/>
    </row>
    <row r="22" spans="1:63" s="481" customFormat="1" ht="12" customHeight="1">
      <c r="A22" s="527">
        <v>5</v>
      </c>
      <c r="B22" s="527"/>
      <c r="C22" s="527"/>
      <c r="D22" s="588">
        <v>-0.00114</v>
      </c>
      <c r="E22" s="588"/>
      <c r="F22" s="588">
        <v>0.0032</v>
      </c>
      <c r="G22" s="588"/>
      <c r="H22" s="588">
        <v>0.0075</v>
      </c>
      <c r="I22" s="588"/>
      <c r="J22" s="588">
        <v>0.01198</v>
      </c>
      <c r="K22" s="588"/>
      <c r="L22" s="527">
        <v>5</v>
      </c>
      <c r="M22" s="223"/>
      <c r="N22" s="492">
        <v>5</v>
      </c>
      <c r="O22" s="492"/>
      <c r="P22" s="492"/>
      <c r="Q22" s="492">
        <v>-0.0029</v>
      </c>
      <c r="R22" s="492"/>
      <c r="S22" s="492">
        <v>0.0016</v>
      </c>
      <c r="T22" s="492"/>
      <c r="U22" s="492">
        <v>0.00598</v>
      </c>
      <c r="V22" s="492"/>
      <c r="W22" s="492">
        <v>0.01042</v>
      </c>
      <c r="X22" s="492"/>
      <c r="Y22" s="492">
        <v>5</v>
      </c>
      <c r="BF22" s="9"/>
      <c r="BI22" s="10"/>
      <c r="BJ22" s="12"/>
      <c r="BK22" s="12"/>
    </row>
    <row r="23" spans="1:63" s="481" customFormat="1" ht="12" customHeight="1">
      <c r="A23" s="494">
        <v>6</v>
      </c>
      <c r="B23" s="494"/>
      <c r="C23" s="494"/>
      <c r="D23" s="587">
        <v>-0.00168</v>
      </c>
      <c r="E23" s="587"/>
      <c r="F23" s="587">
        <v>0.00272</v>
      </c>
      <c r="G23" s="587"/>
      <c r="H23" s="587">
        <v>0.00712</v>
      </c>
      <c r="I23" s="587"/>
      <c r="J23" s="587">
        <v>0.01158</v>
      </c>
      <c r="K23" s="587"/>
      <c r="L23" s="494">
        <v>6</v>
      </c>
      <c r="N23" s="492">
        <v>6</v>
      </c>
      <c r="O23" s="492"/>
      <c r="P23" s="492"/>
      <c r="Q23" s="492">
        <v>-0.00132</v>
      </c>
      <c r="R23" s="492"/>
      <c r="S23" s="492">
        <v>0.00306</v>
      </c>
      <c r="T23" s="492"/>
      <c r="U23" s="492">
        <v>0.0074</v>
      </c>
      <c r="V23" s="492"/>
      <c r="W23" s="492">
        <v>0.01188</v>
      </c>
      <c r="X23" s="492"/>
      <c r="Y23" s="492">
        <v>6</v>
      </c>
      <c r="BF23" s="9"/>
      <c r="BI23" s="10"/>
      <c r="BJ23" s="12"/>
      <c r="BK23" s="12"/>
    </row>
    <row r="24" spans="1:63" s="481" customFormat="1" ht="12" customHeight="1">
      <c r="A24" s="494" t="s">
        <v>100</v>
      </c>
      <c r="B24" s="494"/>
      <c r="C24" s="494"/>
      <c r="D24" s="587">
        <v>-0.0016</v>
      </c>
      <c r="E24" s="587"/>
      <c r="F24" s="587">
        <v>0.00278</v>
      </c>
      <c r="G24" s="587"/>
      <c r="H24" s="587">
        <v>0.00718</v>
      </c>
      <c r="I24" s="587"/>
      <c r="J24" s="587">
        <v>0.01168</v>
      </c>
      <c r="K24" s="587"/>
      <c r="L24" s="494" t="s">
        <v>100</v>
      </c>
      <c r="N24" s="492" t="s">
        <v>100</v>
      </c>
      <c r="O24" s="492"/>
      <c r="P24" s="492"/>
      <c r="Q24" s="492">
        <v>-0.00122</v>
      </c>
      <c r="R24" s="492"/>
      <c r="S24" s="492">
        <v>0.00316</v>
      </c>
      <c r="T24" s="492"/>
      <c r="U24" s="492">
        <v>0.00754</v>
      </c>
      <c r="V24" s="492"/>
      <c r="W24" s="492">
        <v>0.01202</v>
      </c>
      <c r="X24" s="492"/>
      <c r="Y24" s="492" t="s">
        <v>100</v>
      </c>
      <c r="BF24" s="9"/>
      <c r="BI24" s="10"/>
      <c r="BJ24" s="12"/>
      <c r="BK24" s="12"/>
    </row>
    <row r="25" spans="1:63" s="182" customFormat="1" ht="12" customHeight="1">
      <c r="A25" s="494" t="s">
        <v>101</v>
      </c>
      <c r="B25" s="494"/>
      <c r="C25" s="494"/>
      <c r="D25" s="587">
        <v>0.00636</v>
      </c>
      <c r="E25" s="587"/>
      <c r="F25" s="587">
        <v>0.0093</v>
      </c>
      <c r="G25" s="587"/>
      <c r="H25" s="587">
        <v>0.01164</v>
      </c>
      <c r="I25" s="587"/>
      <c r="J25" s="587">
        <v>0.01192</v>
      </c>
      <c r="K25" s="587"/>
      <c r="L25" s="494" t="s">
        <v>101</v>
      </c>
      <c r="M25" s="481"/>
      <c r="N25" s="492" t="s">
        <v>101</v>
      </c>
      <c r="O25" s="492"/>
      <c r="P25" s="492"/>
      <c r="Q25" s="492">
        <v>0.00662</v>
      </c>
      <c r="R25" s="492"/>
      <c r="S25" s="492">
        <v>0.00954</v>
      </c>
      <c r="T25" s="492"/>
      <c r="U25" s="492">
        <v>0.01194</v>
      </c>
      <c r="V25" s="492"/>
      <c r="W25" s="492">
        <v>0.01228</v>
      </c>
      <c r="X25" s="492"/>
      <c r="Y25" s="492" t="s">
        <v>101</v>
      </c>
      <c r="BF25" s="68"/>
      <c r="BI25" s="183"/>
      <c r="BJ25" s="184"/>
      <c r="BK25" s="184"/>
    </row>
    <row r="26" spans="1:63" s="481" customFormat="1" ht="12" customHeight="1">
      <c r="A26" s="527">
        <v>8</v>
      </c>
      <c r="B26" s="527"/>
      <c r="C26" s="527"/>
      <c r="D26" s="588">
        <v>-0.00184</v>
      </c>
      <c r="E26" s="588"/>
      <c r="F26" s="588">
        <v>0.00258</v>
      </c>
      <c r="G26" s="588"/>
      <c r="H26" s="588">
        <v>0.00692</v>
      </c>
      <c r="I26" s="588"/>
      <c r="J26" s="588">
        <v>0.01138</v>
      </c>
      <c r="K26" s="588"/>
      <c r="L26" s="527">
        <v>8</v>
      </c>
      <c r="M26" s="223"/>
      <c r="N26" s="492">
        <v>8</v>
      </c>
      <c r="O26" s="492"/>
      <c r="P26" s="492"/>
      <c r="Q26" s="492">
        <v>-0.00138</v>
      </c>
      <c r="R26" s="492"/>
      <c r="S26" s="492">
        <v>0.003</v>
      </c>
      <c r="T26" s="492"/>
      <c r="U26" s="492">
        <v>0.0074</v>
      </c>
      <c r="V26" s="492"/>
      <c r="W26" s="492">
        <v>0.01184</v>
      </c>
      <c r="X26" s="492"/>
      <c r="Y26" s="492">
        <v>8</v>
      </c>
      <c r="BF26" s="9"/>
      <c r="BI26" s="10"/>
      <c r="BJ26" s="12"/>
      <c r="BK26" s="12"/>
    </row>
    <row r="27" spans="1:63" s="481" customFormat="1" ht="12" customHeight="1">
      <c r="A27" s="494">
        <v>9</v>
      </c>
      <c r="B27" s="494"/>
      <c r="C27" s="494"/>
      <c r="D27" s="587">
        <v>-0.00182</v>
      </c>
      <c r="E27" s="587"/>
      <c r="F27" s="587">
        <v>0.00264</v>
      </c>
      <c r="G27" s="587"/>
      <c r="H27" s="587">
        <v>0.00704</v>
      </c>
      <c r="I27" s="587"/>
      <c r="J27" s="587">
        <v>0.01152</v>
      </c>
      <c r="K27" s="587"/>
      <c r="L27" s="494">
        <v>9</v>
      </c>
      <c r="N27" s="492">
        <v>9</v>
      </c>
      <c r="O27" s="492"/>
      <c r="P27" s="492"/>
      <c r="Q27" s="492">
        <v>-0.00108</v>
      </c>
      <c r="R27" s="492"/>
      <c r="S27" s="492">
        <v>0.00332</v>
      </c>
      <c r="T27" s="492"/>
      <c r="U27" s="492">
        <v>0.00764</v>
      </c>
      <c r="V27" s="492"/>
      <c r="W27" s="492">
        <v>0.01218</v>
      </c>
      <c r="X27" s="492"/>
      <c r="Y27" s="492">
        <v>9</v>
      </c>
      <c r="BF27" s="9"/>
      <c r="BI27" s="10"/>
      <c r="BJ27" s="12"/>
      <c r="BK27" s="12"/>
    </row>
    <row r="28" spans="1:63" s="481" customFormat="1" ht="12" customHeight="1">
      <c r="A28" s="494" t="s">
        <v>102</v>
      </c>
      <c r="B28" s="494"/>
      <c r="C28" s="494"/>
      <c r="D28" s="587">
        <v>-0.00156</v>
      </c>
      <c r="E28" s="587"/>
      <c r="F28" s="587">
        <v>0.00284</v>
      </c>
      <c r="G28" s="587"/>
      <c r="H28" s="587">
        <v>0.00718</v>
      </c>
      <c r="I28" s="587"/>
      <c r="J28" s="587">
        <v>0.01172</v>
      </c>
      <c r="K28" s="587"/>
      <c r="L28" s="494" t="s">
        <v>102</v>
      </c>
      <c r="N28" s="492" t="s">
        <v>102</v>
      </c>
      <c r="O28" s="492"/>
      <c r="P28" s="492"/>
      <c r="Q28" s="492">
        <v>-0.001</v>
      </c>
      <c r="R28" s="492"/>
      <c r="S28" s="492">
        <v>0.00336</v>
      </c>
      <c r="T28" s="492"/>
      <c r="U28" s="492">
        <v>0.00784</v>
      </c>
      <c r="V28" s="492"/>
      <c r="W28" s="492">
        <v>0.01226</v>
      </c>
      <c r="X28" s="492"/>
      <c r="Y28" s="492" t="s">
        <v>102</v>
      </c>
      <c r="BF28" s="9"/>
      <c r="BI28" s="10"/>
      <c r="BJ28" s="12"/>
      <c r="BK28" s="12"/>
    </row>
    <row r="29" spans="1:63" s="182" customFormat="1" ht="12" customHeight="1">
      <c r="A29" s="494" t="s">
        <v>103</v>
      </c>
      <c r="B29" s="494"/>
      <c r="C29" s="494"/>
      <c r="D29" s="587">
        <v>0.00634</v>
      </c>
      <c r="E29" s="587"/>
      <c r="F29" s="587">
        <v>0.0093</v>
      </c>
      <c r="G29" s="587"/>
      <c r="H29" s="587">
        <v>0.0117</v>
      </c>
      <c r="I29" s="587"/>
      <c r="J29" s="587">
        <v>0.01196</v>
      </c>
      <c r="K29" s="587"/>
      <c r="L29" s="494" t="s">
        <v>103</v>
      </c>
      <c r="M29" s="481"/>
      <c r="N29" s="492" t="s">
        <v>103</v>
      </c>
      <c r="O29" s="492"/>
      <c r="P29" s="492"/>
      <c r="Q29" s="492">
        <v>0.00686</v>
      </c>
      <c r="R29" s="492"/>
      <c r="S29" s="492">
        <v>0.00988</v>
      </c>
      <c r="T29" s="492"/>
      <c r="U29" s="492">
        <v>0.0122</v>
      </c>
      <c r="V29" s="492"/>
      <c r="W29" s="492">
        <v>0.01254</v>
      </c>
      <c r="X29" s="492"/>
      <c r="Y29" s="492" t="s">
        <v>103</v>
      </c>
      <c r="BF29" s="68"/>
      <c r="BI29" s="183"/>
      <c r="BJ29" s="184"/>
      <c r="BK29" s="184"/>
    </row>
    <row r="30" spans="1:63" s="481" customFormat="1" ht="12" customHeight="1">
      <c r="A30" s="527">
        <v>11</v>
      </c>
      <c r="B30" s="527"/>
      <c r="C30" s="527"/>
      <c r="D30" s="588">
        <v>-0.002</v>
      </c>
      <c r="E30" s="588"/>
      <c r="F30" s="588">
        <v>0.00246</v>
      </c>
      <c r="G30" s="588"/>
      <c r="H30" s="588">
        <v>0.00686</v>
      </c>
      <c r="I30" s="588"/>
      <c r="J30" s="588">
        <v>0.0113</v>
      </c>
      <c r="K30" s="588"/>
      <c r="L30" s="527">
        <v>11</v>
      </c>
      <c r="M30" s="223"/>
      <c r="N30" s="492">
        <v>11</v>
      </c>
      <c r="O30" s="492"/>
      <c r="P30" s="492"/>
      <c r="Q30" s="492">
        <v>-0.00132</v>
      </c>
      <c r="R30" s="492"/>
      <c r="S30" s="492">
        <v>0.00312</v>
      </c>
      <c r="T30" s="492"/>
      <c r="U30" s="492">
        <v>0.00754</v>
      </c>
      <c r="V30" s="492"/>
      <c r="W30" s="492">
        <v>0.01194</v>
      </c>
      <c r="X30" s="492"/>
      <c r="Y30" s="492">
        <v>11</v>
      </c>
      <c r="BF30" s="9"/>
      <c r="BI30" s="10"/>
      <c r="BJ30" s="12"/>
      <c r="BK30" s="12"/>
    </row>
    <row r="31" spans="1:63" s="481" customFormat="1" ht="12" customHeight="1">
      <c r="A31" s="494">
        <v>12</v>
      </c>
      <c r="B31" s="494"/>
      <c r="C31" s="494"/>
      <c r="D31" s="587">
        <v>-0.00168</v>
      </c>
      <c r="E31" s="587"/>
      <c r="F31" s="587">
        <v>0.00272</v>
      </c>
      <c r="G31" s="587"/>
      <c r="H31" s="587">
        <v>0.0071</v>
      </c>
      <c r="I31" s="587"/>
      <c r="J31" s="587">
        <v>0.01156</v>
      </c>
      <c r="K31" s="587"/>
      <c r="L31" s="494">
        <v>12</v>
      </c>
      <c r="N31" s="492">
        <v>12</v>
      </c>
      <c r="O31" s="492"/>
      <c r="P31" s="492"/>
      <c r="Q31" s="492">
        <v>-0.00128</v>
      </c>
      <c r="R31" s="492"/>
      <c r="S31" s="492">
        <v>0.00308</v>
      </c>
      <c r="T31" s="492"/>
      <c r="U31" s="492">
        <v>0.00746</v>
      </c>
      <c r="V31" s="492"/>
      <c r="W31" s="492">
        <v>0.01194</v>
      </c>
      <c r="X31" s="492"/>
      <c r="Y31" s="492">
        <v>12</v>
      </c>
      <c r="BF31" s="9"/>
      <c r="BI31" s="10"/>
      <c r="BJ31" s="12"/>
      <c r="BK31" s="12"/>
    </row>
    <row r="32" spans="1:63" s="481" customFormat="1" ht="12" customHeight="1">
      <c r="A32" s="494" t="s">
        <v>104</v>
      </c>
      <c r="B32" s="494"/>
      <c r="C32" s="494"/>
      <c r="D32" s="587">
        <v>-0.0015</v>
      </c>
      <c r="E32" s="587"/>
      <c r="F32" s="587">
        <v>0.00284</v>
      </c>
      <c r="G32" s="587"/>
      <c r="H32" s="587">
        <v>0.00724</v>
      </c>
      <c r="I32" s="587"/>
      <c r="J32" s="587">
        <v>0.01164</v>
      </c>
      <c r="K32" s="587"/>
      <c r="L32" s="494" t="s">
        <v>104</v>
      </c>
      <c r="N32" s="492" t="s">
        <v>104</v>
      </c>
      <c r="O32" s="492"/>
      <c r="P32" s="492"/>
      <c r="Q32" s="492">
        <f>-0.0018</f>
        <v>-0.0018</v>
      </c>
      <c r="R32" s="492"/>
      <c r="S32" s="492">
        <v>0.00324</v>
      </c>
      <c r="T32" s="492"/>
      <c r="U32" s="492">
        <v>0.00764</v>
      </c>
      <c r="V32" s="492"/>
      <c r="W32" s="492">
        <v>0.01214</v>
      </c>
      <c r="X32" s="492"/>
      <c r="Y32" s="492" t="s">
        <v>104</v>
      </c>
      <c r="BF32" s="9"/>
      <c r="BI32" s="10"/>
      <c r="BJ32" s="12"/>
      <c r="BK32" s="12"/>
    </row>
    <row r="33" spans="1:63" s="182" customFormat="1" ht="12" customHeight="1">
      <c r="A33" s="494" t="s">
        <v>105</v>
      </c>
      <c r="B33" s="494"/>
      <c r="C33" s="494"/>
      <c r="D33" s="587">
        <v>0.00652</v>
      </c>
      <c r="E33" s="587"/>
      <c r="F33" s="587">
        <v>0.00936</v>
      </c>
      <c r="G33" s="587"/>
      <c r="H33" s="587">
        <v>0.01164</v>
      </c>
      <c r="I33" s="587"/>
      <c r="J33" s="587">
        <v>0.0119</v>
      </c>
      <c r="K33" s="587"/>
      <c r="L33" s="494" t="s">
        <v>105</v>
      </c>
      <c r="M33" s="481"/>
      <c r="N33" s="492" t="s">
        <v>105</v>
      </c>
      <c r="O33" s="492"/>
      <c r="P33" s="492"/>
      <c r="Q33" s="492">
        <v>0.00664</v>
      </c>
      <c r="R33" s="492"/>
      <c r="S33" s="492">
        <v>0.00966</v>
      </c>
      <c r="T33" s="492"/>
      <c r="U33" s="492">
        <v>0.01212</v>
      </c>
      <c r="V33" s="492"/>
      <c r="W33" s="492">
        <v>0.01242</v>
      </c>
      <c r="X33" s="492"/>
      <c r="Y33" s="492" t="s">
        <v>105</v>
      </c>
      <c r="BF33" s="68"/>
      <c r="BI33" s="183"/>
      <c r="BJ33" s="184"/>
      <c r="BK33" s="184"/>
    </row>
    <row r="34" spans="1:63" s="481" customFormat="1" ht="12" customHeight="1">
      <c r="A34" s="527">
        <v>14</v>
      </c>
      <c r="B34" s="527"/>
      <c r="C34" s="527"/>
      <c r="D34" s="588">
        <v>-0.00154</v>
      </c>
      <c r="E34" s="588"/>
      <c r="F34" s="588">
        <v>0.0029</v>
      </c>
      <c r="G34" s="588"/>
      <c r="H34" s="588">
        <v>0.00728</v>
      </c>
      <c r="I34" s="588"/>
      <c r="J34" s="588">
        <v>0.01172</v>
      </c>
      <c r="K34" s="588"/>
      <c r="L34" s="527">
        <v>14</v>
      </c>
      <c r="M34" s="223"/>
      <c r="N34" s="492">
        <v>14</v>
      </c>
      <c r="O34" s="492"/>
      <c r="P34" s="492"/>
      <c r="Q34" s="492">
        <v>-0.00172</v>
      </c>
      <c r="R34" s="492"/>
      <c r="S34" s="492">
        <v>0.00278</v>
      </c>
      <c r="T34" s="492"/>
      <c r="U34" s="492">
        <v>0.00714</v>
      </c>
      <c r="V34" s="492"/>
      <c r="W34" s="492">
        <v>0.01166</v>
      </c>
      <c r="X34" s="492"/>
      <c r="Y34" s="492">
        <v>14</v>
      </c>
      <c r="BF34" s="9"/>
      <c r="BI34" s="10"/>
      <c r="BJ34" s="12"/>
      <c r="BK34" s="12"/>
    </row>
    <row r="35" spans="1:63" s="481" customFormat="1" ht="12" customHeight="1">
      <c r="A35" s="494">
        <v>15</v>
      </c>
      <c r="B35" s="494"/>
      <c r="C35" s="494"/>
      <c r="D35" s="587">
        <v>-0.0029</v>
      </c>
      <c r="E35" s="587"/>
      <c r="F35" s="587">
        <v>0.0016</v>
      </c>
      <c r="G35" s="587"/>
      <c r="H35" s="587">
        <v>0.0061</v>
      </c>
      <c r="I35" s="587"/>
      <c r="J35" s="587">
        <v>0.01068</v>
      </c>
      <c r="K35" s="587"/>
      <c r="L35" s="494">
        <v>15</v>
      </c>
      <c r="N35" s="492">
        <v>15</v>
      </c>
      <c r="O35" s="492"/>
      <c r="P35" s="492"/>
      <c r="Q35" s="492">
        <v>-0.00254</v>
      </c>
      <c r="R35" s="492"/>
      <c r="S35" s="492">
        <v>0.00194</v>
      </c>
      <c r="T35" s="492"/>
      <c r="U35" s="492">
        <v>0.00636</v>
      </c>
      <c r="V35" s="492"/>
      <c r="W35" s="492">
        <v>0.01078</v>
      </c>
      <c r="X35" s="492"/>
      <c r="Y35" s="492">
        <v>15</v>
      </c>
      <c r="BF35" s="9"/>
      <c r="BI35" s="10"/>
      <c r="BJ35" s="12"/>
      <c r="BK35" s="12"/>
    </row>
    <row r="36" spans="1:63" s="481" customFormat="1" ht="12" customHeight="1">
      <c r="A36" s="494" t="s">
        <v>106</v>
      </c>
      <c r="B36" s="494"/>
      <c r="C36" s="494"/>
      <c r="D36" s="587">
        <v>-0.00138</v>
      </c>
      <c r="E36" s="587"/>
      <c r="F36" s="587">
        <v>0.00294</v>
      </c>
      <c r="G36" s="587"/>
      <c r="H36" s="587">
        <v>0.0073</v>
      </c>
      <c r="I36" s="587"/>
      <c r="J36" s="587">
        <v>0.01182</v>
      </c>
      <c r="K36" s="587"/>
      <c r="L36" s="494" t="s">
        <v>106</v>
      </c>
      <c r="N36" s="492" t="s">
        <v>106</v>
      </c>
      <c r="O36" s="492"/>
      <c r="P36" s="492"/>
      <c r="Q36" s="492">
        <v>-0.00082</v>
      </c>
      <c r="R36" s="492"/>
      <c r="S36" s="492">
        <v>0.0036</v>
      </c>
      <c r="T36" s="492"/>
      <c r="U36" s="492">
        <v>0.00796</v>
      </c>
      <c r="V36" s="492"/>
      <c r="W36" s="492">
        <v>0.01252</v>
      </c>
      <c r="X36" s="492"/>
      <c r="Y36" s="492" t="s">
        <v>106</v>
      </c>
      <c r="BF36" s="9"/>
      <c r="BI36" s="10"/>
      <c r="BJ36" s="12"/>
      <c r="BK36" s="12"/>
    </row>
    <row r="37" spans="1:63" s="182" customFormat="1" ht="12" customHeight="1">
      <c r="A37" s="494" t="s">
        <v>107</v>
      </c>
      <c r="B37" s="494"/>
      <c r="C37" s="494"/>
      <c r="D37" s="587">
        <v>0.00642</v>
      </c>
      <c r="E37" s="587"/>
      <c r="F37" s="587">
        <v>0.0095</v>
      </c>
      <c r="G37" s="587"/>
      <c r="H37" s="587">
        <v>0.0118</v>
      </c>
      <c r="I37" s="587"/>
      <c r="J37" s="587">
        <v>0.01208</v>
      </c>
      <c r="K37" s="587"/>
      <c r="L37" s="494" t="s">
        <v>107</v>
      </c>
      <c r="M37" s="481"/>
      <c r="N37" s="492" t="s">
        <v>107</v>
      </c>
      <c r="O37" s="492"/>
      <c r="P37" s="492"/>
      <c r="Q37" s="492">
        <v>0.007</v>
      </c>
      <c r="R37" s="492"/>
      <c r="S37" s="492">
        <v>0.01008</v>
      </c>
      <c r="T37" s="492"/>
      <c r="U37" s="492">
        <v>0.0125</v>
      </c>
      <c r="V37" s="492"/>
      <c r="W37" s="492">
        <v>0.0128</v>
      </c>
      <c r="X37" s="492"/>
      <c r="Y37" s="492" t="s">
        <v>107</v>
      </c>
      <c r="BF37" s="68"/>
      <c r="BI37" s="183"/>
      <c r="BJ37" s="184"/>
      <c r="BK37" s="184"/>
    </row>
    <row r="38" spans="1:63" s="481" customFormat="1" ht="12" customHeight="1">
      <c r="A38" s="527">
        <v>17</v>
      </c>
      <c r="B38" s="527"/>
      <c r="C38" s="527"/>
      <c r="D38" s="588">
        <v>-0.00192</v>
      </c>
      <c r="E38" s="588">
        <v>-0.00016</v>
      </c>
      <c r="F38" s="588">
        <v>0.00256</v>
      </c>
      <c r="G38" s="588">
        <v>0.00222</v>
      </c>
      <c r="H38" s="588">
        <v>0.00694</v>
      </c>
      <c r="I38" s="588">
        <v>0.0042</v>
      </c>
      <c r="J38" s="588">
        <v>0.0114</v>
      </c>
      <c r="K38" s="588">
        <v>0.00656</v>
      </c>
      <c r="L38" s="527">
        <v>17</v>
      </c>
      <c r="M38" s="223"/>
      <c r="N38" s="492">
        <v>17</v>
      </c>
      <c r="O38" s="492"/>
      <c r="P38" s="492"/>
      <c r="Q38" s="492">
        <v>-0.00224</v>
      </c>
      <c r="R38" s="492">
        <v>0.0001</v>
      </c>
      <c r="S38" s="492">
        <v>0.00248</v>
      </c>
      <c r="T38" s="492">
        <v>0.00246</v>
      </c>
      <c r="U38" s="492">
        <v>0.00692</v>
      </c>
      <c r="V38" s="492">
        <v>0.00448</v>
      </c>
      <c r="W38" s="492">
        <v>0.01152</v>
      </c>
      <c r="X38" s="492">
        <v>0.0068</v>
      </c>
      <c r="Y38" s="492">
        <v>17</v>
      </c>
      <c r="BF38" s="9"/>
      <c r="BI38" s="10"/>
      <c r="BJ38" s="12"/>
      <c r="BK38" s="12"/>
    </row>
    <row r="39" spans="1:63" s="481" customFormat="1" ht="12" customHeight="1">
      <c r="A39" s="494">
        <v>18</v>
      </c>
      <c r="B39" s="494"/>
      <c r="C39" s="494"/>
      <c r="D39" s="494"/>
      <c r="E39" s="494"/>
      <c r="F39" s="494"/>
      <c r="G39" s="494"/>
      <c r="H39" s="494"/>
      <c r="I39" s="494"/>
      <c r="J39" s="494"/>
      <c r="K39" s="494"/>
      <c r="L39" s="494">
        <v>18</v>
      </c>
      <c r="N39" s="492">
        <v>18</v>
      </c>
      <c r="O39" s="494"/>
      <c r="P39" s="494"/>
      <c r="Q39" s="494"/>
      <c r="R39" s="494"/>
      <c r="S39" s="494"/>
      <c r="T39" s="494"/>
      <c r="U39" s="494"/>
      <c r="V39" s="494"/>
      <c r="Y39" s="492">
        <v>18</v>
      </c>
      <c r="BF39" s="9"/>
      <c r="BI39" s="10"/>
      <c r="BJ39" s="12"/>
      <c r="BK39" s="12"/>
    </row>
    <row r="40" spans="1:63" s="481" customFormat="1" ht="12" customHeight="1">
      <c r="A40" s="494" t="s">
        <v>108</v>
      </c>
      <c r="B40" s="494"/>
      <c r="C40" s="494"/>
      <c r="D40" s="494"/>
      <c r="E40" s="494"/>
      <c r="F40" s="494"/>
      <c r="G40" s="494"/>
      <c r="H40" s="494"/>
      <c r="I40" s="494"/>
      <c r="J40" s="494"/>
      <c r="K40" s="494"/>
      <c r="L40" s="494" t="s">
        <v>108</v>
      </c>
      <c r="N40" s="492" t="s">
        <v>108</v>
      </c>
      <c r="O40" s="494"/>
      <c r="P40" s="494"/>
      <c r="Q40" s="494"/>
      <c r="R40" s="494"/>
      <c r="S40" s="494"/>
      <c r="T40" s="494"/>
      <c r="U40" s="494"/>
      <c r="V40" s="494"/>
      <c r="W40" s="492"/>
      <c r="X40" s="492"/>
      <c r="Y40" s="492" t="s">
        <v>108</v>
      </c>
      <c r="BF40" s="9"/>
      <c r="BI40" s="10"/>
      <c r="BJ40" s="12"/>
      <c r="BK40" s="12"/>
    </row>
    <row r="41" spans="1:63" s="182" customFormat="1" ht="12" customHeight="1">
      <c r="A41" s="494" t="s">
        <v>109</v>
      </c>
      <c r="B41" s="494"/>
      <c r="C41" s="494"/>
      <c r="D41" s="587">
        <v>0.0061</v>
      </c>
      <c r="E41" s="587">
        <v>0.00238</v>
      </c>
      <c r="F41" s="587">
        <v>0.00908</v>
      </c>
      <c r="G41" s="587">
        <v>0.0042</v>
      </c>
      <c r="H41" s="587">
        <v>0.0114</v>
      </c>
      <c r="I41" s="587">
        <v>0.0062</v>
      </c>
      <c r="J41" s="587">
        <v>0.01164</v>
      </c>
      <c r="K41" s="587">
        <v>0.00656</v>
      </c>
      <c r="L41" s="494" t="s">
        <v>109</v>
      </c>
      <c r="M41" s="481"/>
      <c r="N41" s="494" t="s">
        <v>109</v>
      </c>
      <c r="O41" s="494"/>
      <c r="P41" s="494"/>
      <c r="Q41" s="492">
        <v>0.0061</v>
      </c>
      <c r="R41" s="492">
        <v>0.00264</v>
      </c>
      <c r="S41" s="492">
        <v>0.00904</v>
      </c>
      <c r="T41" s="492">
        <v>0.00444</v>
      </c>
      <c r="U41" s="492">
        <v>0.01152</v>
      </c>
      <c r="V41" s="492">
        <v>0.00648</v>
      </c>
      <c r="W41" s="492">
        <v>0.01174</v>
      </c>
      <c r="X41" s="492">
        <v>0.0068</v>
      </c>
      <c r="Y41" s="492" t="s">
        <v>109</v>
      </c>
      <c r="BF41" s="68"/>
      <c r="BI41" s="183"/>
      <c r="BJ41" s="184"/>
      <c r="BK41" s="184"/>
    </row>
    <row r="42" spans="1:63" s="481" customFormat="1" ht="12" customHeight="1">
      <c r="A42" s="23"/>
      <c r="B42" s="461"/>
      <c r="C42" s="47"/>
      <c r="D42" s="495">
        <f>AVERAGE(D16,D18:D20,D22:D24,D26:D28,D30:D32,D34:D36,D38:D40)</f>
        <v>-0.0016835294117647061</v>
      </c>
      <c r="E42" s="180"/>
      <c r="F42" s="495">
        <f>AVERAGE(F16,F18:F20,F22:F24,F26:F28,F30:F32,F34:F36,F38:F40)</f>
        <v>0.002701176470588235</v>
      </c>
      <c r="G42" s="180"/>
      <c r="H42" s="495">
        <f>AVERAGE(H16,H18:H20,H22:H24,H26:H28,H30:H32,H34:H36,H38:H40)</f>
        <v>0.007062352941176471</v>
      </c>
      <c r="I42" s="180"/>
      <c r="J42" s="495">
        <f>AVERAGE(J16,J18:J20,J22:J24,J26:J28,J30:J32,J34:J36,J38:J40)</f>
        <v>0.011519999999999999</v>
      </c>
      <c r="K42" s="180"/>
      <c r="L42" s="96"/>
      <c r="M42" s="462"/>
      <c r="N42" s="96"/>
      <c r="O42" s="96"/>
      <c r="P42" s="96"/>
      <c r="Q42" s="495">
        <f>AVERAGE(Q16,Q18:Q20,Q22:Q24,Q26:Q28,Q30:Q32,Q34:Q36,Q38:Q40)</f>
        <v>-0.001455294117647059</v>
      </c>
      <c r="R42" s="180"/>
      <c r="S42" s="495">
        <f>AVERAGE(S16,S18:S20,S22:S24,S26:S28,S30:S32,S34:S36,S38:S40)</f>
        <v>0.0030023529411764703</v>
      </c>
      <c r="T42" s="180"/>
      <c r="U42" s="495">
        <f>AVERAGE(U16,U18:U20,U22:U24,U26:U28,U30:U32,U34:U36,U38:U40)</f>
        <v>0.007389411764705881</v>
      </c>
      <c r="V42" s="180"/>
      <c r="W42" s="495">
        <f>AVERAGE(W16,W18:W20,W22:W24,W26:W28,W30:W32,W34:W36,W38:W40)</f>
        <v>0.011850588235294121</v>
      </c>
      <c r="X42" s="180"/>
      <c r="Y42" s="22"/>
      <c r="BF42" s="9"/>
      <c r="BI42" s="10"/>
      <c r="BJ42" s="12"/>
      <c r="BK42" s="12"/>
    </row>
    <row r="43" spans="1:63" s="481" customFormat="1" ht="12" customHeight="1">
      <c r="A43" s="23" t="s">
        <v>150</v>
      </c>
      <c r="B43" s="461"/>
      <c r="C43" s="47"/>
      <c r="D43" s="180">
        <f>AVERAGE(E16,E18:E20,E22:E24,E26:E28,E30:E32,E34:E36,E38)</f>
        <v>-8E-05</v>
      </c>
      <c r="E43" s="180"/>
      <c r="F43" s="180">
        <f>AVERAGE(G16,G18:G20,G22:G24,G26:G28,G30:G32,G34:G36,G38)</f>
        <v>0.0022900000000000004</v>
      </c>
      <c r="G43" s="180"/>
      <c r="H43" s="180">
        <f>AVERAGE(I16,I18:I20,I22:I24,I26:I28,I30:I32,I34:I36,I38)</f>
        <v>0.0042699999999999995</v>
      </c>
      <c r="I43" s="180"/>
      <c r="J43" s="180">
        <f>AVERAGE(K16,K18:K20,K22:K24,K26:K28,K30:K32,K34:K36,K38)</f>
        <v>0.0066</v>
      </c>
      <c r="L43" s="96"/>
      <c r="M43" s="462"/>
      <c r="N43" s="96"/>
      <c r="O43" s="96"/>
      <c r="P43" s="96"/>
      <c r="Q43" s="180">
        <f>AVERAGE(R16,R18:R20,R22:R24,R26:R28,R30:R32,R34:R36,R38)</f>
        <v>5E-05</v>
      </c>
      <c r="R43" s="180"/>
      <c r="S43" s="180">
        <f>AVERAGE(T16,T18:T20,T22:T24,T26:T28,T30:T32,T34:T36,T38)</f>
        <v>0.00246</v>
      </c>
      <c r="T43" s="180"/>
      <c r="U43" s="180">
        <f>AVERAGE(V16,V18:V20,V22:V24,V26:V28,V30:V32,V34:V36,V38)</f>
        <v>0.00448</v>
      </c>
      <c r="V43" s="180"/>
      <c r="W43" s="180">
        <f>AVERAGE(X16,X18:X20,X22:X24,X26:X28,X30:X32,X34:X36,X38)</f>
        <v>0.00686</v>
      </c>
      <c r="X43" s="96"/>
      <c r="Y43" s="22"/>
      <c r="BF43" s="9"/>
      <c r="BI43" s="10"/>
      <c r="BJ43" s="12"/>
      <c r="BK43" s="12"/>
    </row>
    <row r="44" spans="1:25" s="481" customFormat="1" ht="12" customHeight="1">
      <c r="A44" s="25"/>
      <c r="B44" s="25"/>
      <c r="C44" s="25"/>
      <c r="D44" s="25"/>
      <c r="E44" s="97"/>
      <c r="F44" s="509">
        <f>F42-D42</f>
        <v>0.004384705882352942</v>
      </c>
      <c r="G44" s="97"/>
      <c r="H44" s="509">
        <f>H42-F42</f>
        <v>0.004361176470588236</v>
      </c>
      <c r="I44" s="97"/>
      <c r="J44" s="509">
        <f>J42-H42</f>
        <v>0.004457647058823528</v>
      </c>
      <c r="K44" s="97"/>
      <c r="L44" s="97"/>
      <c r="M44" s="97"/>
      <c r="N44" s="97"/>
      <c r="O44" s="97"/>
      <c r="P44" s="97"/>
      <c r="Q44" s="97"/>
      <c r="R44" s="99"/>
      <c r="S44" s="509">
        <f>S42-Q42</f>
        <v>0.00445764705882353</v>
      </c>
      <c r="T44" s="98"/>
      <c r="U44" s="509">
        <f>U42-S42</f>
        <v>0.004387058823529411</v>
      </c>
      <c r="V44" s="98"/>
      <c r="W44" s="509">
        <f>W42-U42</f>
        <v>0.00446117647058824</v>
      </c>
      <c r="X44" s="98"/>
      <c r="Y44" s="26"/>
    </row>
    <row r="45" spans="1:24" s="481" customFormat="1" ht="12" customHeight="1">
      <c r="A45" s="68" t="s">
        <v>110</v>
      </c>
      <c r="B45" s="48"/>
      <c r="C45" s="25"/>
      <c r="D45" s="25"/>
      <c r="E45" s="462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9"/>
    </row>
    <row r="46" spans="1:25" s="173" customFormat="1" ht="12" customHeight="1">
      <c r="A46" s="140" t="s">
        <v>111</v>
      </c>
      <c r="B46" s="141"/>
      <c r="C46" s="142"/>
      <c r="D46" s="170">
        <v>1</v>
      </c>
      <c r="E46" s="171">
        <f aca="true" t="shared" si="0" ref="E46:N46">D46+1</f>
        <v>2</v>
      </c>
      <c r="F46" s="171">
        <f t="shared" si="0"/>
        <v>3</v>
      </c>
      <c r="G46" s="171">
        <f t="shared" si="0"/>
        <v>4</v>
      </c>
      <c r="H46" s="171">
        <f t="shared" si="0"/>
        <v>5</v>
      </c>
      <c r="I46" s="171">
        <f t="shared" si="0"/>
        <v>6</v>
      </c>
      <c r="J46" s="171">
        <f t="shared" si="0"/>
        <v>7</v>
      </c>
      <c r="K46" s="171">
        <f t="shared" si="0"/>
        <v>8</v>
      </c>
      <c r="L46" s="171">
        <f t="shared" si="0"/>
        <v>9</v>
      </c>
      <c r="M46" s="171">
        <f t="shared" si="0"/>
        <v>10</v>
      </c>
      <c r="N46" s="171">
        <f t="shared" si="0"/>
        <v>11</v>
      </c>
      <c r="O46" s="171">
        <f aca="true" t="shared" si="1" ref="O46:V46">N46+1</f>
        <v>12</v>
      </c>
      <c r="P46" s="171">
        <f t="shared" si="1"/>
        <v>13</v>
      </c>
      <c r="Q46" s="171">
        <f t="shared" si="1"/>
        <v>14</v>
      </c>
      <c r="R46" s="171">
        <f t="shared" si="1"/>
        <v>15</v>
      </c>
      <c r="S46" s="171">
        <f t="shared" si="1"/>
        <v>16</v>
      </c>
      <c r="T46" s="171">
        <f t="shared" si="1"/>
        <v>17</v>
      </c>
      <c r="U46" s="171">
        <f t="shared" si="1"/>
        <v>18</v>
      </c>
      <c r="V46" s="171">
        <f t="shared" si="1"/>
        <v>19</v>
      </c>
      <c r="W46" s="422" t="s">
        <v>0</v>
      </c>
      <c r="X46" s="530" t="s">
        <v>68</v>
      </c>
      <c r="Y46" s="481"/>
    </row>
    <row r="47" spans="1:24" s="481" customFormat="1" ht="12" customHeight="1">
      <c r="A47" s="45" t="s">
        <v>112</v>
      </c>
      <c r="B47" s="46" t="s">
        <v>113</v>
      </c>
      <c r="C47" s="420" t="s">
        <v>35</v>
      </c>
      <c r="D47" s="120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2"/>
      <c r="W47" s="121"/>
      <c r="X47" s="463"/>
    </row>
    <row r="48" spans="1:24" s="481" customFormat="1" ht="12" customHeight="1">
      <c r="A48" s="456">
        <v>1111</v>
      </c>
      <c r="B48" s="25">
        <v>8000</v>
      </c>
      <c r="C48" s="25" t="s">
        <v>9</v>
      </c>
      <c r="D48" s="458">
        <f>-D16+$D$43</f>
        <v>0.00146</v>
      </c>
      <c r="E48" s="459">
        <f>-D18+$D$43</f>
        <v>0.001</v>
      </c>
      <c r="F48" s="459">
        <f>-D19+$D$43</f>
        <v>0.0026799999999999997</v>
      </c>
      <c r="G48" s="459">
        <f>-D20+$D$43</f>
        <v>0.0006000000000000001</v>
      </c>
      <c r="H48" s="459">
        <f>-D22+$D$43</f>
        <v>0.00106</v>
      </c>
      <c r="I48" s="459">
        <f>-D23+$D$43</f>
        <v>0.0016</v>
      </c>
      <c r="J48" s="459">
        <f>-D24+$D$43</f>
        <v>0.00152</v>
      </c>
      <c r="K48" s="459">
        <f>-D26+$D$43</f>
        <v>0.00176</v>
      </c>
      <c r="L48" s="459">
        <f>-D27+$D$43</f>
        <v>0.00174</v>
      </c>
      <c r="M48" s="459">
        <f>-D28+$D$43</f>
        <v>0.00148</v>
      </c>
      <c r="N48" s="459">
        <f>-D30+$D$43</f>
        <v>0.00192</v>
      </c>
      <c r="O48" s="459">
        <f>-D31+$D$43</f>
        <v>0.0016</v>
      </c>
      <c r="P48" s="459">
        <f>-D32+$D$43</f>
        <v>0.00142</v>
      </c>
      <c r="Q48" s="459">
        <f>-D34+$D$43</f>
        <v>0.00146</v>
      </c>
      <c r="R48" s="459">
        <f>-D35+$D$43</f>
        <v>0.0028199999999999996</v>
      </c>
      <c r="S48" s="459">
        <f>-D36+$D$43</f>
        <v>0.0013</v>
      </c>
      <c r="T48" s="459">
        <f>-D38+$D$43</f>
        <v>0.00184</v>
      </c>
      <c r="U48" s="459">
        <f>-D39+$D$43</f>
        <v>-8E-05</v>
      </c>
      <c r="V48" s="511">
        <f>-D40+$D$43</f>
        <v>-8E-05</v>
      </c>
      <c r="W48" s="570">
        <f>AVERAGE(D48:T48)</f>
        <v>0.0016035294117647061</v>
      </c>
      <c r="X48" s="465">
        <f>STDEV(D48:T48)</f>
        <v>0.0005416288071233674</v>
      </c>
    </row>
    <row r="49" spans="1:24" s="481" customFormat="1" ht="12" customHeight="1">
      <c r="A49" s="456">
        <v>1111</v>
      </c>
      <c r="B49" s="25">
        <v>8000</v>
      </c>
      <c r="C49" s="25" t="s">
        <v>7</v>
      </c>
      <c r="D49" s="466">
        <f>-Q16+$Q$43</f>
        <v>0.00123</v>
      </c>
      <c r="E49" s="467">
        <f>-Q18+$Q$43</f>
        <v>0.00123</v>
      </c>
      <c r="F49" s="467">
        <f>-Q19+$Q$43</f>
        <v>0.00101</v>
      </c>
      <c r="G49" s="467">
        <f>-Q20+$Q$43</f>
        <v>0.0008500000000000001</v>
      </c>
      <c r="H49" s="467">
        <f>-Q22+$Q$43</f>
        <v>0.00295</v>
      </c>
      <c r="I49" s="467">
        <f>-Q23+$Q$43</f>
        <v>0.00137</v>
      </c>
      <c r="J49" s="467">
        <f>-Q24+$Q$43</f>
        <v>0.0012699999999999999</v>
      </c>
      <c r="K49" s="467">
        <f>-Q26+$Q$43</f>
        <v>0.0014299999999999998</v>
      </c>
      <c r="L49" s="467">
        <f>-Q27+$Q$43</f>
        <v>0.00113</v>
      </c>
      <c r="M49" s="467">
        <f>-Q28+$Q$43</f>
        <v>0.00105</v>
      </c>
      <c r="N49" s="467">
        <f>-Q30+$Q$43</f>
        <v>0.00137</v>
      </c>
      <c r="O49" s="467">
        <f>-Q31+$Q$43</f>
        <v>0.00133</v>
      </c>
      <c r="P49" s="467">
        <f>-Q32+$Q$43</f>
        <v>0.0018499999999999999</v>
      </c>
      <c r="Q49" s="467">
        <f>-Q34+$Q$43</f>
        <v>0.0017699999999999999</v>
      </c>
      <c r="R49" s="467">
        <f>-Q35+$Q$43</f>
        <v>0.0025900000000000003</v>
      </c>
      <c r="S49" s="467">
        <f>-Q36+$Q$43</f>
        <v>0.00087</v>
      </c>
      <c r="T49" s="467">
        <f>-Q38+$Q$43</f>
        <v>0.00229</v>
      </c>
      <c r="U49" s="467">
        <f>-Q39+$Q$43</f>
        <v>5E-05</v>
      </c>
      <c r="V49" s="589">
        <f>-Q40+$Q$43</f>
        <v>5E-05</v>
      </c>
      <c r="W49" s="570">
        <f aca="true" t="shared" si="2" ref="W49:W55">AVERAGE(D49:T49)</f>
        <v>0.0015052941176470587</v>
      </c>
      <c r="X49" s="465">
        <f aca="true" t="shared" si="3" ref="X49:X55">STDEV(D49:T49)</f>
        <v>0.0006007715627326546</v>
      </c>
    </row>
    <row r="50" spans="1:24" s="481" customFormat="1" ht="12" customHeight="1">
      <c r="A50" s="456">
        <v>2222</v>
      </c>
      <c r="B50" s="25">
        <v>10000</v>
      </c>
      <c r="C50" s="25" t="s">
        <v>9</v>
      </c>
      <c r="D50" s="458">
        <f>-F16+$F$43</f>
        <v>-0.0005299999999999997</v>
      </c>
      <c r="E50" s="459">
        <f>-F18+$F$43</f>
        <v>-0.0008499999999999996</v>
      </c>
      <c r="F50" s="459">
        <f>-F19+$F$43</f>
        <v>0.0007100000000000003</v>
      </c>
      <c r="G50" s="459">
        <f>-F20+$F$43</f>
        <v>-0.0013099999999999995</v>
      </c>
      <c r="H50" s="459">
        <f>-F22+$F$43</f>
        <v>-0.0009099999999999998</v>
      </c>
      <c r="I50" s="459">
        <f>-F23+$F$43</f>
        <v>-0.0004299999999999998</v>
      </c>
      <c r="J50" s="459">
        <f>-F24+$F$43</f>
        <v>-0.0004899999999999996</v>
      </c>
      <c r="K50" s="459">
        <f>-F26+$F$43</f>
        <v>-0.00028999999999999946</v>
      </c>
      <c r="L50" s="459">
        <f>-F27+$F$43</f>
        <v>-0.0003499999999999996</v>
      </c>
      <c r="M50" s="459">
        <f>-F28+$F$43</f>
        <v>-0.0005499999999999997</v>
      </c>
      <c r="N50" s="459">
        <f>-F30+$F$43</f>
        <v>-0.00016999999999999958</v>
      </c>
      <c r="O50" s="459">
        <f>-F31+$F$43</f>
        <v>-0.0004299999999999998</v>
      </c>
      <c r="P50" s="459">
        <f>-F32+$F$43</f>
        <v>-0.0005499999999999997</v>
      </c>
      <c r="Q50" s="459">
        <f>-F34+$F$43</f>
        <v>-0.0006099999999999994</v>
      </c>
      <c r="R50" s="459">
        <f>-F35+$F$43</f>
        <v>0.0006900000000000003</v>
      </c>
      <c r="S50" s="459">
        <f>-F36+$F$43</f>
        <v>-0.0006499999999999995</v>
      </c>
      <c r="T50" s="459">
        <f>-F38+$F$43</f>
        <v>-0.00026999999999999984</v>
      </c>
      <c r="U50" s="459">
        <f>-F39+$F$43</f>
        <v>0.0022900000000000004</v>
      </c>
      <c r="V50" s="511">
        <f>-F40+$F$43</f>
        <v>0.0022900000000000004</v>
      </c>
      <c r="W50" s="570">
        <f t="shared" si="2"/>
        <v>-0.00041117647058823496</v>
      </c>
      <c r="X50" s="465">
        <f t="shared" si="3"/>
        <v>0.0004982203623014266</v>
      </c>
    </row>
    <row r="51" spans="1:24" s="481" customFormat="1" ht="12" customHeight="1">
      <c r="A51" s="456">
        <v>2222</v>
      </c>
      <c r="B51" s="25">
        <v>10000</v>
      </c>
      <c r="C51" s="25" t="s">
        <v>7</v>
      </c>
      <c r="D51" s="466">
        <f>-S16+$S$43</f>
        <v>-0.0007600000000000003</v>
      </c>
      <c r="E51" s="467">
        <f>-S18+$S$43</f>
        <v>-0.0007999999999999999</v>
      </c>
      <c r="F51" s="467">
        <f>-S19+$S$43</f>
        <v>-0.0008600000000000001</v>
      </c>
      <c r="G51" s="467">
        <f>-S20+$S$43</f>
        <v>-0.0010400000000000001</v>
      </c>
      <c r="H51" s="467">
        <f>-S22+$S$43</f>
        <v>0.0008599999999999999</v>
      </c>
      <c r="I51" s="467">
        <f>-S23+$S$43</f>
        <v>-0.0005999999999999998</v>
      </c>
      <c r="J51" s="467">
        <f>-S24+$S$43</f>
        <v>-0.0007000000000000001</v>
      </c>
      <c r="K51" s="467">
        <f>-S26+$S$43</f>
        <v>-0.0005400000000000001</v>
      </c>
      <c r="L51" s="467">
        <f>-S27+$S$43</f>
        <v>-0.0008600000000000001</v>
      </c>
      <c r="M51" s="467">
        <f>-S28+$S$43</f>
        <v>-0.0009000000000000002</v>
      </c>
      <c r="N51" s="467">
        <f>-S30+$S$43</f>
        <v>-0.00066</v>
      </c>
      <c r="O51" s="467">
        <f>-S31+$S$43</f>
        <v>-0.0006199999999999999</v>
      </c>
      <c r="P51" s="467">
        <f>-S32+$S$43</f>
        <v>-0.0007799999999999999</v>
      </c>
      <c r="Q51" s="467">
        <f>-S34+$S$43</f>
        <v>-0.00031999999999999997</v>
      </c>
      <c r="R51" s="467">
        <f>-S35+$S$43</f>
        <v>0.0005199999999999998</v>
      </c>
      <c r="S51" s="467">
        <f>-S36+$S$43</f>
        <v>-0.00114</v>
      </c>
      <c r="T51" s="467">
        <f>-S38+$S$43</f>
        <v>-2.0000000000000052E-05</v>
      </c>
      <c r="U51" s="467">
        <f>-S39+$S$43</f>
        <v>0.00246</v>
      </c>
      <c r="V51" s="589">
        <f>-S40+$S$43</f>
        <v>0.00246</v>
      </c>
      <c r="W51" s="570">
        <f t="shared" si="2"/>
        <v>-0.0005423529411764707</v>
      </c>
      <c r="X51" s="465">
        <f t="shared" si="3"/>
        <v>0.0005344568435777193</v>
      </c>
    </row>
    <row r="52" spans="1:24" s="481" customFormat="1" ht="12" customHeight="1">
      <c r="A52" s="456">
        <v>3333</v>
      </c>
      <c r="B52" s="25">
        <v>12000</v>
      </c>
      <c r="C52" s="25" t="s">
        <v>9</v>
      </c>
      <c r="D52" s="458">
        <f>-H16+$H$43</f>
        <v>-0.00285</v>
      </c>
      <c r="E52" s="459">
        <f>-H18+$H$43</f>
        <v>-0.003150000000000001</v>
      </c>
      <c r="F52" s="459">
        <f>-H19+$H$43</f>
        <v>-0.0015900000000000003</v>
      </c>
      <c r="G52" s="459">
        <f>-H20+$H$43</f>
        <v>-0.0036300000000000013</v>
      </c>
      <c r="H52" s="459">
        <f>-H22+$H$43</f>
        <v>-0.0032300000000000002</v>
      </c>
      <c r="I52" s="459">
        <f>-H23+$H$43</f>
        <v>-0.00285</v>
      </c>
      <c r="J52" s="459">
        <f>-H24+$H$43</f>
        <v>-0.0029100000000000003</v>
      </c>
      <c r="K52" s="459">
        <f>-H26+$H$43</f>
        <v>-0.0026500000000000004</v>
      </c>
      <c r="L52" s="459">
        <f>-H27+$H$43</f>
        <v>-0.0027700000000000008</v>
      </c>
      <c r="M52" s="459">
        <f>-H28+$H$43</f>
        <v>-0.0029100000000000003</v>
      </c>
      <c r="N52" s="459">
        <f>-H30+$H$43</f>
        <v>-0.0025900000000000003</v>
      </c>
      <c r="O52" s="459">
        <f>-H31+$H$43</f>
        <v>-0.002830000000000001</v>
      </c>
      <c r="P52" s="459">
        <f>-H32+$H$43</f>
        <v>-0.0029700000000000004</v>
      </c>
      <c r="Q52" s="459">
        <f>-H34+$H$43</f>
        <v>-0.0030100000000000005</v>
      </c>
      <c r="R52" s="459">
        <f>-H35+$H$43</f>
        <v>-0.001830000000000001</v>
      </c>
      <c r="S52" s="459">
        <f>-H36+$H$43</f>
        <v>-0.0030300000000000006</v>
      </c>
      <c r="T52" s="459">
        <f>-H38+$H$43</f>
        <v>-0.0026700000000000005</v>
      </c>
      <c r="U52" s="459">
        <f>-H39+$H$43</f>
        <v>0.0042699999999999995</v>
      </c>
      <c r="V52" s="511">
        <f>-H40+$H$43</f>
        <v>0.0042699999999999995</v>
      </c>
      <c r="W52" s="570">
        <f t="shared" si="2"/>
        <v>-0.0027923529411764706</v>
      </c>
      <c r="X52" s="465">
        <f t="shared" si="3"/>
        <v>0.00047701584632699586</v>
      </c>
    </row>
    <row r="53" spans="1:24" s="481" customFormat="1" ht="12" customHeight="1">
      <c r="A53" s="456">
        <v>3333</v>
      </c>
      <c r="B53" s="25">
        <v>12000</v>
      </c>
      <c r="C53" s="25" t="s">
        <v>7</v>
      </c>
      <c r="D53" s="466">
        <f>-U16+$U$43</f>
        <v>-0.0031000000000000003</v>
      </c>
      <c r="E53" s="467">
        <f>-U18+$U$43</f>
        <v>-0.0031400000000000004</v>
      </c>
      <c r="F53" s="467">
        <f>-U19+$U$43</f>
        <v>-0.0032400000000000007</v>
      </c>
      <c r="G53" s="467">
        <f>-U20+$U$43</f>
        <v>-0.0034000000000000002</v>
      </c>
      <c r="H53" s="467">
        <f>-U22+$U$43</f>
        <v>-0.0015000000000000005</v>
      </c>
      <c r="I53" s="467">
        <f>-U23+$U$43</f>
        <v>-0.0029200000000000007</v>
      </c>
      <c r="J53" s="467">
        <f>-U24+$U$43</f>
        <v>-0.0030600000000000002</v>
      </c>
      <c r="K53" s="467">
        <f>-U26+$U$43</f>
        <v>-0.0029200000000000007</v>
      </c>
      <c r="L53" s="467">
        <f>-U27+$U$43</f>
        <v>-0.0031600000000000005</v>
      </c>
      <c r="M53" s="467">
        <f>-U28+$U$43</f>
        <v>-0.00336</v>
      </c>
      <c r="N53" s="467">
        <f>-U30+$U$43</f>
        <v>-0.0030600000000000002</v>
      </c>
      <c r="O53" s="467">
        <f>-U31+$U$43</f>
        <v>-0.00298</v>
      </c>
      <c r="P53" s="467">
        <f>-U32+$U$43</f>
        <v>-0.0031600000000000005</v>
      </c>
      <c r="Q53" s="467">
        <f>-U34+$U$43</f>
        <v>-0.00266</v>
      </c>
      <c r="R53" s="467">
        <f>-U35+$U$43</f>
        <v>-0.0018800000000000006</v>
      </c>
      <c r="S53" s="467">
        <f>-U36+$U$43</f>
        <v>-0.0034800000000000005</v>
      </c>
      <c r="T53" s="467">
        <f>-U38+$U$43</f>
        <v>-0.0024400000000000003</v>
      </c>
      <c r="U53" s="467">
        <f>-U39+$U$43</f>
        <v>0.00448</v>
      </c>
      <c r="V53" s="589">
        <f>-U40+$U$43</f>
        <v>0.00448</v>
      </c>
      <c r="W53" s="570">
        <f t="shared" si="2"/>
        <v>-0.0029094117647058826</v>
      </c>
      <c r="X53" s="465">
        <f t="shared" si="3"/>
        <v>0.0005287304439437363</v>
      </c>
    </row>
    <row r="54" spans="1:24" s="481" customFormat="1" ht="12" customHeight="1">
      <c r="A54" s="456">
        <v>4444</v>
      </c>
      <c r="B54" s="25">
        <v>14000</v>
      </c>
      <c r="C54" s="25" t="s">
        <v>9</v>
      </c>
      <c r="D54" s="458">
        <f>-J16+$J$43</f>
        <v>-0.004880000000000001</v>
      </c>
      <c r="E54" s="459">
        <f>-J18+$J$43</f>
        <v>-0.0052</v>
      </c>
      <c r="F54" s="459">
        <f>-J19+$J$43</f>
        <v>-0.0036799999999999992</v>
      </c>
      <c r="G54" s="459">
        <f>-J20+$J$43</f>
        <v>-0.0057</v>
      </c>
      <c r="H54" s="459">
        <f>-J22+$J$43</f>
        <v>-0.005379999999999999</v>
      </c>
      <c r="I54" s="459">
        <f>-J23+$J$43</f>
        <v>-0.00498</v>
      </c>
      <c r="J54" s="459">
        <f>-J24+$J$43</f>
        <v>-0.0050799999999999994</v>
      </c>
      <c r="K54" s="459">
        <f>-J26+$J$43</f>
        <v>-0.0047799999999999995</v>
      </c>
      <c r="L54" s="459">
        <f>-J27+$J$43</f>
        <v>-0.004920000000000001</v>
      </c>
      <c r="M54" s="459">
        <f>-J28+$J$43</f>
        <v>-0.0051199999999999996</v>
      </c>
      <c r="N54" s="459">
        <f>-J30+$J$43</f>
        <v>-0.004699999999999999</v>
      </c>
      <c r="O54" s="459">
        <f>-J31+$J$43</f>
        <v>-0.004960000000000001</v>
      </c>
      <c r="P54" s="459">
        <f>-J32+$J$43</f>
        <v>-0.005039999999999999</v>
      </c>
      <c r="Q54" s="459">
        <f>-J34+$J$43</f>
        <v>-0.0051199999999999996</v>
      </c>
      <c r="R54" s="459">
        <f>-J35+$J$43</f>
        <v>-0.00408</v>
      </c>
      <c r="S54" s="459">
        <f>-J36+$J$43</f>
        <v>-0.005220000000000001</v>
      </c>
      <c r="T54" s="459">
        <f>-J38+$J$43</f>
        <v>-0.0048000000000000004</v>
      </c>
      <c r="U54" s="459">
        <f>-J39+$J$43</f>
        <v>0.0066</v>
      </c>
      <c r="V54" s="511">
        <f>-J40+$J$43</f>
        <v>0.0066</v>
      </c>
      <c r="W54" s="570">
        <f t="shared" si="2"/>
        <v>-0.00492</v>
      </c>
      <c r="X54" s="465">
        <f t="shared" si="3"/>
        <v>0.00046373483802708565</v>
      </c>
    </row>
    <row r="55" spans="1:24" s="481" customFormat="1" ht="12" customHeight="1">
      <c r="A55" s="468">
        <v>4444</v>
      </c>
      <c r="B55" s="24">
        <v>14000</v>
      </c>
      <c r="C55" s="24" t="s">
        <v>7</v>
      </c>
      <c r="D55" s="470">
        <f>-W16+$W$43</f>
        <v>-0.0052</v>
      </c>
      <c r="E55" s="471">
        <f>-W18+$W$43</f>
        <v>-0.0051199999999999996</v>
      </c>
      <c r="F55" s="471">
        <f>-W19+$W$43</f>
        <v>-0.005260000000000001</v>
      </c>
      <c r="G55" s="471">
        <f>-W20+$W$43</f>
        <v>-0.005340000000000001</v>
      </c>
      <c r="H55" s="471">
        <f>-W22+$W$43</f>
        <v>-0.0035600000000000007</v>
      </c>
      <c r="I55" s="471">
        <f>-W23+$W$43</f>
        <v>-0.00502</v>
      </c>
      <c r="J55" s="471">
        <f>-W24+$W$43</f>
        <v>-0.00516</v>
      </c>
      <c r="K55" s="471">
        <f>-W26+$W$43</f>
        <v>-0.00498</v>
      </c>
      <c r="L55" s="471">
        <f>-W27+$W$43</f>
        <v>-0.00532</v>
      </c>
      <c r="M55" s="471">
        <f>-W28+$W$43</f>
        <v>-0.0054</v>
      </c>
      <c r="N55" s="471">
        <f>-W30+$W$43</f>
        <v>-0.0050799999999999994</v>
      </c>
      <c r="O55" s="471">
        <f>-W31+$W$43</f>
        <v>-0.0050799999999999994</v>
      </c>
      <c r="P55" s="471">
        <f>-W32+$W$43</f>
        <v>-0.00528</v>
      </c>
      <c r="Q55" s="471">
        <f>-W34+$W$43</f>
        <v>-0.0048000000000000004</v>
      </c>
      <c r="R55" s="471">
        <f>-W35+$W$43</f>
        <v>-0.00392</v>
      </c>
      <c r="S55" s="471">
        <f>-W36+$W$43</f>
        <v>-0.00566</v>
      </c>
      <c r="T55" s="471">
        <f>-W38+$W$43</f>
        <v>-0.004660000000000001</v>
      </c>
      <c r="U55" s="471">
        <f>-W39+$W$43</f>
        <v>0.00686</v>
      </c>
      <c r="V55" s="590">
        <f>-W40+$W$43</f>
        <v>0.00686</v>
      </c>
      <c r="W55" s="571">
        <f t="shared" si="2"/>
        <v>-0.004990588235294117</v>
      </c>
      <c r="X55" s="474">
        <f t="shared" si="3"/>
        <v>0.0005272152144551031</v>
      </c>
    </row>
    <row r="56" spans="1:24" s="481" customFormat="1" ht="12" customHeight="1">
      <c r="A56" s="25"/>
      <c r="B56" s="25"/>
      <c r="C56" s="25"/>
      <c r="D56" s="512"/>
      <c r="E56" s="512"/>
      <c r="F56" s="512"/>
      <c r="G56" s="512"/>
      <c r="H56" s="512"/>
      <c r="I56" s="512"/>
      <c r="J56" s="512"/>
      <c r="K56" s="512"/>
      <c r="L56" s="512"/>
      <c r="M56" s="512"/>
      <c r="N56" s="512"/>
      <c r="O56" s="512"/>
      <c r="P56" s="512"/>
      <c r="Q56" s="512"/>
      <c r="R56" s="512"/>
      <c r="S56" s="512"/>
      <c r="T56" s="512"/>
      <c r="U56" s="512"/>
      <c r="V56" s="512"/>
      <c r="W56" s="531"/>
      <c r="X56" s="532"/>
    </row>
    <row r="57" spans="1:24" s="481" customFormat="1" ht="12" customHeight="1">
      <c r="A57" s="25"/>
      <c r="B57" s="25"/>
      <c r="C57" s="25"/>
      <c r="D57" s="512"/>
      <c r="E57" s="512"/>
      <c r="F57" s="512"/>
      <c r="G57" s="512"/>
      <c r="H57" s="512"/>
      <c r="I57" s="512"/>
      <c r="J57" s="512"/>
      <c r="K57" s="512"/>
      <c r="L57" s="512"/>
      <c r="M57" s="512"/>
      <c r="N57" s="512"/>
      <c r="O57" s="512"/>
      <c r="P57" s="512"/>
      <c r="Q57" s="512"/>
      <c r="R57" s="512"/>
      <c r="S57" s="512"/>
      <c r="T57" s="512"/>
      <c r="U57" s="512"/>
      <c r="V57" s="512"/>
      <c r="W57" s="531"/>
      <c r="X57" s="532"/>
    </row>
    <row r="58" spans="1:24" s="481" customFormat="1" ht="12" customHeight="1">
      <c r="A58" s="67" t="s">
        <v>66</v>
      </c>
      <c r="B58" s="2"/>
      <c r="C58" s="2"/>
      <c r="D58" s="512"/>
      <c r="E58" s="512"/>
      <c r="F58" s="512"/>
      <c r="G58" s="512"/>
      <c r="H58" s="512"/>
      <c r="I58" s="512"/>
      <c r="J58" s="512"/>
      <c r="K58" s="512"/>
      <c r="L58" s="512"/>
      <c r="M58" s="512"/>
      <c r="N58" s="512"/>
      <c r="O58" s="512"/>
      <c r="P58" s="512"/>
      <c r="Q58" s="512"/>
      <c r="R58" s="512"/>
      <c r="S58" s="512"/>
      <c r="T58" s="512"/>
      <c r="U58" s="512"/>
      <c r="V58" s="512"/>
      <c r="W58" s="531"/>
      <c r="X58" s="532"/>
    </row>
    <row r="59" spans="1:26" s="143" customFormat="1" ht="12" customHeight="1">
      <c r="A59" s="144" t="s">
        <v>111</v>
      </c>
      <c r="B59" s="145"/>
      <c r="C59" s="146"/>
      <c r="D59" s="513">
        <v>1</v>
      </c>
      <c r="E59" s="514">
        <f aca="true" t="shared" si="4" ref="E59:N59">D59+1</f>
        <v>2</v>
      </c>
      <c r="F59" s="514">
        <f t="shared" si="4"/>
        <v>3</v>
      </c>
      <c r="G59" s="514">
        <f t="shared" si="4"/>
        <v>4</v>
      </c>
      <c r="H59" s="514">
        <f t="shared" si="4"/>
        <v>5</v>
      </c>
      <c r="I59" s="514">
        <f t="shared" si="4"/>
        <v>6</v>
      </c>
      <c r="J59" s="514">
        <f t="shared" si="4"/>
        <v>7</v>
      </c>
      <c r="K59" s="514">
        <f t="shared" si="4"/>
        <v>8</v>
      </c>
      <c r="L59" s="514">
        <f t="shared" si="4"/>
        <v>9</v>
      </c>
      <c r="M59" s="514">
        <f t="shared" si="4"/>
        <v>10</v>
      </c>
      <c r="N59" s="514">
        <f t="shared" si="4"/>
        <v>11</v>
      </c>
      <c r="O59" s="514">
        <f aca="true" t="shared" si="5" ref="O59:V59">N59+1</f>
        <v>12</v>
      </c>
      <c r="P59" s="514">
        <f t="shared" si="5"/>
        <v>13</v>
      </c>
      <c r="Q59" s="514">
        <f t="shared" si="5"/>
        <v>14</v>
      </c>
      <c r="R59" s="514">
        <f t="shared" si="5"/>
        <v>15</v>
      </c>
      <c r="S59" s="514">
        <f t="shared" si="5"/>
        <v>16</v>
      </c>
      <c r="T59" s="514">
        <f t="shared" si="5"/>
        <v>17</v>
      </c>
      <c r="U59" s="514">
        <f t="shared" si="5"/>
        <v>18</v>
      </c>
      <c r="V59" s="514">
        <f t="shared" si="5"/>
        <v>19</v>
      </c>
      <c r="W59" s="170" t="s">
        <v>0</v>
      </c>
      <c r="X59" s="535" t="s">
        <v>68</v>
      </c>
      <c r="Y59" s="481"/>
      <c r="Z59" s="145"/>
    </row>
    <row r="60" spans="1:26" s="49" customFormat="1" ht="12" customHeight="1">
      <c r="A60" s="82" t="s">
        <v>114</v>
      </c>
      <c r="B60" s="83"/>
      <c r="C60" s="421" t="s">
        <v>35</v>
      </c>
      <c r="D60" s="124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6"/>
      <c r="W60" s="121"/>
      <c r="X60" s="463"/>
      <c r="Y60" s="481"/>
      <c r="Z60" s="154"/>
    </row>
    <row r="61" spans="1:26" s="51" customFormat="1" ht="12" customHeight="1">
      <c r="A61" s="85">
        <v>8</v>
      </c>
      <c r="B61" s="86">
        <v>10</v>
      </c>
      <c r="C61" s="86" t="s">
        <v>9</v>
      </c>
      <c r="D61" s="85">
        <f aca="true" t="shared" si="6" ref="D61:M64">IF($C$4="inner",(-0.000001*($B50-$B48)/((D50-D48)/($G$6))),(-0.000001*($B50-$B48)/((D50-D48)/($I$6))))</f>
        <v>1.0050132062908577</v>
      </c>
      <c r="E61" s="86">
        <f t="shared" si="6"/>
        <v>1.0810682597398955</v>
      </c>
      <c r="F61" s="86">
        <f t="shared" si="6"/>
        <v>1.0152163860501557</v>
      </c>
      <c r="G61" s="86">
        <f t="shared" si="6"/>
        <v>1.0471080002716264</v>
      </c>
      <c r="H61" s="86">
        <f t="shared" si="6"/>
        <v>1.0152163860501557</v>
      </c>
      <c r="I61" s="86">
        <f t="shared" si="6"/>
        <v>0.9852099904033531</v>
      </c>
      <c r="J61" s="86">
        <f t="shared" si="6"/>
        <v>0.9950130748849784</v>
      </c>
      <c r="K61" s="86">
        <f t="shared" si="6"/>
        <v>0.97559818561893</v>
      </c>
      <c r="L61" s="86">
        <f t="shared" si="6"/>
        <v>0.9569264500089982</v>
      </c>
      <c r="M61" s="86">
        <f t="shared" si="6"/>
        <v>0.9852099904033531</v>
      </c>
      <c r="N61" s="86">
        <f aca="true" t="shared" si="7" ref="N61:V64">IF($C$4="inner",(-0.000001*($B50-$B48)/((N50-N48)/($G$6))),(-0.000001*($B50-$B48)/((N50-N48)/($I$6))))</f>
        <v>0.9569264500089982</v>
      </c>
      <c r="O61" s="86">
        <f t="shared" si="7"/>
        <v>0.9852099904033531</v>
      </c>
      <c r="P61" s="86">
        <f t="shared" si="7"/>
        <v>1.0152163860501557</v>
      </c>
      <c r="Q61" s="86">
        <f t="shared" si="7"/>
        <v>0.9661721161926604</v>
      </c>
      <c r="R61" s="86">
        <f t="shared" si="7"/>
        <v>0.9389560002435714</v>
      </c>
      <c r="S61" s="86">
        <f t="shared" si="7"/>
        <v>1.0256288618045162</v>
      </c>
      <c r="T61" s="86">
        <f t="shared" si="7"/>
        <v>0.9478560571179178</v>
      </c>
      <c r="U61" s="86">
        <f t="shared" si="7"/>
        <v>-0.8438718483201711</v>
      </c>
      <c r="V61" s="72">
        <f t="shared" si="7"/>
        <v>-0.8438718483201711</v>
      </c>
      <c r="W61" s="572">
        <f>AVERAGE(D61:T61)</f>
        <v>0.9939732818554987</v>
      </c>
      <c r="X61" s="573">
        <f>STDEV(D61:T61)</f>
        <v>0.037188076670014704</v>
      </c>
      <c r="Y61" s="177">
        <v>0.6592380291799633</v>
      </c>
      <c r="Z61" s="86"/>
    </row>
    <row r="62" spans="1:26" s="51" customFormat="1" ht="12" customHeight="1">
      <c r="A62" s="85">
        <v>8</v>
      </c>
      <c r="B62" s="86">
        <v>10</v>
      </c>
      <c r="C62" s="86" t="s">
        <v>7</v>
      </c>
      <c r="D62" s="85">
        <f t="shared" si="6"/>
        <v>1.0050132062908572</v>
      </c>
      <c r="E62" s="86">
        <f t="shared" si="6"/>
        <v>0.9852099904033531</v>
      </c>
      <c r="F62" s="86">
        <f t="shared" si="6"/>
        <v>1.069506032362998</v>
      </c>
      <c r="G62" s="86">
        <f t="shared" si="6"/>
        <v>1.0581885082110085</v>
      </c>
      <c r="H62" s="86">
        <f t="shared" si="6"/>
        <v>0.9569264500089982</v>
      </c>
      <c r="I62" s="86">
        <f t="shared" si="6"/>
        <v>1.0152163860501557</v>
      </c>
      <c r="J62" s="86">
        <f t="shared" si="6"/>
        <v>1.0152163860501555</v>
      </c>
      <c r="K62" s="86">
        <f t="shared" si="6"/>
        <v>1.0152163860501555</v>
      </c>
      <c r="L62" s="86">
        <f t="shared" si="6"/>
        <v>1.0050132062908574</v>
      </c>
      <c r="M62" s="86">
        <f t="shared" si="6"/>
        <v>1.025628861804516</v>
      </c>
      <c r="N62" s="86">
        <f t="shared" si="7"/>
        <v>0.9852099904033531</v>
      </c>
      <c r="O62" s="86">
        <f t="shared" si="7"/>
        <v>1.025628861804516</v>
      </c>
      <c r="P62" s="86">
        <f t="shared" si="7"/>
        <v>0.7604472549501166</v>
      </c>
      <c r="Q62" s="86">
        <f t="shared" si="7"/>
        <v>0.9569264500089982</v>
      </c>
      <c r="R62" s="86">
        <f t="shared" si="7"/>
        <v>0.9661721161926597</v>
      </c>
      <c r="S62" s="86">
        <f t="shared" si="7"/>
        <v>0.9950130748849781</v>
      </c>
      <c r="T62" s="86">
        <f t="shared" si="7"/>
        <v>0.8657905976271888</v>
      </c>
      <c r="U62" s="86">
        <f t="shared" si="7"/>
        <v>-0.82986567656382</v>
      </c>
      <c r="V62" s="72">
        <f t="shared" si="7"/>
        <v>-0.82986567656382</v>
      </c>
      <c r="W62" s="572">
        <f aca="true" t="shared" si="8" ref="W62:W68">AVERAGE(D62:T62)</f>
        <v>0.9827249270232274</v>
      </c>
      <c r="X62" s="573">
        <f aca="true" t="shared" si="9" ref="X62:X68">STDEV(D62:T62)</f>
        <v>0.07327913073223558</v>
      </c>
      <c r="Y62" s="177">
        <v>0.5497688153224163</v>
      </c>
      <c r="Z62" s="86"/>
    </row>
    <row r="63" spans="1:26" s="51" customFormat="1" ht="12" customHeight="1">
      <c r="A63" s="85">
        <v>10</v>
      </c>
      <c r="B63" s="86">
        <v>12</v>
      </c>
      <c r="C63" s="86" t="s">
        <v>9</v>
      </c>
      <c r="D63" s="85">
        <f t="shared" si="6"/>
        <v>0.8620587416029336</v>
      </c>
      <c r="E63" s="86">
        <f t="shared" si="6"/>
        <v>0.8695549045733935</v>
      </c>
      <c r="F63" s="86">
        <f t="shared" si="6"/>
        <v>0.8695549045733937</v>
      </c>
      <c r="G63" s="86">
        <f t="shared" si="6"/>
        <v>0.862058741602933</v>
      </c>
      <c r="H63" s="86">
        <f t="shared" si="6"/>
        <v>0.8620587416029336</v>
      </c>
      <c r="I63" s="86">
        <f t="shared" si="6"/>
        <v>0.8264364795532255</v>
      </c>
      <c r="J63" s="86">
        <f t="shared" si="6"/>
        <v>0.8264364795532254</v>
      </c>
      <c r="K63" s="86">
        <f t="shared" si="6"/>
        <v>0.8474475764910193</v>
      </c>
      <c r="L63" s="86">
        <f t="shared" si="6"/>
        <v>0.8264364795532253</v>
      </c>
      <c r="M63" s="86">
        <f t="shared" si="6"/>
        <v>0.8474475764910194</v>
      </c>
      <c r="N63" s="86">
        <f t="shared" si="7"/>
        <v>0.8264364795532254</v>
      </c>
      <c r="O63" s="86">
        <f t="shared" si="7"/>
        <v>0.8333234502161689</v>
      </c>
      <c r="P63" s="86">
        <f t="shared" si="7"/>
        <v>0.8264364795532254</v>
      </c>
      <c r="Q63" s="86">
        <f t="shared" si="7"/>
        <v>0.8333234502161689</v>
      </c>
      <c r="R63" s="86">
        <f t="shared" si="7"/>
        <v>0.793641381158256</v>
      </c>
      <c r="S63" s="86">
        <f t="shared" si="7"/>
        <v>0.8403261682852123</v>
      </c>
      <c r="T63" s="86">
        <f t="shared" si="7"/>
        <v>0.833323450216169</v>
      </c>
      <c r="U63" s="86">
        <f t="shared" si="7"/>
        <v>-1.010089030565054</v>
      </c>
      <c r="V63" s="72">
        <f t="shared" si="7"/>
        <v>-1.010089030565054</v>
      </c>
      <c r="W63" s="572">
        <f t="shared" si="8"/>
        <v>0.8403706755762193</v>
      </c>
      <c r="X63" s="573">
        <f t="shared" si="9"/>
        <v>0.020183762516149176</v>
      </c>
      <c r="Y63" s="177">
        <v>0.7566214107974003</v>
      </c>
      <c r="Z63" s="86"/>
    </row>
    <row r="64" spans="1:26" s="51" customFormat="1" ht="12" customHeight="1">
      <c r="A64" s="85">
        <v>10</v>
      </c>
      <c r="B64" s="86">
        <v>12</v>
      </c>
      <c r="C64" s="86" t="s">
        <v>7</v>
      </c>
      <c r="D64" s="85">
        <f t="shared" si="6"/>
        <v>0.85469071817043</v>
      </c>
      <c r="E64" s="86">
        <f t="shared" si="6"/>
        <v>0.8546907181704297</v>
      </c>
      <c r="F64" s="86">
        <f t="shared" si="6"/>
        <v>0.8403261682852124</v>
      </c>
      <c r="G64" s="86">
        <f t="shared" si="6"/>
        <v>0.8474475764910195</v>
      </c>
      <c r="H64" s="86">
        <f t="shared" si="6"/>
        <v>0.8474475764910195</v>
      </c>
      <c r="I64" s="86">
        <f t="shared" si="6"/>
        <v>0.8620587416029334</v>
      </c>
      <c r="J64" s="86">
        <f t="shared" si="6"/>
        <v>0.8474475764910195</v>
      </c>
      <c r="K64" s="86">
        <f t="shared" si="6"/>
        <v>0.8403261682852124</v>
      </c>
      <c r="L64" s="86">
        <f t="shared" si="6"/>
        <v>0.8695549045733938</v>
      </c>
      <c r="M64" s="86">
        <f t="shared" si="6"/>
        <v>0.8129984880157749</v>
      </c>
      <c r="N64" s="86">
        <f t="shared" si="7"/>
        <v>0.8333234502161692</v>
      </c>
      <c r="O64" s="86">
        <f t="shared" si="7"/>
        <v>0.8474475764910195</v>
      </c>
      <c r="P64" s="86">
        <f t="shared" si="7"/>
        <v>0.8403261682852124</v>
      </c>
      <c r="Q64" s="86">
        <f t="shared" si="7"/>
        <v>0.85469071817043</v>
      </c>
      <c r="R64" s="86">
        <f t="shared" si="7"/>
        <v>0.8333234502161692</v>
      </c>
      <c r="S64" s="86">
        <f t="shared" si="7"/>
        <v>0.8546907181704297</v>
      </c>
      <c r="T64" s="86">
        <f t="shared" si="7"/>
        <v>0.8264364795532255</v>
      </c>
      <c r="U64" s="86">
        <f t="shared" si="7"/>
        <v>-0.9900872675835676</v>
      </c>
      <c r="V64" s="72">
        <f t="shared" si="7"/>
        <v>-0.9900872675835676</v>
      </c>
      <c r="W64" s="572">
        <f t="shared" si="8"/>
        <v>0.8451310116281823</v>
      </c>
      <c r="X64" s="573">
        <f t="shared" si="9"/>
        <v>0.013693460143684416</v>
      </c>
      <c r="Y64" s="177">
        <v>0.6417410813310411</v>
      </c>
      <c r="Z64" s="86"/>
    </row>
    <row r="65" spans="1:26" s="51" customFormat="1" ht="12" customHeight="1">
      <c r="A65" s="85">
        <v>12</v>
      </c>
      <c r="B65" s="86">
        <v>14</v>
      </c>
      <c r="C65" s="86" t="s">
        <v>9</v>
      </c>
      <c r="D65" s="85">
        <f>IF($C$4="inner",(-0.000001*($B54-$B52)/((D54-D52)/($G$6))),(-0.000001*(#REF!-#REF!)/((D54-D52)/($I$6))))</f>
        <v>0.9852099904033527</v>
      </c>
      <c r="E65" s="86">
        <f>IF($C$4="inner",(-0.000001*($B54-$B52)/((E54-E52)/($G$6))),(-0.000001*(#REF!-#REF!)/((E54-E52)/($I$6))))</f>
        <v>0.9755981856189304</v>
      </c>
      <c r="F65" s="86">
        <f>IF($C$4="inner",(-0.000001*($B54-$B52)/((F54-F52)/($G$6))),(-0.000001*(#REF!-#REF!)/((F54-F52)/($I$6))))</f>
        <v>0.9569264500089987</v>
      </c>
      <c r="G65" s="86">
        <f>IF($C$4="inner",(-0.000001*($B54-$B52)/((G54-G52)/($G$6))),(-0.000001*(#REF!-#REF!)/((G54-G52)/($I$6))))</f>
        <v>0.9661721161926606</v>
      </c>
      <c r="H65" s="86">
        <f>IF($C$4="inner",(-0.000001*($B54-$B52)/((H54-H52)/($G$6))),(-0.000001*(#REF!-#REF!)/((H54-H52)/($I$6))))</f>
        <v>0.930221525822701</v>
      </c>
      <c r="I65" s="86">
        <f>IF($C$4="inner",(-0.000001*($B54-$B52)/((I54-I52)/($G$6))),(-0.000001*(#REF!-#REF!)/((I54-I52)/($I$6))))</f>
        <v>0.938956000243571</v>
      </c>
      <c r="J65" s="86">
        <f>IF($C$4="inner",(-0.000001*($B54-$B52)/((J54-J52)/($G$6))),(-0.000001*(#REF!-#REF!)/((J54-J52)/($I$6))))</f>
        <v>0.9216480555386207</v>
      </c>
      <c r="K65" s="86">
        <f>IF($C$4="inner",(-0.000001*($B54-$B52)/((K54-K52)/($G$6))),(-0.000001*(#REF!-#REF!)/((K54-K52)/($I$6))))</f>
        <v>0.9389560002435714</v>
      </c>
      <c r="L65" s="86">
        <f>IF($C$4="inner",(-0.000001*($B54-$B52)/((L54-L52)/($G$6))),(-0.000001*(#REF!-#REF!)/((L54-L52)/($I$6))))</f>
        <v>0.9302215258227007</v>
      </c>
      <c r="M65" s="86">
        <f>IF($C$4="inner",(-0.000001*($B54-$B52)/((M54-M52)/($G$6))),(-0.000001*(#REF!-#REF!)/((M54-M52)/($I$6))))</f>
        <v>0.9049666427686909</v>
      </c>
      <c r="N65" s="86">
        <f>IF($C$4="inner",(-0.000001*($B54-$B52)/((N54-N52)/($G$6))),(-0.000001*(#REF!-#REF!)/((N54-N52)/($I$6))))</f>
        <v>0.9478560571179182</v>
      </c>
      <c r="O65" s="86">
        <f>IF($C$4="inner",(-0.000001*($B54-$B52)/((O54-O52)/($G$6))),(-0.000001*(#REF!-#REF!)/((O54-O52)/($I$6))))</f>
        <v>0.938956000243571</v>
      </c>
      <c r="P65" s="86">
        <f>IF($C$4="inner",(-0.000001*($B54-$B52)/((P54-P52)/($G$6))),(-0.000001*(#REF!-#REF!)/((P54-P52)/($I$6))))</f>
        <v>0.9661721161926606</v>
      </c>
      <c r="Q65" s="86">
        <f>IF($C$4="inner",(-0.000001*($B54-$B52)/((Q54-Q52)/($G$6))),(-0.000001*(#REF!-#REF!)/((Q54-Q52)/($I$6))))</f>
        <v>0.9478560571179182</v>
      </c>
      <c r="R65" s="86">
        <f>IF($C$4="inner",(-0.000001*($B54-$B52)/((R54-R52)/($G$6))),(-0.000001*($B54-$B52)/((R54-R52)/($I$6))))</f>
        <v>0.8888783468972474</v>
      </c>
      <c r="S65" s="86">
        <f>IF($C$4="inner",(-0.000001*($B54-$B52)/((S54-S52)/($G$6))),(-0.000001*(#REF!-#REF!)/((S54-S52)/($I$6))))</f>
        <v>0.9132311783190896</v>
      </c>
      <c r="T65" s="86">
        <f>IF($C$4="inner",(-0.000001*($B54-$B52)/((T54-T52)/($G$6))),(-0.000001*(#REF!-#REF!)/((T54-T52)/($I$6))))</f>
        <v>0.938956000243571</v>
      </c>
      <c r="U65" s="86">
        <f>IF($C$4="inner",(-0.000001*($B54-$B52)/((U54-U52)/($G$6))),(-0.000001*(#REF!-#REF!)/((U54-U52)/($I$6))))</f>
        <v>-0.8583589186775991</v>
      </c>
      <c r="V65" s="72">
        <f>IF($C$4="inner",(-0.000001*($B54-$B52)/((V54-V52)/($G$6))),(-0.000001*(#REF!-#REF!)/((V54-V52)/($I$6))))</f>
        <v>-0.8583589186775991</v>
      </c>
      <c r="W65" s="572">
        <f t="shared" si="8"/>
        <v>0.9406342499291633</v>
      </c>
      <c r="X65" s="573">
        <f t="shared" si="9"/>
        <v>0.02521650599170131</v>
      </c>
      <c r="Y65" s="177">
        <v>0.5705052406586181</v>
      </c>
      <c r="Z65" s="86"/>
    </row>
    <row r="66" spans="1:26" s="51" customFormat="1" ht="12" customHeight="1">
      <c r="A66" s="85">
        <v>12</v>
      </c>
      <c r="B66" s="86">
        <v>14</v>
      </c>
      <c r="C66" s="86" t="s">
        <v>7</v>
      </c>
      <c r="D66" s="85">
        <f>IF($C$4="inner",(-0.000001*($B55-$B53)/((D55-D53)/($G$6))),(-0.000001*(#REF!-#REF!)/((D55-D53)/($I$6))))</f>
        <v>0.9523696573899079</v>
      </c>
      <c r="E66" s="86">
        <f>IF($C$4="inner",(-0.000001*($B55-$B53)/((E55-E53)/($G$6))),(-0.000001*(#REF!-#REF!)/((E55-E53)/($I$6))))</f>
        <v>1.010089030565054</v>
      </c>
      <c r="F66" s="86">
        <f>IF($C$4="inner",(-0.000001*($B55-$B53)/((F55-F53)/($G$6))),(-0.000001*(#REF!-#REF!)/((F55-F53)/($I$6))))</f>
        <v>0.9900872675835674</v>
      </c>
      <c r="G66" s="86">
        <f>IF($C$4="inner",(-0.000001*($B55-$B53)/((G55-G53)/($G$6))),(-0.000001*(#REF!-#REF!)/((G55-G53)/($I$6))))</f>
        <v>1.0309156085148483</v>
      </c>
      <c r="H66" s="86">
        <f>IF($C$4="inner",(-0.000001*($B55-$B53)/((H55-H53)/($G$6))),(-0.000001*(#REF!-#REF!)/((H55-H53)/($I$6))))</f>
        <v>0.9708622720965077</v>
      </c>
      <c r="I66" s="86">
        <f>IF($C$4="inner",(-0.000001*($B55-$B53)/((I55-I53)/($G$6))),(-0.000001*(#REF!-#REF!)/((I55-I53)/($I$6))))</f>
        <v>0.9523696573899079</v>
      </c>
      <c r="J66" s="86">
        <f>IF($C$4="inner",(-0.000001*($B55-$B53)/((J55-J53)/($G$6))),(-0.000001*(#REF!-#REF!)/((J55-J53)/($I$6))))</f>
        <v>0.9523696573899079</v>
      </c>
      <c r="K66" s="86">
        <f>IF($C$4="inner",(-0.000001*($B55-$B53)/((K55-K53)/($G$6))),(-0.000001*(#REF!-#REF!)/((K55-K53)/($I$6))))</f>
        <v>0.9708622720965081</v>
      </c>
      <c r="L66" s="86">
        <f>IF($C$4="inner",(-0.000001*($B55-$B53)/((L55-L53)/($G$6))),(-0.000001*(#REF!-#REF!)/((L55-L53)/($I$6))))</f>
        <v>0.9259149446846328</v>
      </c>
      <c r="M66" s="86">
        <f>IF($C$4="inner",(-0.000001*($B55-$B53)/((M55-M53)/($G$6))),(-0.000001*(#REF!-#REF!)/((M55-M53)/($I$6))))</f>
        <v>0.9803805296660815</v>
      </c>
      <c r="N66" s="86">
        <f>IF($C$4="inner",(-0.000001*($B55-$B53)/((N55-N53)/($G$6))),(-0.000001*(#REF!-#REF!)/((N55-N53)/($I$6))))</f>
        <v>0.9900872675835678</v>
      </c>
      <c r="O66" s="86">
        <f>IF($C$4="inner",(-0.000001*($B55-$B53)/((O55-O53)/($G$6))),(-0.000001*(#REF!-#REF!)/((O55-O53)/($I$6))))</f>
        <v>0.9523696573899079</v>
      </c>
      <c r="P66" s="86">
        <f>IF($C$4="inner",(-0.000001*($B55-$B53)/((P55-P53)/($G$6))),(-0.000001*(#REF!-#REF!)/((P55-P53)/($I$6))))</f>
        <v>0.9433850379805693</v>
      </c>
      <c r="Q66" s="86">
        <f>IF($C$4="inner",(-0.000001*($B55-$B53)/((Q55-Q53)/($G$6))),(-0.000001*(#REF!-#REF!)/((Q55-Q53)/($I$6))))</f>
        <v>0.9345683553826195</v>
      </c>
      <c r="R66" s="86">
        <f>IF($C$4="inner",(-0.000001*($B55-$B53)/((R55-R53)/($G$6))),(-0.000001*($B55-$B53)/((R55-R53)/($I$6))))</f>
        <v>0.9803805296660819</v>
      </c>
      <c r="S66" s="86">
        <f>IF($C$4="inner",(-0.000001*($B55-$B53)/((S55-S53)/($G$6))),(-0.000001*(#REF!-#REF!)/((S55-S53)/($I$6))))</f>
        <v>0.9174203121645901</v>
      </c>
      <c r="T66" s="86">
        <f>IF($C$4="inner",(-0.000001*($B55-$B53)/((T55-T53)/($G$6))),(-0.000001*(#REF!-#REF!)/((T55-T53)/($I$6))))</f>
        <v>0.9008902164499124</v>
      </c>
      <c r="U66" s="86">
        <f>IF($C$4="inner",(-0.000001*($B55-$B53)/((U55-U53)/($G$6))),(-0.000001*(#REF!-#REF!)/((U55-U53)/($I$6))))</f>
        <v>-0.8403261682852126</v>
      </c>
      <c r="V66" s="72">
        <f>IF($C$4="inner",(-0.000001*($B55-$B53)/((V55-V53)/($G$6))),(-0.000001*(#REF!-#REF!)/((V55-V53)/($I$6))))</f>
        <v>-0.8403261682852126</v>
      </c>
      <c r="W66" s="572">
        <f t="shared" si="8"/>
        <v>0.9620777808231868</v>
      </c>
      <c r="X66" s="573">
        <f t="shared" si="9"/>
        <v>0.03350955194833613</v>
      </c>
      <c r="Y66" s="177">
        <v>0.6714426174840732</v>
      </c>
      <c r="Z66" s="86"/>
    </row>
    <row r="67" spans="1:26" s="51" customFormat="1" ht="12" customHeight="1">
      <c r="A67" s="85">
        <v>10</v>
      </c>
      <c r="B67" s="86">
        <v>14</v>
      </c>
      <c r="C67" s="86" t="s">
        <v>9</v>
      </c>
      <c r="D67" s="85">
        <f aca="true" t="shared" si="10" ref="D67:M68">IF($C$4="inner",(-0.000001*($B54-$B50)/((D54-D50)/($G$6))),(-0.000001*($B54-$B50)/((D54-D50)/($I$6))))</f>
        <v>0.9195293243764624</v>
      </c>
      <c r="E67" s="86">
        <f t="shared" si="10"/>
        <v>0.9195293243764627</v>
      </c>
      <c r="F67" s="86">
        <f t="shared" si="10"/>
        <v>0.9111509250655153</v>
      </c>
      <c r="G67" s="86">
        <f t="shared" si="10"/>
        <v>0.9111509250655152</v>
      </c>
      <c r="H67" s="86">
        <f t="shared" si="10"/>
        <v>0.8948439733864905</v>
      </c>
      <c r="I67" s="86">
        <f t="shared" si="10"/>
        <v>0.8791104529752993</v>
      </c>
      <c r="J67" s="86">
        <f t="shared" si="10"/>
        <v>0.8714493597031835</v>
      </c>
      <c r="K67" s="86">
        <f t="shared" si="10"/>
        <v>0.8908580314114949</v>
      </c>
      <c r="L67" s="86">
        <f t="shared" si="10"/>
        <v>0.8752631424589958</v>
      </c>
      <c r="M67" s="86">
        <f t="shared" si="10"/>
        <v>0.8752631424589962</v>
      </c>
      <c r="N67" s="86">
        <f aca="true" t="shared" si="11" ref="N67:V68">IF($C$4="inner",(-0.000001*($B54-$B50)/((N54-N50)/($G$6))),(-0.000001*($B54-$B50)/((N54-N50)/($I$6))))</f>
        <v>0.8829917353283914</v>
      </c>
      <c r="O67" s="86">
        <f t="shared" si="11"/>
        <v>0.882991735328391</v>
      </c>
      <c r="P67" s="86">
        <f t="shared" si="11"/>
        <v>0.8908580314114951</v>
      </c>
      <c r="Q67" s="86">
        <f t="shared" si="11"/>
        <v>0.8869074414717545</v>
      </c>
      <c r="R67" s="86">
        <f t="shared" si="11"/>
        <v>0.8385644782049501</v>
      </c>
      <c r="S67" s="86">
        <f t="shared" si="11"/>
        <v>0.8752631424589958</v>
      </c>
      <c r="T67" s="86">
        <f t="shared" si="11"/>
        <v>0.882991735328391</v>
      </c>
      <c r="U67" s="86">
        <f t="shared" si="11"/>
        <v>-0.9280632392198638</v>
      </c>
      <c r="V67" s="72">
        <f t="shared" si="11"/>
        <v>-0.9280632392198638</v>
      </c>
      <c r="W67" s="572">
        <f t="shared" si="8"/>
        <v>0.8875715824006343</v>
      </c>
      <c r="X67" s="573">
        <f t="shared" si="9"/>
        <v>0.020124808554905352</v>
      </c>
      <c r="Y67" s="177">
        <v>0.6503348931170524</v>
      </c>
      <c r="Z67" s="86"/>
    </row>
    <row r="68" spans="1:26" s="51" customFormat="1" ht="12" customHeight="1">
      <c r="A68" s="87">
        <v>10</v>
      </c>
      <c r="B68" s="88">
        <v>14</v>
      </c>
      <c r="C68" s="88" t="s">
        <v>7</v>
      </c>
      <c r="D68" s="87">
        <f t="shared" si="10"/>
        <v>0.9008902164499127</v>
      </c>
      <c r="E68" s="88">
        <f t="shared" si="10"/>
        <v>0.9259149446846328</v>
      </c>
      <c r="F68" s="88">
        <f t="shared" si="10"/>
        <v>0.909080127508548</v>
      </c>
      <c r="G68" s="88">
        <f t="shared" si="10"/>
        <v>0.9302215258227005</v>
      </c>
      <c r="H68" s="88">
        <f t="shared" si="10"/>
        <v>0.9049666427686905</v>
      </c>
      <c r="I68" s="88">
        <f t="shared" si="10"/>
        <v>0.9049666427686905</v>
      </c>
      <c r="J68" s="88">
        <f t="shared" si="10"/>
        <v>0.8968503500084335</v>
      </c>
      <c r="K68" s="88">
        <f t="shared" si="10"/>
        <v>0.9008902164499127</v>
      </c>
      <c r="L68" s="88">
        <f t="shared" si="10"/>
        <v>0.8968503500084333</v>
      </c>
      <c r="M68" s="88">
        <f t="shared" si="10"/>
        <v>0.8888783468972471</v>
      </c>
      <c r="N68" s="88">
        <f t="shared" si="11"/>
        <v>0.9049666427686907</v>
      </c>
      <c r="O68" s="88">
        <f t="shared" si="11"/>
        <v>0.8968503500084335</v>
      </c>
      <c r="P68" s="88">
        <f t="shared" si="11"/>
        <v>0.8888783468972471</v>
      </c>
      <c r="Q68" s="88">
        <f t="shared" si="11"/>
        <v>0.8928465538030385</v>
      </c>
      <c r="R68" s="88">
        <f t="shared" si="11"/>
        <v>0.9008902164499127</v>
      </c>
      <c r="S68" s="88">
        <f t="shared" si="11"/>
        <v>0.8849452568667284</v>
      </c>
      <c r="T68" s="88">
        <f t="shared" si="11"/>
        <v>0.8620587416029336</v>
      </c>
      <c r="U68" s="88">
        <f t="shared" si="11"/>
        <v>-0.9090801275085485</v>
      </c>
      <c r="V68" s="89">
        <f t="shared" si="11"/>
        <v>-0.9090801275085485</v>
      </c>
      <c r="W68" s="574">
        <f t="shared" si="8"/>
        <v>0.8994673806920109</v>
      </c>
      <c r="X68" s="575">
        <f t="shared" si="9"/>
        <v>0.015275451200300336</v>
      </c>
      <c r="Y68" s="177">
        <v>0.655979508273607</v>
      </c>
      <c r="Z68" s="88"/>
    </row>
    <row r="69" spans="1:26" s="49" customFormat="1" ht="12" customHeight="1">
      <c r="A69" s="3"/>
      <c r="B69" s="3"/>
      <c r="C69" s="3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Y69" s="481"/>
      <c r="Z69" s="3"/>
    </row>
    <row r="70" spans="1:31" s="49" customFormat="1" ht="12" customHeight="1">
      <c r="A70" s="67" t="s">
        <v>69</v>
      </c>
      <c r="D70" s="462" t="str">
        <f>$C$3</f>
        <v>I-001 4th sizing</v>
      </c>
      <c r="E70" s="462"/>
      <c r="F70" s="462" t="str">
        <f>$C$4</f>
        <v>inner</v>
      </c>
      <c r="G70" s="462" t="s">
        <v>115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7"/>
      <c r="Y70" s="481"/>
      <c r="AA70" s="67" t="s">
        <v>69</v>
      </c>
      <c r="AD70" s="51" t="str">
        <f>D70</f>
        <v>I-001 4th sizing</v>
      </c>
      <c r="AE70" s="51" t="str">
        <f>F70</f>
        <v>inner</v>
      </c>
    </row>
    <row r="71" spans="1:31" s="173" customFormat="1" ht="12" customHeight="1">
      <c r="A71" s="144" t="s">
        <v>116</v>
      </c>
      <c r="B71" s="141"/>
      <c r="C71" s="142"/>
      <c r="D71" s="170">
        <v>1</v>
      </c>
      <c r="E71" s="171">
        <f aca="true" t="shared" si="12" ref="E71:N71">D71+1</f>
        <v>2</v>
      </c>
      <c r="F71" s="171">
        <f t="shared" si="12"/>
        <v>3</v>
      </c>
      <c r="G71" s="171">
        <f t="shared" si="12"/>
        <v>4</v>
      </c>
      <c r="H71" s="171">
        <f t="shared" si="12"/>
        <v>5</v>
      </c>
      <c r="I71" s="171">
        <f t="shared" si="12"/>
        <v>6</v>
      </c>
      <c r="J71" s="171">
        <f t="shared" si="12"/>
        <v>7</v>
      </c>
      <c r="K71" s="171">
        <f t="shared" si="12"/>
        <v>8</v>
      </c>
      <c r="L71" s="171">
        <f t="shared" si="12"/>
        <v>9</v>
      </c>
      <c r="M71" s="171">
        <f t="shared" si="12"/>
        <v>10</v>
      </c>
      <c r="N71" s="171">
        <f t="shared" si="12"/>
        <v>11</v>
      </c>
      <c r="O71" s="171">
        <f aca="true" t="shared" si="13" ref="O71:V71">N71+1</f>
        <v>12</v>
      </c>
      <c r="P71" s="171">
        <f t="shared" si="13"/>
        <v>13</v>
      </c>
      <c r="Q71" s="171">
        <f t="shared" si="13"/>
        <v>14</v>
      </c>
      <c r="R71" s="171">
        <f t="shared" si="13"/>
        <v>15</v>
      </c>
      <c r="S71" s="171">
        <f t="shared" si="13"/>
        <v>16</v>
      </c>
      <c r="T71" s="171">
        <f t="shared" si="13"/>
        <v>17</v>
      </c>
      <c r="U71" s="171">
        <f t="shared" si="13"/>
        <v>18</v>
      </c>
      <c r="V71" s="171">
        <f t="shared" si="13"/>
        <v>19</v>
      </c>
      <c r="W71" s="171" t="s">
        <v>0</v>
      </c>
      <c r="X71" s="172" t="s">
        <v>117</v>
      </c>
      <c r="Y71" s="481"/>
      <c r="Z71" s="148"/>
      <c r="AA71" s="144" t="s">
        <v>116</v>
      </c>
      <c r="AB71" s="141"/>
      <c r="AC71" s="142"/>
      <c r="AD71" s="171" t="s">
        <v>0</v>
      </c>
      <c r="AE71" s="172" t="s">
        <v>117</v>
      </c>
    </row>
    <row r="72" spans="1:31" s="173" customFormat="1" ht="12" customHeight="1">
      <c r="A72" s="144" t="s">
        <v>118</v>
      </c>
      <c r="B72" s="141"/>
      <c r="C72" s="142"/>
      <c r="D72" s="170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2"/>
      <c r="Y72" s="481"/>
      <c r="Z72" s="148"/>
      <c r="AA72" s="144" t="s">
        <v>118</v>
      </c>
      <c r="AB72" s="141"/>
      <c r="AC72" s="142"/>
      <c r="AD72" s="171"/>
      <c r="AE72" s="172"/>
    </row>
    <row r="73" spans="1:31" s="49" customFormat="1" ht="12" customHeight="1">
      <c r="A73" s="82" t="s">
        <v>114</v>
      </c>
      <c r="B73" s="83"/>
      <c r="C73" s="421" t="s">
        <v>35</v>
      </c>
      <c r="D73" s="124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6"/>
      <c r="W73" s="151"/>
      <c r="X73" s="129"/>
      <c r="Y73" s="481"/>
      <c r="Z73" s="154"/>
      <c r="AA73" s="82" t="s">
        <v>114</v>
      </c>
      <c r="AB73" s="83"/>
      <c r="AC73" s="84" t="s">
        <v>35</v>
      </c>
      <c r="AD73" s="151"/>
      <c r="AE73" s="129"/>
    </row>
    <row r="74" spans="1:31" s="51" customFormat="1" ht="12" customHeight="1">
      <c r="A74" s="71">
        <f aca="true" t="shared" si="14" ref="A74:B81">A61</f>
        <v>8</v>
      </c>
      <c r="B74" s="56">
        <f t="shared" si="14"/>
        <v>10</v>
      </c>
      <c r="C74" s="86" t="s">
        <v>6</v>
      </c>
      <c r="D74" s="80">
        <f aca="true" t="shared" si="15" ref="D74:T74">D61</f>
        <v>1.0050132062908577</v>
      </c>
      <c r="E74" s="81">
        <f t="shared" si="15"/>
        <v>1.0810682597398955</v>
      </c>
      <c r="F74" s="81">
        <f t="shared" si="15"/>
        <v>1.0152163860501557</v>
      </c>
      <c r="G74" s="81">
        <f t="shared" si="15"/>
        <v>1.0471080002716264</v>
      </c>
      <c r="H74" s="81">
        <f t="shared" si="15"/>
        <v>1.0152163860501557</v>
      </c>
      <c r="I74" s="81">
        <f t="shared" si="15"/>
        <v>0.9852099904033531</v>
      </c>
      <c r="J74" s="81">
        <f t="shared" si="15"/>
        <v>0.9950130748849784</v>
      </c>
      <c r="K74" s="81">
        <f t="shared" si="15"/>
        <v>0.97559818561893</v>
      </c>
      <c r="L74" s="81">
        <f t="shared" si="15"/>
        <v>0.9569264500089982</v>
      </c>
      <c r="M74" s="81">
        <f t="shared" si="15"/>
        <v>0.9852099904033531</v>
      </c>
      <c r="N74" s="81">
        <f t="shared" si="15"/>
        <v>0.9569264500089982</v>
      </c>
      <c r="O74" s="81">
        <f t="shared" si="15"/>
        <v>0.9852099904033531</v>
      </c>
      <c r="P74" s="81">
        <f t="shared" si="15"/>
        <v>1.0152163860501557</v>
      </c>
      <c r="Q74" s="81">
        <f t="shared" si="15"/>
        <v>0.9661721161926604</v>
      </c>
      <c r="R74" s="81">
        <f t="shared" si="15"/>
        <v>0.9389560002435714</v>
      </c>
      <c r="S74" s="81">
        <f t="shared" si="15"/>
        <v>1.0256288618045162</v>
      </c>
      <c r="T74" s="81">
        <f t="shared" si="15"/>
        <v>0.9478560571179178</v>
      </c>
      <c r="U74" s="460"/>
      <c r="V74" s="464"/>
      <c r="W74" s="86">
        <f>W61</f>
        <v>0.9939732818554987</v>
      </c>
      <c r="X74" s="412">
        <f>X61</f>
        <v>0.037188076670014704</v>
      </c>
      <c r="Y74" s="481"/>
      <c r="Z74" s="86"/>
      <c r="AA74" s="71">
        <f aca="true" t="shared" si="16" ref="AA74:AB81">A74</f>
        <v>8</v>
      </c>
      <c r="AB74" s="56">
        <f t="shared" si="16"/>
        <v>10</v>
      </c>
      <c r="AC74" s="72" t="s">
        <v>9</v>
      </c>
      <c r="AD74" s="86">
        <f aca="true" t="shared" si="17" ref="AD74:AE81">W74</f>
        <v>0.9939732818554987</v>
      </c>
      <c r="AE74" s="72">
        <f t="shared" si="17"/>
        <v>0.037188076670014704</v>
      </c>
    </row>
    <row r="75" spans="1:31" s="51" customFormat="1" ht="12" customHeight="1">
      <c r="A75" s="71">
        <f t="shared" si="14"/>
        <v>8</v>
      </c>
      <c r="B75" s="56">
        <f t="shared" si="14"/>
        <v>10</v>
      </c>
      <c r="C75" s="86" t="s">
        <v>8</v>
      </c>
      <c r="D75" s="80">
        <f aca="true" t="shared" si="18" ref="D75:W75">D62</f>
        <v>1.0050132062908572</v>
      </c>
      <c r="E75" s="81">
        <f t="shared" si="18"/>
        <v>0.9852099904033531</v>
      </c>
      <c r="F75" s="81">
        <f t="shared" si="18"/>
        <v>1.069506032362998</v>
      </c>
      <c r="G75" s="81">
        <f t="shared" si="18"/>
        <v>1.0581885082110085</v>
      </c>
      <c r="H75" s="81">
        <f t="shared" si="18"/>
        <v>0.9569264500089982</v>
      </c>
      <c r="I75" s="81">
        <f t="shared" si="18"/>
        <v>1.0152163860501557</v>
      </c>
      <c r="J75" s="81">
        <f t="shared" si="18"/>
        <v>1.0152163860501555</v>
      </c>
      <c r="K75" s="81">
        <f t="shared" si="18"/>
        <v>1.0152163860501555</v>
      </c>
      <c r="L75" s="81">
        <f t="shared" si="18"/>
        <v>1.0050132062908574</v>
      </c>
      <c r="M75" s="81">
        <f t="shared" si="18"/>
        <v>1.025628861804516</v>
      </c>
      <c r="N75" s="81">
        <f t="shared" si="18"/>
        <v>0.9852099904033531</v>
      </c>
      <c r="O75" s="81">
        <f t="shared" si="18"/>
        <v>1.025628861804516</v>
      </c>
      <c r="P75" s="81">
        <f t="shared" si="18"/>
        <v>0.7604472549501166</v>
      </c>
      <c r="Q75" s="81">
        <f t="shared" si="18"/>
        <v>0.9569264500089982</v>
      </c>
      <c r="R75" s="81">
        <f t="shared" si="18"/>
        <v>0.9661721161926597</v>
      </c>
      <c r="S75" s="81">
        <f t="shared" si="18"/>
        <v>0.9950130748849781</v>
      </c>
      <c r="T75" s="81">
        <f t="shared" si="18"/>
        <v>0.8657905976271888</v>
      </c>
      <c r="U75" s="460"/>
      <c r="V75" s="464"/>
      <c r="W75" s="86">
        <f t="shared" si="18"/>
        <v>0.9827249270232274</v>
      </c>
      <c r="X75" s="412">
        <f aca="true" t="shared" si="19" ref="X75:X81">X62</f>
        <v>0.07327913073223558</v>
      </c>
      <c r="Y75" s="481"/>
      <c r="Z75" s="86"/>
      <c r="AA75" s="71">
        <f t="shared" si="16"/>
        <v>8</v>
      </c>
      <c r="AB75" s="56">
        <f t="shared" si="16"/>
        <v>10</v>
      </c>
      <c r="AC75" s="72" t="s">
        <v>7</v>
      </c>
      <c r="AD75" s="86">
        <f t="shared" si="17"/>
        <v>0.9827249270232274</v>
      </c>
      <c r="AE75" s="72">
        <f t="shared" si="17"/>
        <v>0.07327913073223558</v>
      </c>
    </row>
    <row r="76" spans="1:31" s="51" customFormat="1" ht="12" customHeight="1">
      <c r="A76" s="71">
        <f t="shared" si="14"/>
        <v>10</v>
      </c>
      <c r="B76" s="56">
        <f t="shared" si="14"/>
        <v>12</v>
      </c>
      <c r="C76" s="86" t="s">
        <v>6</v>
      </c>
      <c r="D76" s="80">
        <f aca="true" t="shared" si="20" ref="D76:W76">D63</f>
        <v>0.8620587416029336</v>
      </c>
      <c r="E76" s="81">
        <f t="shared" si="20"/>
        <v>0.8695549045733935</v>
      </c>
      <c r="F76" s="81">
        <f t="shared" si="20"/>
        <v>0.8695549045733937</v>
      </c>
      <c r="G76" s="81">
        <f t="shared" si="20"/>
        <v>0.862058741602933</v>
      </c>
      <c r="H76" s="81">
        <f t="shared" si="20"/>
        <v>0.8620587416029336</v>
      </c>
      <c r="I76" s="81">
        <f t="shared" si="20"/>
        <v>0.8264364795532255</v>
      </c>
      <c r="J76" s="81">
        <f t="shared" si="20"/>
        <v>0.8264364795532254</v>
      </c>
      <c r="K76" s="81">
        <f t="shared" si="20"/>
        <v>0.8474475764910193</v>
      </c>
      <c r="L76" s="81">
        <f t="shared" si="20"/>
        <v>0.8264364795532253</v>
      </c>
      <c r="M76" s="81">
        <f t="shared" si="20"/>
        <v>0.8474475764910194</v>
      </c>
      <c r="N76" s="81">
        <f t="shared" si="20"/>
        <v>0.8264364795532254</v>
      </c>
      <c r="O76" s="81">
        <f t="shared" si="20"/>
        <v>0.8333234502161689</v>
      </c>
      <c r="P76" s="81">
        <f t="shared" si="20"/>
        <v>0.8264364795532254</v>
      </c>
      <c r="Q76" s="81">
        <f t="shared" si="20"/>
        <v>0.8333234502161689</v>
      </c>
      <c r="R76" s="81">
        <f t="shared" si="20"/>
        <v>0.793641381158256</v>
      </c>
      <c r="S76" s="81">
        <f t="shared" si="20"/>
        <v>0.8403261682852123</v>
      </c>
      <c r="T76" s="81">
        <f t="shared" si="20"/>
        <v>0.833323450216169</v>
      </c>
      <c r="U76" s="460"/>
      <c r="V76" s="464"/>
      <c r="W76" s="86">
        <f t="shared" si="20"/>
        <v>0.8403706755762193</v>
      </c>
      <c r="X76" s="412">
        <f t="shared" si="19"/>
        <v>0.020183762516149176</v>
      </c>
      <c r="Y76" s="481"/>
      <c r="Z76" s="86"/>
      <c r="AA76" s="71">
        <f t="shared" si="16"/>
        <v>10</v>
      </c>
      <c r="AB76" s="56">
        <f t="shared" si="16"/>
        <v>12</v>
      </c>
      <c r="AC76" s="72" t="s">
        <v>9</v>
      </c>
      <c r="AD76" s="86">
        <f t="shared" si="17"/>
        <v>0.8403706755762193</v>
      </c>
      <c r="AE76" s="72">
        <f t="shared" si="17"/>
        <v>0.020183762516149176</v>
      </c>
    </row>
    <row r="77" spans="1:31" s="51" customFormat="1" ht="12" customHeight="1">
      <c r="A77" s="71">
        <f t="shared" si="14"/>
        <v>10</v>
      </c>
      <c r="B77" s="56">
        <f t="shared" si="14"/>
        <v>12</v>
      </c>
      <c r="C77" s="86" t="s">
        <v>8</v>
      </c>
      <c r="D77" s="80">
        <f aca="true" t="shared" si="21" ref="D77:W77">D64</f>
        <v>0.85469071817043</v>
      </c>
      <c r="E77" s="81">
        <f t="shared" si="21"/>
        <v>0.8546907181704297</v>
      </c>
      <c r="F77" s="81">
        <f t="shared" si="21"/>
        <v>0.8403261682852124</v>
      </c>
      <c r="G77" s="81">
        <f t="shared" si="21"/>
        <v>0.8474475764910195</v>
      </c>
      <c r="H77" s="81">
        <f t="shared" si="21"/>
        <v>0.8474475764910195</v>
      </c>
      <c r="I77" s="81">
        <f t="shared" si="21"/>
        <v>0.8620587416029334</v>
      </c>
      <c r="J77" s="81">
        <f t="shared" si="21"/>
        <v>0.8474475764910195</v>
      </c>
      <c r="K77" s="81">
        <f t="shared" si="21"/>
        <v>0.8403261682852124</v>
      </c>
      <c r="L77" s="81">
        <f t="shared" si="21"/>
        <v>0.8695549045733938</v>
      </c>
      <c r="M77" s="81">
        <f t="shared" si="21"/>
        <v>0.8129984880157749</v>
      </c>
      <c r="N77" s="81">
        <f t="shared" si="21"/>
        <v>0.8333234502161692</v>
      </c>
      <c r="O77" s="81">
        <f t="shared" si="21"/>
        <v>0.8474475764910195</v>
      </c>
      <c r="P77" s="81">
        <f t="shared" si="21"/>
        <v>0.8403261682852124</v>
      </c>
      <c r="Q77" s="81">
        <f t="shared" si="21"/>
        <v>0.85469071817043</v>
      </c>
      <c r="R77" s="81">
        <f t="shared" si="21"/>
        <v>0.8333234502161692</v>
      </c>
      <c r="S77" s="81">
        <f t="shared" si="21"/>
        <v>0.8546907181704297</v>
      </c>
      <c r="T77" s="81">
        <f t="shared" si="21"/>
        <v>0.8264364795532255</v>
      </c>
      <c r="U77" s="460"/>
      <c r="V77" s="464"/>
      <c r="W77" s="86">
        <f t="shared" si="21"/>
        <v>0.8451310116281823</v>
      </c>
      <c r="X77" s="412">
        <f t="shared" si="19"/>
        <v>0.013693460143684416</v>
      </c>
      <c r="Y77" s="481"/>
      <c r="Z77" s="86"/>
      <c r="AA77" s="71">
        <f t="shared" si="16"/>
        <v>10</v>
      </c>
      <c r="AB77" s="56">
        <f t="shared" si="16"/>
        <v>12</v>
      </c>
      <c r="AC77" s="72" t="s">
        <v>7</v>
      </c>
      <c r="AD77" s="86">
        <f t="shared" si="17"/>
        <v>0.8451310116281823</v>
      </c>
      <c r="AE77" s="72">
        <f t="shared" si="17"/>
        <v>0.013693460143684416</v>
      </c>
    </row>
    <row r="78" spans="1:31" s="51" customFormat="1" ht="12" customHeight="1">
      <c r="A78" s="71">
        <f t="shared" si="14"/>
        <v>12</v>
      </c>
      <c r="B78" s="56">
        <f t="shared" si="14"/>
        <v>14</v>
      </c>
      <c r="C78" s="86" t="s">
        <v>6</v>
      </c>
      <c r="D78" s="80">
        <f aca="true" t="shared" si="22" ref="D78:W78">D65</f>
        <v>0.9852099904033527</v>
      </c>
      <c r="E78" s="81">
        <f t="shared" si="22"/>
        <v>0.9755981856189304</v>
      </c>
      <c r="F78" s="81">
        <f t="shared" si="22"/>
        <v>0.9569264500089987</v>
      </c>
      <c r="G78" s="81">
        <f t="shared" si="22"/>
        <v>0.9661721161926606</v>
      </c>
      <c r="H78" s="81">
        <f t="shared" si="22"/>
        <v>0.930221525822701</v>
      </c>
      <c r="I78" s="81">
        <f t="shared" si="22"/>
        <v>0.938956000243571</v>
      </c>
      <c r="J78" s="81">
        <f t="shared" si="22"/>
        <v>0.9216480555386207</v>
      </c>
      <c r="K78" s="81">
        <f t="shared" si="22"/>
        <v>0.9389560002435714</v>
      </c>
      <c r="L78" s="81">
        <f t="shared" si="22"/>
        <v>0.9302215258227007</v>
      </c>
      <c r="M78" s="81">
        <f t="shared" si="22"/>
        <v>0.9049666427686909</v>
      </c>
      <c r="N78" s="81">
        <f t="shared" si="22"/>
        <v>0.9478560571179182</v>
      </c>
      <c r="O78" s="81">
        <f t="shared" si="22"/>
        <v>0.938956000243571</v>
      </c>
      <c r="P78" s="81">
        <f t="shared" si="22"/>
        <v>0.9661721161926606</v>
      </c>
      <c r="Q78" s="81">
        <f t="shared" si="22"/>
        <v>0.9478560571179182</v>
      </c>
      <c r="R78" s="81">
        <f t="shared" si="22"/>
        <v>0.8888783468972474</v>
      </c>
      <c r="S78" s="81">
        <f t="shared" si="22"/>
        <v>0.9132311783190896</v>
      </c>
      <c r="T78" s="81">
        <f t="shared" si="22"/>
        <v>0.938956000243571</v>
      </c>
      <c r="U78" s="460"/>
      <c r="V78" s="464"/>
      <c r="W78" s="86">
        <f t="shared" si="22"/>
        <v>0.9406342499291633</v>
      </c>
      <c r="X78" s="412">
        <f t="shared" si="19"/>
        <v>0.02521650599170131</v>
      </c>
      <c r="Y78" s="481"/>
      <c r="Z78" s="86"/>
      <c r="AA78" s="71">
        <f t="shared" si="16"/>
        <v>12</v>
      </c>
      <c r="AB78" s="56">
        <f t="shared" si="16"/>
        <v>14</v>
      </c>
      <c r="AC78" s="72" t="s">
        <v>9</v>
      </c>
      <c r="AD78" s="86">
        <f t="shared" si="17"/>
        <v>0.9406342499291633</v>
      </c>
      <c r="AE78" s="72">
        <f t="shared" si="17"/>
        <v>0.02521650599170131</v>
      </c>
    </row>
    <row r="79" spans="1:31" s="51" customFormat="1" ht="12" customHeight="1">
      <c r="A79" s="71">
        <f t="shared" si="14"/>
        <v>12</v>
      </c>
      <c r="B79" s="56">
        <f t="shared" si="14"/>
        <v>14</v>
      </c>
      <c r="C79" s="86" t="s">
        <v>8</v>
      </c>
      <c r="D79" s="80">
        <f aca="true" t="shared" si="23" ref="D79:W79">D66</f>
        <v>0.9523696573899079</v>
      </c>
      <c r="E79" s="81">
        <f t="shared" si="23"/>
        <v>1.010089030565054</v>
      </c>
      <c r="F79" s="81">
        <f t="shared" si="23"/>
        <v>0.9900872675835674</v>
      </c>
      <c r="G79" s="81">
        <f t="shared" si="23"/>
        <v>1.0309156085148483</v>
      </c>
      <c r="H79" s="81">
        <f t="shared" si="23"/>
        <v>0.9708622720965077</v>
      </c>
      <c r="I79" s="81">
        <f t="shared" si="23"/>
        <v>0.9523696573899079</v>
      </c>
      <c r="J79" s="81">
        <f t="shared" si="23"/>
        <v>0.9523696573899079</v>
      </c>
      <c r="K79" s="81">
        <f t="shared" si="23"/>
        <v>0.9708622720965081</v>
      </c>
      <c r="L79" s="81">
        <f t="shared" si="23"/>
        <v>0.9259149446846328</v>
      </c>
      <c r="M79" s="81">
        <f t="shared" si="23"/>
        <v>0.9803805296660815</v>
      </c>
      <c r="N79" s="81">
        <f t="shared" si="23"/>
        <v>0.9900872675835678</v>
      </c>
      <c r="O79" s="81">
        <f t="shared" si="23"/>
        <v>0.9523696573899079</v>
      </c>
      <c r="P79" s="81">
        <f t="shared" si="23"/>
        <v>0.9433850379805693</v>
      </c>
      <c r="Q79" s="81">
        <f t="shared" si="23"/>
        <v>0.9345683553826195</v>
      </c>
      <c r="R79" s="81">
        <f t="shared" si="23"/>
        <v>0.9803805296660819</v>
      </c>
      <c r="S79" s="81">
        <f t="shared" si="23"/>
        <v>0.9174203121645901</v>
      </c>
      <c r="T79" s="81">
        <f t="shared" si="23"/>
        <v>0.9008902164499124</v>
      </c>
      <c r="U79" s="460"/>
      <c r="V79" s="464"/>
      <c r="W79" s="86">
        <f t="shared" si="23"/>
        <v>0.9620777808231868</v>
      </c>
      <c r="X79" s="412">
        <f t="shared" si="19"/>
        <v>0.03350955194833613</v>
      </c>
      <c r="Y79" s="481"/>
      <c r="Z79" s="86"/>
      <c r="AA79" s="71">
        <f t="shared" si="16"/>
        <v>12</v>
      </c>
      <c r="AB79" s="56">
        <f t="shared" si="16"/>
        <v>14</v>
      </c>
      <c r="AC79" s="72" t="s">
        <v>7</v>
      </c>
      <c r="AD79" s="86">
        <f t="shared" si="17"/>
        <v>0.9620777808231868</v>
      </c>
      <c r="AE79" s="72">
        <f t="shared" si="17"/>
        <v>0.03350955194833613</v>
      </c>
    </row>
    <row r="80" spans="1:31" s="51" customFormat="1" ht="12" customHeight="1">
      <c r="A80" s="71">
        <f t="shared" si="14"/>
        <v>10</v>
      </c>
      <c r="B80" s="56">
        <f t="shared" si="14"/>
        <v>14</v>
      </c>
      <c r="C80" s="86" t="s">
        <v>6</v>
      </c>
      <c r="D80" s="80">
        <f aca="true" t="shared" si="24" ref="D80:W80">D67</f>
        <v>0.9195293243764624</v>
      </c>
      <c r="E80" s="81">
        <f t="shared" si="24"/>
        <v>0.9195293243764627</v>
      </c>
      <c r="F80" s="81">
        <f t="shared" si="24"/>
        <v>0.9111509250655153</v>
      </c>
      <c r="G80" s="81">
        <f t="shared" si="24"/>
        <v>0.9111509250655152</v>
      </c>
      <c r="H80" s="81">
        <f t="shared" si="24"/>
        <v>0.8948439733864905</v>
      </c>
      <c r="I80" s="81">
        <f t="shared" si="24"/>
        <v>0.8791104529752993</v>
      </c>
      <c r="J80" s="81">
        <f t="shared" si="24"/>
        <v>0.8714493597031835</v>
      </c>
      <c r="K80" s="81">
        <f t="shared" si="24"/>
        <v>0.8908580314114949</v>
      </c>
      <c r="L80" s="81">
        <f t="shared" si="24"/>
        <v>0.8752631424589958</v>
      </c>
      <c r="M80" s="81">
        <f t="shared" si="24"/>
        <v>0.8752631424589962</v>
      </c>
      <c r="N80" s="81">
        <f t="shared" si="24"/>
        <v>0.8829917353283914</v>
      </c>
      <c r="O80" s="81">
        <f t="shared" si="24"/>
        <v>0.882991735328391</v>
      </c>
      <c r="P80" s="81">
        <f t="shared" si="24"/>
        <v>0.8908580314114951</v>
      </c>
      <c r="Q80" s="81">
        <f t="shared" si="24"/>
        <v>0.8869074414717545</v>
      </c>
      <c r="R80" s="81">
        <f t="shared" si="24"/>
        <v>0.8385644782049501</v>
      </c>
      <c r="S80" s="81">
        <f t="shared" si="24"/>
        <v>0.8752631424589958</v>
      </c>
      <c r="T80" s="81">
        <f t="shared" si="24"/>
        <v>0.882991735328391</v>
      </c>
      <c r="U80" s="460"/>
      <c r="V80" s="464"/>
      <c r="W80" s="86">
        <f t="shared" si="24"/>
        <v>0.8875715824006343</v>
      </c>
      <c r="X80" s="412">
        <f t="shared" si="19"/>
        <v>0.020124808554905352</v>
      </c>
      <c r="Y80" s="481"/>
      <c r="Z80" s="86"/>
      <c r="AA80" s="71">
        <f t="shared" si="16"/>
        <v>10</v>
      </c>
      <c r="AB80" s="56">
        <f t="shared" si="16"/>
        <v>14</v>
      </c>
      <c r="AC80" s="72" t="s">
        <v>9</v>
      </c>
      <c r="AD80" s="86">
        <f t="shared" si="17"/>
        <v>0.8875715824006343</v>
      </c>
      <c r="AE80" s="72">
        <f t="shared" si="17"/>
        <v>0.020124808554905352</v>
      </c>
    </row>
    <row r="81" spans="1:31" s="51" customFormat="1" ht="12" customHeight="1">
      <c r="A81" s="71">
        <f t="shared" si="14"/>
        <v>10</v>
      </c>
      <c r="B81" s="56">
        <f t="shared" si="14"/>
        <v>14</v>
      </c>
      <c r="C81" s="86" t="s">
        <v>8</v>
      </c>
      <c r="D81" s="80">
        <f aca="true" t="shared" si="25" ref="D81:W81">D68</f>
        <v>0.9008902164499127</v>
      </c>
      <c r="E81" s="81">
        <f t="shared" si="25"/>
        <v>0.9259149446846328</v>
      </c>
      <c r="F81" s="81">
        <f t="shared" si="25"/>
        <v>0.909080127508548</v>
      </c>
      <c r="G81" s="81">
        <f t="shared" si="25"/>
        <v>0.9302215258227005</v>
      </c>
      <c r="H81" s="81">
        <f t="shared" si="25"/>
        <v>0.9049666427686905</v>
      </c>
      <c r="I81" s="81">
        <f t="shared" si="25"/>
        <v>0.9049666427686905</v>
      </c>
      <c r="J81" s="81">
        <f t="shared" si="25"/>
        <v>0.8968503500084335</v>
      </c>
      <c r="K81" s="81">
        <f t="shared" si="25"/>
        <v>0.9008902164499127</v>
      </c>
      <c r="L81" s="81">
        <f t="shared" si="25"/>
        <v>0.8968503500084333</v>
      </c>
      <c r="M81" s="81">
        <f t="shared" si="25"/>
        <v>0.8888783468972471</v>
      </c>
      <c r="N81" s="81">
        <f t="shared" si="25"/>
        <v>0.9049666427686907</v>
      </c>
      <c r="O81" s="81">
        <f t="shared" si="25"/>
        <v>0.8968503500084335</v>
      </c>
      <c r="P81" s="81">
        <f t="shared" si="25"/>
        <v>0.8888783468972471</v>
      </c>
      <c r="Q81" s="81">
        <f t="shared" si="25"/>
        <v>0.8928465538030385</v>
      </c>
      <c r="R81" s="81">
        <f t="shared" si="25"/>
        <v>0.9008902164499127</v>
      </c>
      <c r="S81" s="81">
        <f t="shared" si="25"/>
        <v>0.8849452568667284</v>
      </c>
      <c r="T81" s="81">
        <f t="shared" si="25"/>
        <v>0.8620587416029336</v>
      </c>
      <c r="U81" s="460"/>
      <c r="V81" s="464"/>
      <c r="W81" s="86">
        <f t="shared" si="25"/>
        <v>0.8994673806920109</v>
      </c>
      <c r="X81" s="412">
        <f t="shared" si="19"/>
        <v>0.015275451200300336</v>
      </c>
      <c r="Y81" s="481"/>
      <c r="Z81" s="86"/>
      <c r="AA81" s="71">
        <f t="shared" si="16"/>
        <v>10</v>
      </c>
      <c r="AB81" s="56">
        <f t="shared" si="16"/>
        <v>14</v>
      </c>
      <c r="AC81" s="72" t="s">
        <v>7</v>
      </c>
      <c r="AD81" s="86">
        <f t="shared" si="17"/>
        <v>0.8994673806920109</v>
      </c>
      <c r="AE81" s="72">
        <f t="shared" si="17"/>
        <v>0.015275451200300336</v>
      </c>
    </row>
    <row r="82" spans="1:31" s="51" customFormat="1" ht="12" customHeight="1">
      <c r="A82" s="71"/>
      <c r="B82" s="56"/>
      <c r="C82" s="86"/>
      <c r="D82" s="80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460"/>
      <c r="V82" s="464"/>
      <c r="W82" s="86"/>
      <c r="X82" s="72"/>
      <c r="Y82" s="481"/>
      <c r="Z82" s="86"/>
      <c r="AA82" s="71"/>
      <c r="AB82" s="56"/>
      <c r="AC82" s="72"/>
      <c r="AD82" s="86"/>
      <c r="AE82" s="72"/>
    </row>
    <row r="83" spans="1:31" s="51" customFormat="1" ht="12" customHeight="1">
      <c r="A83" s="71"/>
      <c r="B83" s="56"/>
      <c r="C83" s="86"/>
      <c r="D83" s="80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460"/>
      <c r="V83" s="464"/>
      <c r="W83" s="86"/>
      <c r="X83" s="72"/>
      <c r="Y83" s="481"/>
      <c r="Z83" s="86"/>
      <c r="AA83" s="71"/>
      <c r="AB83" s="56"/>
      <c r="AC83" s="72"/>
      <c r="AD83" s="86"/>
      <c r="AE83" s="72"/>
    </row>
    <row r="84" spans="1:31" s="51" customFormat="1" ht="12" customHeight="1">
      <c r="A84" s="73" t="s">
        <v>119</v>
      </c>
      <c r="B84" s="58"/>
      <c r="C84" s="86"/>
      <c r="D84" s="80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460"/>
      <c r="V84" s="464"/>
      <c r="W84" s="86"/>
      <c r="X84" s="72"/>
      <c r="Y84" s="481"/>
      <c r="Z84" s="86"/>
      <c r="AA84" s="73" t="s">
        <v>119</v>
      </c>
      <c r="AB84" s="58"/>
      <c r="AC84" s="72"/>
      <c r="AD84" s="86"/>
      <c r="AE84" s="72"/>
    </row>
    <row r="85" spans="1:31" s="49" customFormat="1" ht="12" customHeight="1">
      <c r="A85" s="71" t="str">
        <f>$C$3</f>
        <v>I-001 4th sizing</v>
      </c>
      <c r="B85" s="56" t="str">
        <f>$C$4</f>
        <v>inner</v>
      </c>
      <c r="C85" s="56" t="s">
        <v>9</v>
      </c>
      <c r="D85" s="80">
        <f aca="true" t="shared" si="26" ref="D85:M86">D52*1000</f>
        <v>-2.85</v>
      </c>
      <c r="E85" s="81">
        <f t="shared" si="26"/>
        <v>-3.150000000000001</v>
      </c>
      <c r="F85" s="81">
        <f t="shared" si="26"/>
        <v>-1.5900000000000003</v>
      </c>
      <c r="G85" s="81">
        <f t="shared" si="26"/>
        <v>-3.6300000000000012</v>
      </c>
      <c r="H85" s="81">
        <f t="shared" si="26"/>
        <v>-3.2300000000000004</v>
      </c>
      <c r="I85" s="81">
        <f t="shared" si="26"/>
        <v>-2.85</v>
      </c>
      <c r="J85" s="81">
        <f t="shared" si="26"/>
        <v>-2.91</v>
      </c>
      <c r="K85" s="81">
        <f t="shared" si="26"/>
        <v>-2.6500000000000004</v>
      </c>
      <c r="L85" s="81">
        <f t="shared" si="26"/>
        <v>-2.770000000000001</v>
      </c>
      <c r="M85" s="81">
        <f t="shared" si="26"/>
        <v>-2.91</v>
      </c>
      <c r="N85" s="81">
        <f aca="true" t="shared" si="27" ref="N85:T86">N52*1000</f>
        <v>-2.5900000000000003</v>
      </c>
      <c r="O85" s="81">
        <f t="shared" si="27"/>
        <v>-2.830000000000001</v>
      </c>
      <c r="P85" s="81">
        <f t="shared" si="27"/>
        <v>-2.9700000000000006</v>
      </c>
      <c r="Q85" s="81">
        <f t="shared" si="27"/>
        <v>-3.0100000000000007</v>
      </c>
      <c r="R85" s="81">
        <f t="shared" si="27"/>
        <v>-1.830000000000001</v>
      </c>
      <c r="S85" s="81">
        <f t="shared" si="27"/>
        <v>-3.0300000000000007</v>
      </c>
      <c r="T85" s="81">
        <f t="shared" si="27"/>
        <v>-2.6700000000000004</v>
      </c>
      <c r="U85" s="460"/>
      <c r="V85" s="464"/>
      <c r="W85" s="81">
        <f>W52*1000</f>
        <v>-2.7923529411764707</v>
      </c>
      <c r="X85" s="413">
        <f>X52*1000</f>
        <v>0.47701584632699584</v>
      </c>
      <c r="Y85" s="481"/>
      <c r="Z85" s="56"/>
      <c r="AA85" s="71" t="str">
        <f>$C$3</f>
        <v>I-001 4th sizing</v>
      </c>
      <c r="AB85" s="56" t="str">
        <f>$C$4</f>
        <v>inner</v>
      </c>
      <c r="AC85" s="69" t="s">
        <v>9</v>
      </c>
      <c r="AD85" s="86">
        <f>W85</f>
        <v>-2.7923529411764707</v>
      </c>
      <c r="AE85" s="72">
        <f>X85</f>
        <v>0.47701584632699584</v>
      </c>
    </row>
    <row r="86" spans="1:31" s="49" customFormat="1" ht="12" customHeight="1">
      <c r="A86" s="74" t="str">
        <f>$C$3</f>
        <v>I-001 4th sizing</v>
      </c>
      <c r="B86" s="52" t="str">
        <f>$C$4</f>
        <v>inner</v>
      </c>
      <c r="C86" s="52" t="s">
        <v>7</v>
      </c>
      <c r="D86" s="130">
        <f t="shared" si="26"/>
        <v>-3.1000000000000005</v>
      </c>
      <c r="E86" s="131">
        <f t="shared" si="26"/>
        <v>-3.1400000000000006</v>
      </c>
      <c r="F86" s="131">
        <f t="shared" si="26"/>
        <v>-3.2400000000000007</v>
      </c>
      <c r="G86" s="131">
        <f t="shared" si="26"/>
        <v>-3.4000000000000004</v>
      </c>
      <c r="H86" s="150">
        <f t="shared" si="26"/>
        <v>-1.5000000000000004</v>
      </c>
      <c r="I86" s="131">
        <f t="shared" si="26"/>
        <v>-2.920000000000001</v>
      </c>
      <c r="J86" s="131">
        <f t="shared" si="26"/>
        <v>-3.06</v>
      </c>
      <c r="K86" s="131">
        <f t="shared" si="26"/>
        <v>-2.920000000000001</v>
      </c>
      <c r="L86" s="131">
        <f t="shared" si="26"/>
        <v>-3.1600000000000006</v>
      </c>
      <c r="M86" s="131">
        <f t="shared" si="26"/>
        <v>-3.3600000000000003</v>
      </c>
      <c r="N86" s="131">
        <f t="shared" si="27"/>
        <v>-3.06</v>
      </c>
      <c r="O86" s="131">
        <f t="shared" si="27"/>
        <v>-2.98</v>
      </c>
      <c r="P86" s="131">
        <f t="shared" si="27"/>
        <v>-3.1600000000000006</v>
      </c>
      <c r="Q86" s="131">
        <f t="shared" si="27"/>
        <v>-2.66</v>
      </c>
      <c r="R86" s="131">
        <f t="shared" si="27"/>
        <v>-1.8800000000000006</v>
      </c>
      <c r="S86" s="131">
        <f t="shared" si="27"/>
        <v>-3.4800000000000004</v>
      </c>
      <c r="T86" s="131">
        <f t="shared" si="27"/>
        <v>-2.4400000000000004</v>
      </c>
      <c r="U86" s="472"/>
      <c r="V86" s="473"/>
      <c r="W86" s="131">
        <f>W53*1000</f>
        <v>-2.9094117647058826</v>
      </c>
      <c r="X86" s="414">
        <f>X53*1000</f>
        <v>0.5287304439437364</v>
      </c>
      <c r="Y86" s="481"/>
      <c r="Z86" s="52"/>
      <c r="AA86" s="74" t="str">
        <f>$C$3</f>
        <v>I-001 4th sizing</v>
      </c>
      <c r="AB86" s="52" t="str">
        <f>$C$4</f>
        <v>inner</v>
      </c>
      <c r="AC86" s="70" t="s">
        <v>7</v>
      </c>
      <c r="AD86" s="88">
        <f>W86</f>
        <v>-2.9094117647058826</v>
      </c>
      <c r="AE86" s="89">
        <f>X86</f>
        <v>0.5287304439437364</v>
      </c>
    </row>
    <row r="87" spans="1:26" s="49" customFormat="1" ht="12" customHeight="1">
      <c r="A87" s="53"/>
      <c r="B87" s="56"/>
      <c r="C87" s="3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86"/>
      <c r="X87" s="127"/>
      <c r="Y87" s="481"/>
      <c r="Z87" s="3"/>
    </row>
    <row r="88" spans="1:31" s="49" customFormat="1" ht="12" customHeight="1">
      <c r="A88" s="66" t="s">
        <v>69</v>
      </c>
      <c r="B88" s="57"/>
      <c r="C88" s="3"/>
      <c r="D88" s="462" t="str">
        <f>$C$3</f>
        <v>I-001 4th sizing</v>
      </c>
      <c r="E88" s="462"/>
      <c r="F88" s="462" t="str">
        <f>$C$4</f>
        <v>inner</v>
      </c>
      <c r="G88" s="462" t="s">
        <v>115</v>
      </c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86"/>
      <c r="X88" s="127"/>
      <c r="Y88" s="481"/>
      <c r="Z88" s="3"/>
      <c r="AA88" s="66" t="s">
        <v>69</v>
      </c>
      <c r="AB88" s="54"/>
      <c r="AC88" s="54"/>
      <c r="AD88" s="169" t="str">
        <f>D88</f>
        <v>I-001 4th sizing</v>
      </c>
      <c r="AE88" s="185" t="str">
        <f>F88</f>
        <v>inner</v>
      </c>
    </row>
    <row r="89" spans="1:31" s="176" customFormat="1" ht="12" customHeight="1">
      <c r="A89" s="147" t="s">
        <v>116</v>
      </c>
      <c r="B89" s="148"/>
      <c r="C89" s="149"/>
      <c r="D89" s="170">
        <v>1</v>
      </c>
      <c r="E89" s="171">
        <f aca="true" t="shared" si="28" ref="E89:N89">D89+1</f>
        <v>2</v>
      </c>
      <c r="F89" s="171">
        <f t="shared" si="28"/>
        <v>3</v>
      </c>
      <c r="G89" s="171">
        <f t="shared" si="28"/>
        <v>4</v>
      </c>
      <c r="H89" s="171">
        <f t="shared" si="28"/>
        <v>5</v>
      </c>
      <c r="I89" s="171">
        <f t="shared" si="28"/>
        <v>6</v>
      </c>
      <c r="J89" s="171">
        <f t="shared" si="28"/>
        <v>7</v>
      </c>
      <c r="K89" s="171">
        <f t="shared" si="28"/>
        <v>8</v>
      </c>
      <c r="L89" s="171">
        <f t="shared" si="28"/>
        <v>9</v>
      </c>
      <c r="M89" s="171">
        <f t="shared" si="28"/>
        <v>10</v>
      </c>
      <c r="N89" s="171">
        <f t="shared" si="28"/>
        <v>11</v>
      </c>
      <c r="O89" s="171">
        <f aca="true" t="shared" si="29" ref="O89:V89">N89+1</f>
        <v>12</v>
      </c>
      <c r="P89" s="171">
        <f t="shared" si="29"/>
        <v>13</v>
      </c>
      <c r="Q89" s="171">
        <f t="shared" si="29"/>
        <v>14</v>
      </c>
      <c r="R89" s="171">
        <f t="shared" si="29"/>
        <v>15</v>
      </c>
      <c r="S89" s="171">
        <f t="shared" si="29"/>
        <v>16</v>
      </c>
      <c r="T89" s="171">
        <f t="shared" si="29"/>
        <v>17</v>
      </c>
      <c r="U89" s="171">
        <f t="shared" si="29"/>
        <v>18</v>
      </c>
      <c r="V89" s="171">
        <f t="shared" si="29"/>
        <v>19</v>
      </c>
      <c r="W89" s="171" t="s">
        <v>0</v>
      </c>
      <c r="X89" s="172" t="s">
        <v>117</v>
      </c>
      <c r="Y89" s="481"/>
      <c r="Z89" s="481"/>
      <c r="AA89" s="157" t="str">
        <f aca="true" t="shared" si="30" ref="AA89:AA99">A89</f>
        <v>Axial location from lead end </v>
      </c>
      <c r="AB89" s="158"/>
      <c r="AC89" s="159"/>
      <c r="AD89" s="174" t="s">
        <v>0</v>
      </c>
      <c r="AE89" s="175" t="s">
        <v>117</v>
      </c>
    </row>
    <row r="90" spans="1:31" s="54" customFormat="1" ht="12" customHeight="1">
      <c r="A90" s="78" t="s">
        <v>120</v>
      </c>
      <c r="B90" s="75"/>
      <c r="C90" s="415"/>
      <c r="D90" s="132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424"/>
      <c r="W90" s="152"/>
      <c r="X90" s="134"/>
      <c r="Y90" s="516"/>
      <c r="Z90" s="516"/>
      <c r="AA90" s="157" t="str">
        <f t="shared" si="30"/>
        <v>Coil modulus [GPa]</v>
      </c>
      <c r="AB90" s="158"/>
      <c r="AC90" s="159"/>
      <c r="AD90" s="174"/>
      <c r="AE90" s="175"/>
    </row>
    <row r="91" spans="1:31" s="55" customFormat="1" ht="12" customHeight="1">
      <c r="A91" s="160" t="s">
        <v>121</v>
      </c>
      <c r="B91" s="161"/>
      <c r="C91" s="416" t="s">
        <v>35</v>
      </c>
      <c r="D91" s="135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417"/>
      <c r="W91" s="153"/>
      <c r="X91" s="137"/>
      <c r="Y91" s="516"/>
      <c r="Z91" s="516"/>
      <c r="AA91" s="160" t="str">
        <f t="shared" si="30"/>
        <v>Pressure range [MPa]</v>
      </c>
      <c r="AB91" s="161"/>
      <c r="AC91" s="162" t="s">
        <v>35</v>
      </c>
      <c r="AD91" s="152"/>
      <c r="AE91" s="134"/>
    </row>
    <row r="92" spans="1:31" s="55" customFormat="1" ht="12" customHeight="1">
      <c r="A92" s="91">
        <f aca="true" t="shared" si="31" ref="A92:B99">A74*6.895</f>
        <v>55.16</v>
      </c>
      <c r="B92" s="92">
        <f t="shared" si="31"/>
        <v>68.94999999999999</v>
      </c>
      <c r="C92" s="60" t="str">
        <f aca="true" t="shared" si="32" ref="C92:C99">C74</f>
        <v>A</v>
      </c>
      <c r="D92" s="135">
        <f aca="true" t="shared" si="33" ref="D92:M99">D74*6.895</f>
        <v>6.929566057375463</v>
      </c>
      <c r="E92" s="136">
        <f t="shared" si="33"/>
        <v>7.4539656509065795</v>
      </c>
      <c r="F92" s="136">
        <f t="shared" si="33"/>
        <v>6.999916981815823</v>
      </c>
      <c r="G92" s="136">
        <f t="shared" si="33"/>
        <v>7.219809661872864</v>
      </c>
      <c r="H92" s="136">
        <f t="shared" si="33"/>
        <v>6.999916981815823</v>
      </c>
      <c r="I92" s="136">
        <f t="shared" si="33"/>
        <v>6.793022883831119</v>
      </c>
      <c r="J92" s="136">
        <f t="shared" si="33"/>
        <v>6.860615151331926</v>
      </c>
      <c r="K92" s="136">
        <f t="shared" si="33"/>
        <v>6.726749489842522</v>
      </c>
      <c r="L92" s="136">
        <f t="shared" si="33"/>
        <v>6.598007872812042</v>
      </c>
      <c r="M92" s="136">
        <f t="shared" si="33"/>
        <v>6.793022883831119</v>
      </c>
      <c r="N92" s="136">
        <f aca="true" t="shared" si="34" ref="N92:X99">N74*6.895</f>
        <v>6.598007872812042</v>
      </c>
      <c r="O92" s="136">
        <f t="shared" si="34"/>
        <v>6.793022883831119</v>
      </c>
      <c r="P92" s="136">
        <f t="shared" si="34"/>
        <v>6.999916981815823</v>
      </c>
      <c r="Q92" s="136">
        <f t="shared" si="34"/>
        <v>6.661756741148393</v>
      </c>
      <c r="R92" s="136">
        <f t="shared" si="34"/>
        <v>6.4741016216794245</v>
      </c>
      <c r="S92" s="136">
        <f t="shared" si="34"/>
        <v>7.0717110021421385</v>
      </c>
      <c r="T92" s="136">
        <f t="shared" si="34"/>
        <v>6.535467513828043</v>
      </c>
      <c r="U92" s="517"/>
      <c r="V92" s="518"/>
      <c r="W92" s="153">
        <f t="shared" si="34"/>
        <v>6.853445778393663</v>
      </c>
      <c r="X92" s="137">
        <f t="shared" si="34"/>
        <v>0.2564117886397514</v>
      </c>
      <c r="Y92" s="516"/>
      <c r="Z92" s="516"/>
      <c r="AA92" s="79">
        <f t="shared" si="30"/>
        <v>55.16</v>
      </c>
      <c r="AB92" s="60">
        <f aca="true" t="shared" si="35" ref="AB92:AB99">B92</f>
        <v>68.94999999999999</v>
      </c>
      <c r="AC92" s="137" t="s">
        <v>9</v>
      </c>
      <c r="AD92" s="153">
        <f aca="true" t="shared" si="36" ref="AD92:AE99">W92</f>
        <v>6.853445778393663</v>
      </c>
      <c r="AE92" s="137">
        <f t="shared" si="36"/>
        <v>0.2564117886397514</v>
      </c>
    </row>
    <row r="93" spans="1:31" s="55" customFormat="1" ht="12" customHeight="1">
      <c r="A93" s="91">
        <f t="shared" si="31"/>
        <v>55.16</v>
      </c>
      <c r="B93" s="92">
        <f t="shared" si="31"/>
        <v>68.94999999999999</v>
      </c>
      <c r="C93" s="60" t="str">
        <f t="shared" si="32"/>
        <v>B</v>
      </c>
      <c r="D93" s="135">
        <f t="shared" si="33"/>
        <v>6.92956605737546</v>
      </c>
      <c r="E93" s="136">
        <f t="shared" si="33"/>
        <v>6.793022883831119</v>
      </c>
      <c r="F93" s="136">
        <f t="shared" si="33"/>
        <v>7.37424409314287</v>
      </c>
      <c r="G93" s="136">
        <f t="shared" si="33"/>
        <v>7.296209764114903</v>
      </c>
      <c r="H93" s="136">
        <f t="shared" si="33"/>
        <v>6.598007872812042</v>
      </c>
      <c r="I93" s="136">
        <f t="shared" si="33"/>
        <v>6.999916981815823</v>
      </c>
      <c r="J93" s="136">
        <f t="shared" si="33"/>
        <v>6.999916981815822</v>
      </c>
      <c r="K93" s="136">
        <f t="shared" si="33"/>
        <v>6.999916981815822</v>
      </c>
      <c r="L93" s="136">
        <f t="shared" si="33"/>
        <v>6.929566057375462</v>
      </c>
      <c r="M93" s="136">
        <f t="shared" si="33"/>
        <v>7.071711002142137</v>
      </c>
      <c r="N93" s="136">
        <f t="shared" si="34"/>
        <v>6.793022883831119</v>
      </c>
      <c r="O93" s="136">
        <f t="shared" si="34"/>
        <v>7.071711002142137</v>
      </c>
      <c r="P93" s="136">
        <f t="shared" si="34"/>
        <v>5.243283822881053</v>
      </c>
      <c r="Q93" s="136">
        <f t="shared" si="34"/>
        <v>6.598007872812042</v>
      </c>
      <c r="R93" s="136">
        <f t="shared" si="34"/>
        <v>6.6617567411483884</v>
      </c>
      <c r="S93" s="136">
        <f t="shared" si="34"/>
        <v>6.860615151331924</v>
      </c>
      <c r="T93" s="136">
        <f t="shared" si="34"/>
        <v>5.969626170639466</v>
      </c>
      <c r="U93" s="517"/>
      <c r="V93" s="518"/>
      <c r="W93" s="153">
        <f t="shared" si="34"/>
        <v>6.775888371825153</v>
      </c>
      <c r="X93" s="137">
        <f t="shared" si="34"/>
        <v>0.5052596063987642</v>
      </c>
      <c r="Y93" s="516"/>
      <c r="Z93" s="516"/>
      <c r="AA93" s="79">
        <f t="shared" si="30"/>
        <v>55.16</v>
      </c>
      <c r="AB93" s="60">
        <f t="shared" si="35"/>
        <v>68.94999999999999</v>
      </c>
      <c r="AC93" s="137" t="s">
        <v>7</v>
      </c>
      <c r="AD93" s="153">
        <f t="shared" si="36"/>
        <v>6.775888371825153</v>
      </c>
      <c r="AE93" s="137">
        <f t="shared" si="36"/>
        <v>0.5052596063987642</v>
      </c>
    </row>
    <row r="94" spans="1:31" s="55" customFormat="1" ht="12" customHeight="1">
      <c r="A94" s="91">
        <f t="shared" si="31"/>
        <v>68.94999999999999</v>
      </c>
      <c r="B94" s="92">
        <f t="shared" si="31"/>
        <v>82.74</v>
      </c>
      <c r="C94" s="60" t="str">
        <f t="shared" si="32"/>
        <v>A</v>
      </c>
      <c r="D94" s="135">
        <f t="shared" si="33"/>
        <v>5.943895023352227</v>
      </c>
      <c r="E94" s="136">
        <f t="shared" si="33"/>
        <v>5.995581067033547</v>
      </c>
      <c r="F94" s="136">
        <f t="shared" si="33"/>
        <v>5.995581067033549</v>
      </c>
      <c r="G94" s="136">
        <f t="shared" si="33"/>
        <v>5.943895023352223</v>
      </c>
      <c r="H94" s="136">
        <f t="shared" si="33"/>
        <v>5.943895023352227</v>
      </c>
      <c r="I94" s="136">
        <f t="shared" si="33"/>
        <v>5.69827952651949</v>
      </c>
      <c r="J94" s="136">
        <f t="shared" si="33"/>
        <v>5.698279526519489</v>
      </c>
      <c r="K94" s="136">
        <f t="shared" si="33"/>
        <v>5.843151039905578</v>
      </c>
      <c r="L94" s="136">
        <f t="shared" si="33"/>
        <v>5.698279526519488</v>
      </c>
      <c r="M94" s="136">
        <f t="shared" si="33"/>
        <v>5.843151039905578</v>
      </c>
      <c r="N94" s="136">
        <f t="shared" si="34"/>
        <v>5.698279526519489</v>
      </c>
      <c r="O94" s="136">
        <f t="shared" si="34"/>
        <v>5.745765189240484</v>
      </c>
      <c r="P94" s="136">
        <f t="shared" si="34"/>
        <v>5.698279526519489</v>
      </c>
      <c r="Q94" s="136">
        <f t="shared" si="34"/>
        <v>5.745765189240484</v>
      </c>
      <c r="R94" s="136">
        <f t="shared" si="34"/>
        <v>5.472157323086175</v>
      </c>
      <c r="S94" s="136">
        <f t="shared" si="34"/>
        <v>5.794048930326539</v>
      </c>
      <c r="T94" s="136">
        <f t="shared" si="34"/>
        <v>5.745765189240485</v>
      </c>
      <c r="U94" s="517"/>
      <c r="V94" s="518"/>
      <c r="W94" s="153">
        <f t="shared" si="34"/>
        <v>5.7943558080980315</v>
      </c>
      <c r="X94" s="137">
        <f t="shared" si="34"/>
        <v>0.13916704254884857</v>
      </c>
      <c r="Y94" s="516"/>
      <c r="Z94" s="516"/>
      <c r="AA94" s="79">
        <f t="shared" si="30"/>
        <v>68.94999999999999</v>
      </c>
      <c r="AB94" s="60">
        <f t="shared" si="35"/>
        <v>82.74</v>
      </c>
      <c r="AC94" s="137" t="s">
        <v>9</v>
      </c>
      <c r="AD94" s="153">
        <f t="shared" si="36"/>
        <v>5.7943558080980315</v>
      </c>
      <c r="AE94" s="137">
        <f t="shared" si="36"/>
        <v>0.13916704254884857</v>
      </c>
    </row>
    <row r="95" spans="1:31" s="55" customFormat="1" ht="12" customHeight="1">
      <c r="A95" s="91">
        <f t="shared" si="31"/>
        <v>68.94999999999999</v>
      </c>
      <c r="B95" s="92">
        <f t="shared" si="31"/>
        <v>82.74</v>
      </c>
      <c r="C95" s="60" t="str">
        <f t="shared" si="32"/>
        <v>B</v>
      </c>
      <c r="D95" s="135">
        <f t="shared" si="33"/>
        <v>5.893092501785114</v>
      </c>
      <c r="E95" s="136">
        <f t="shared" si="33"/>
        <v>5.893092501785112</v>
      </c>
      <c r="F95" s="136">
        <f t="shared" si="33"/>
        <v>5.7940489303265394</v>
      </c>
      <c r="G95" s="136">
        <f t="shared" si="33"/>
        <v>5.843151039905579</v>
      </c>
      <c r="H95" s="136">
        <f t="shared" si="33"/>
        <v>5.843151039905579</v>
      </c>
      <c r="I95" s="136">
        <f t="shared" si="33"/>
        <v>5.943895023352225</v>
      </c>
      <c r="J95" s="136">
        <f t="shared" si="33"/>
        <v>5.843151039905579</v>
      </c>
      <c r="K95" s="136">
        <f t="shared" si="33"/>
        <v>5.7940489303265394</v>
      </c>
      <c r="L95" s="136">
        <f t="shared" si="33"/>
        <v>5.99558106703355</v>
      </c>
      <c r="M95" s="136">
        <f t="shared" si="33"/>
        <v>5.605624574868767</v>
      </c>
      <c r="N95" s="136">
        <f t="shared" si="34"/>
        <v>5.745765189240486</v>
      </c>
      <c r="O95" s="136">
        <f t="shared" si="34"/>
        <v>5.843151039905579</v>
      </c>
      <c r="P95" s="136">
        <f t="shared" si="34"/>
        <v>5.7940489303265394</v>
      </c>
      <c r="Q95" s="136">
        <f t="shared" si="34"/>
        <v>5.893092501785114</v>
      </c>
      <c r="R95" s="136">
        <f t="shared" si="34"/>
        <v>5.745765189240486</v>
      </c>
      <c r="S95" s="136">
        <f t="shared" si="34"/>
        <v>5.893092501785112</v>
      </c>
      <c r="T95" s="136">
        <f t="shared" si="34"/>
        <v>5.69827952651949</v>
      </c>
      <c r="U95" s="517"/>
      <c r="V95" s="518"/>
      <c r="W95" s="153">
        <f t="shared" si="34"/>
        <v>5.827178325176316</v>
      </c>
      <c r="X95" s="137">
        <f t="shared" si="34"/>
        <v>0.09441640769070404</v>
      </c>
      <c r="Y95" s="516"/>
      <c r="Z95" s="516"/>
      <c r="AA95" s="79">
        <f t="shared" si="30"/>
        <v>68.94999999999999</v>
      </c>
      <c r="AB95" s="60">
        <f t="shared" si="35"/>
        <v>82.74</v>
      </c>
      <c r="AC95" s="137" t="s">
        <v>7</v>
      </c>
      <c r="AD95" s="153">
        <f t="shared" si="36"/>
        <v>5.827178325176316</v>
      </c>
      <c r="AE95" s="137">
        <f t="shared" si="36"/>
        <v>0.09441640769070404</v>
      </c>
    </row>
    <row r="96" spans="1:31" s="55" customFormat="1" ht="12" customHeight="1">
      <c r="A96" s="91">
        <f t="shared" si="31"/>
        <v>82.74</v>
      </c>
      <c r="B96" s="92">
        <f t="shared" si="31"/>
        <v>96.53</v>
      </c>
      <c r="C96" s="60" t="str">
        <f t="shared" si="32"/>
        <v>A</v>
      </c>
      <c r="D96" s="135">
        <f t="shared" si="33"/>
        <v>6.793022883831116</v>
      </c>
      <c r="E96" s="136">
        <f t="shared" si="33"/>
        <v>6.726749489842525</v>
      </c>
      <c r="F96" s="136">
        <f t="shared" si="33"/>
        <v>6.598007872812046</v>
      </c>
      <c r="G96" s="136">
        <f t="shared" si="33"/>
        <v>6.661756741148395</v>
      </c>
      <c r="H96" s="136">
        <f t="shared" si="33"/>
        <v>6.413877420547523</v>
      </c>
      <c r="I96" s="136">
        <f t="shared" si="33"/>
        <v>6.474101621679421</v>
      </c>
      <c r="J96" s="136">
        <f t="shared" si="33"/>
        <v>6.3547633429387895</v>
      </c>
      <c r="K96" s="136">
        <f t="shared" si="33"/>
        <v>6.4741016216794245</v>
      </c>
      <c r="L96" s="136">
        <f t="shared" si="33"/>
        <v>6.413877420547521</v>
      </c>
      <c r="M96" s="136">
        <f t="shared" si="33"/>
        <v>6.239745001890123</v>
      </c>
      <c r="N96" s="136">
        <f t="shared" si="34"/>
        <v>6.535467513828046</v>
      </c>
      <c r="O96" s="136">
        <f t="shared" si="34"/>
        <v>6.474101621679421</v>
      </c>
      <c r="P96" s="136">
        <f t="shared" si="34"/>
        <v>6.661756741148395</v>
      </c>
      <c r="Q96" s="136">
        <f t="shared" si="34"/>
        <v>6.535467513828046</v>
      </c>
      <c r="R96" s="136">
        <f t="shared" si="34"/>
        <v>6.12881620185652</v>
      </c>
      <c r="S96" s="136">
        <f t="shared" si="34"/>
        <v>6.296728974510122</v>
      </c>
      <c r="T96" s="136">
        <f t="shared" si="34"/>
        <v>6.474101621679421</v>
      </c>
      <c r="U96" s="517"/>
      <c r="V96" s="518"/>
      <c r="W96" s="153">
        <f t="shared" si="34"/>
        <v>6.485673153261581</v>
      </c>
      <c r="X96" s="137">
        <f t="shared" si="34"/>
        <v>0.17386780881278052</v>
      </c>
      <c r="Y96" s="516"/>
      <c r="Z96" s="516"/>
      <c r="AA96" s="79">
        <f t="shared" si="30"/>
        <v>82.74</v>
      </c>
      <c r="AB96" s="60">
        <f t="shared" si="35"/>
        <v>96.53</v>
      </c>
      <c r="AC96" s="137" t="s">
        <v>9</v>
      </c>
      <c r="AD96" s="153">
        <f t="shared" si="36"/>
        <v>6.485673153261581</v>
      </c>
      <c r="AE96" s="137">
        <f t="shared" si="36"/>
        <v>0.17386780881278052</v>
      </c>
    </row>
    <row r="97" spans="1:31" s="55" customFormat="1" ht="12" customHeight="1">
      <c r="A97" s="91">
        <f t="shared" si="31"/>
        <v>82.74</v>
      </c>
      <c r="B97" s="92">
        <f t="shared" si="31"/>
        <v>96.53</v>
      </c>
      <c r="C97" s="60" t="str">
        <f t="shared" si="32"/>
        <v>B</v>
      </c>
      <c r="D97" s="135">
        <f t="shared" si="33"/>
        <v>6.566588787703414</v>
      </c>
      <c r="E97" s="136">
        <f t="shared" si="33"/>
        <v>6.964563865746047</v>
      </c>
      <c r="F97" s="136">
        <f t="shared" si="33"/>
        <v>6.826651709988696</v>
      </c>
      <c r="G97" s="136">
        <f t="shared" si="33"/>
        <v>7.108163120709879</v>
      </c>
      <c r="H97" s="136">
        <f t="shared" si="33"/>
        <v>6.69409536610542</v>
      </c>
      <c r="I97" s="136">
        <f t="shared" si="33"/>
        <v>6.566588787703414</v>
      </c>
      <c r="J97" s="136">
        <f t="shared" si="33"/>
        <v>6.566588787703414</v>
      </c>
      <c r="K97" s="136">
        <f t="shared" si="33"/>
        <v>6.694095366105423</v>
      </c>
      <c r="L97" s="136">
        <f t="shared" si="33"/>
        <v>6.3841835436005425</v>
      </c>
      <c r="M97" s="136">
        <f t="shared" si="33"/>
        <v>6.759723752047631</v>
      </c>
      <c r="N97" s="136">
        <f t="shared" si="34"/>
        <v>6.8266517099887</v>
      </c>
      <c r="O97" s="136">
        <f t="shared" si="34"/>
        <v>6.566588787703414</v>
      </c>
      <c r="P97" s="136">
        <f t="shared" si="34"/>
        <v>6.5046398368760245</v>
      </c>
      <c r="Q97" s="136">
        <f t="shared" si="34"/>
        <v>6.4438488103631615</v>
      </c>
      <c r="R97" s="136">
        <f t="shared" si="34"/>
        <v>6.759723752047634</v>
      </c>
      <c r="S97" s="136">
        <f t="shared" si="34"/>
        <v>6.325613052374848</v>
      </c>
      <c r="T97" s="136">
        <f t="shared" si="34"/>
        <v>6.211638042422146</v>
      </c>
      <c r="U97" s="517"/>
      <c r="V97" s="518"/>
      <c r="W97" s="153">
        <f t="shared" si="34"/>
        <v>6.633526298775873</v>
      </c>
      <c r="X97" s="137">
        <f t="shared" si="34"/>
        <v>0.2310483606837776</v>
      </c>
      <c r="Y97" s="516"/>
      <c r="Z97" s="516"/>
      <c r="AA97" s="79">
        <f t="shared" si="30"/>
        <v>82.74</v>
      </c>
      <c r="AB97" s="60">
        <f t="shared" si="35"/>
        <v>96.53</v>
      </c>
      <c r="AC97" s="137" t="s">
        <v>7</v>
      </c>
      <c r="AD97" s="153">
        <f t="shared" si="36"/>
        <v>6.633526298775873</v>
      </c>
      <c r="AE97" s="137">
        <f t="shared" si="36"/>
        <v>0.2310483606837776</v>
      </c>
    </row>
    <row r="98" spans="1:31" s="55" customFormat="1" ht="12" customHeight="1">
      <c r="A98" s="91">
        <f t="shared" si="31"/>
        <v>68.94999999999999</v>
      </c>
      <c r="B98" s="92">
        <f t="shared" si="31"/>
        <v>96.53</v>
      </c>
      <c r="C98" s="60" t="str">
        <f t="shared" si="32"/>
        <v>A</v>
      </c>
      <c r="D98" s="135">
        <f t="shared" si="33"/>
        <v>6.340154691575708</v>
      </c>
      <c r="E98" s="136">
        <f t="shared" si="33"/>
        <v>6.3401546915757105</v>
      </c>
      <c r="F98" s="136">
        <f t="shared" si="33"/>
        <v>6.282385628326728</v>
      </c>
      <c r="G98" s="136">
        <f t="shared" si="33"/>
        <v>6.282385628326727</v>
      </c>
      <c r="H98" s="136">
        <f t="shared" si="33"/>
        <v>6.169949196499851</v>
      </c>
      <c r="I98" s="136">
        <f t="shared" si="33"/>
        <v>6.061466573264688</v>
      </c>
      <c r="J98" s="136">
        <f t="shared" si="33"/>
        <v>6.00864333515345</v>
      </c>
      <c r="K98" s="136">
        <f t="shared" si="33"/>
        <v>6.142466126582256</v>
      </c>
      <c r="L98" s="136">
        <f t="shared" si="33"/>
        <v>6.0349393672547755</v>
      </c>
      <c r="M98" s="136">
        <f t="shared" si="33"/>
        <v>6.034939367254778</v>
      </c>
      <c r="N98" s="136">
        <f t="shared" si="34"/>
        <v>6.088228015089258</v>
      </c>
      <c r="O98" s="136">
        <f t="shared" si="34"/>
        <v>6.088228015089256</v>
      </c>
      <c r="P98" s="136">
        <f t="shared" si="34"/>
        <v>6.142466126582258</v>
      </c>
      <c r="Q98" s="136">
        <f t="shared" si="34"/>
        <v>6.115226808947747</v>
      </c>
      <c r="R98" s="136">
        <f t="shared" si="34"/>
        <v>5.781902077223131</v>
      </c>
      <c r="S98" s="136">
        <f t="shared" si="34"/>
        <v>6.0349393672547755</v>
      </c>
      <c r="T98" s="136">
        <f t="shared" si="34"/>
        <v>6.088228015089256</v>
      </c>
      <c r="U98" s="517"/>
      <c r="V98" s="518"/>
      <c r="W98" s="153">
        <f t="shared" si="34"/>
        <v>6.1198060606523725</v>
      </c>
      <c r="X98" s="137">
        <f t="shared" si="34"/>
        <v>0.1387605549860724</v>
      </c>
      <c r="Y98" s="516"/>
      <c r="Z98" s="516"/>
      <c r="AA98" s="79">
        <f t="shared" si="30"/>
        <v>68.94999999999999</v>
      </c>
      <c r="AB98" s="60">
        <f t="shared" si="35"/>
        <v>96.53</v>
      </c>
      <c r="AC98" s="137" t="s">
        <v>9</v>
      </c>
      <c r="AD98" s="153">
        <f t="shared" si="36"/>
        <v>6.1198060606523725</v>
      </c>
      <c r="AE98" s="137">
        <f t="shared" si="36"/>
        <v>0.1387605549860724</v>
      </c>
    </row>
    <row r="99" spans="1:31" s="55" customFormat="1" ht="12" customHeight="1">
      <c r="A99" s="91">
        <f t="shared" si="31"/>
        <v>68.94999999999999</v>
      </c>
      <c r="B99" s="92">
        <f t="shared" si="31"/>
        <v>96.53</v>
      </c>
      <c r="C99" s="60" t="str">
        <f t="shared" si="32"/>
        <v>B</v>
      </c>
      <c r="D99" s="135">
        <f t="shared" si="33"/>
        <v>6.211638042422148</v>
      </c>
      <c r="E99" s="136">
        <f t="shared" si="33"/>
        <v>6.3841835436005425</v>
      </c>
      <c r="F99" s="136">
        <f t="shared" si="33"/>
        <v>6.268107479171438</v>
      </c>
      <c r="G99" s="136">
        <f t="shared" si="33"/>
        <v>6.413877420547519</v>
      </c>
      <c r="H99" s="136">
        <f t="shared" si="33"/>
        <v>6.239745001890121</v>
      </c>
      <c r="I99" s="136">
        <f t="shared" si="33"/>
        <v>6.239745001890121</v>
      </c>
      <c r="J99" s="136">
        <f t="shared" si="33"/>
        <v>6.183783163308148</v>
      </c>
      <c r="K99" s="136">
        <f t="shared" si="33"/>
        <v>6.211638042422148</v>
      </c>
      <c r="L99" s="136">
        <f t="shared" si="33"/>
        <v>6.183783163308147</v>
      </c>
      <c r="M99" s="136">
        <f t="shared" si="33"/>
        <v>6.128816201856519</v>
      </c>
      <c r="N99" s="136">
        <f t="shared" si="34"/>
        <v>6.239745001890122</v>
      </c>
      <c r="O99" s="136">
        <f t="shared" si="34"/>
        <v>6.183783163308148</v>
      </c>
      <c r="P99" s="136">
        <f t="shared" si="34"/>
        <v>6.128816201856519</v>
      </c>
      <c r="Q99" s="136">
        <f t="shared" si="34"/>
        <v>6.15617698847195</v>
      </c>
      <c r="R99" s="136">
        <f t="shared" si="34"/>
        <v>6.211638042422148</v>
      </c>
      <c r="S99" s="136">
        <f t="shared" si="34"/>
        <v>6.1016975460960925</v>
      </c>
      <c r="T99" s="136">
        <f t="shared" si="34"/>
        <v>5.943895023352227</v>
      </c>
      <c r="U99" s="517"/>
      <c r="V99" s="518"/>
      <c r="W99" s="153">
        <f t="shared" si="34"/>
        <v>6.201827589871415</v>
      </c>
      <c r="X99" s="137">
        <f t="shared" si="34"/>
        <v>0.10532423602607081</v>
      </c>
      <c r="Y99" s="516"/>
      <c r="Z99" s="516"/>
      <c r="AA99" s="79">
        <f t="shared" si="30"/>
        <v>68.94999999999999</v>
      </c>
      <c r="AB99" s="60">
        <f t="shared" si="35"/>
        <v>96.53</v>
      </c>
      <c r="AC99" s="137" t="s">
        <v>7</v>
      </c>
      <c r="AD99" s="153">
        <f t="shared" si="36"/>
        <v>6.201827589871415</v>
      </c>
      <c r="AE99" s="137">
        <f t="shared" si="36"/>
        <v>0.10532423602607081</v>
      </c>
    </row>
    <row r="100" spans="1:31" s="55" customFormat="1" ht="12" customHeight="1">
      <c r="A100" s="79"/>
      <c r="B100" s="60"/>
      <c r="C100" s="60" t="s">
        <v>0</v>
      </c>
      <c r="D100" s="135">
        <f>AVERAGE(D92:D97)</f>
        <v>6.5092885519038</v>
      </c>
      <c r="E100" s="136">
        <f aca="true" t="shared" si="37" ref="E100:X100">AVERAGE(E92:E97)</f>
        <v>6.637829243190822</v>
      </c>
      <c r="F100" s="136">
        <f t="shared" si="37"/>
        <v>6.5980751091865875</v>
      </c>
      <c r="G100" s="136">
        <f t="shared" si="37"/>
        <v>6.67883089185064</v>
      </c>
      <c r="H100" s="136">
        <f t="shared" si="37"/>
        <v>6.415490617423103</v>
      </c>
      <c r="I100" s="136">
        <f t="shared" si="37"/>
        <v>6.4126341374835825</v>
      </c>
      <c r="J100" s="136">
        <f t="shared" si="37"/>
        <v>6.387219138369169</v>
      </c>
      <c r="K100" s="136">
        <f t="shared" si="37"/>
        <v>6.422010571612552</v>
      </c>
      <c r="L100" s="136">
        <f t="shared" si="37"/>
        <v>6.336582581314768</v>
      </c>
      <c r="M100" s="136">
        <f t="shared" si="37"/>
        <v>6.3854963757808925</v>
      </c>
      <c r="N100" s="136">
        <f t="shared" si="37"/>
        <v>6.366199116036647</v>
      </c>
      <c r="O100" s="136">
        <f t="shared" si="37"/>
        <v>6.415723420750358</v>
      </c>
      <c r="P100" s="136">
        <f t="shared" si="37"/>
        <v>6.150320973261221</v>
      </c>
      <c r="Q100" s="136">
        <f t="shared" si="37"/>
        <v>6.312989771529541</v>
      </c>
      <c r="R100" s="136">
        <f t="shared" si="37"/>
        <v>6.207053471509771</v>
      </c>
      <c r="S100" s="136">
        <f t="shared" si="37"/>
        <v>6.37363493541178</v>
      </c>
      <c r="T100" s="136">
        <f t="shared" si="37"/>
        <v>6.1058130107215085</v>
      </c>
      <c r="U100" s="517"/>
      <c r="V100" s="518"/>
      <c r="W100" s="136">
        <f t="shared" si="37"/>
        <v>6.395011289255103</v>
      </c>
      <c r="X100" s="417">
        <f t="shared" si="37"/>
        <v>0.23336183579577108</v>
      </c>
      <c r="Y100" s="516"/>
      <c r="Z100" s="516"/>
      <c r="AA100" s="79"/>
      <c r="AB100" s="60"/>
      <c r="AC100" s="137" t="s">
        <v>0</v>
      </c>
      <c r="AD100" s="153">
        <f>W100</f>
        <v>6.395011289255103</v>
      </c>
      <c r="AE100" s="153">
        <f>X100</f>
        <v>0.23336183579577108</v>
      </c>
    </row>
    <row r="101" spans="1:31" s="55" customFormat="1" ht="12" customHeight="1">
      <c r="A101" s="79"/>
      <c r="B101" s="516"/>
      <c r="C101" s="60"/>
      <c r="D101" s="135"/>
      <c r="E101" s="517"/>
      <c r="F101" s="517"/>
      <c r="G101" s="517"/>
      <c r="H101" s="517"/>
      <c r="I101" s="517"/>
      <c r="J101" s="517"/>
      <c r="K101" s="517"/>
      <c r="L101" s="517"/>
      <c r="M101" s="517"/>
      <c r="N101" s="517"/>
      <c r="O101" s="517"/>
      <c r="P101" s="517"/>
      <c r="Q101" s="517"/>
      <c r="R101" s="517"/>
      <c r="S101" s="517"/>
      <c r="T101" s="517"/>
      <c r="U101" s="517"/>
      <c r="V101" s="518"/>
      <c r="W101" s="517"/>
      <c r="X101" s="137"/>
      <c r="Y101" s="516"/>
      <c r="Z101" s="516"/>
      <c r="AA101" s="79"/>
      <c r="AB101" s="60"/>
      <c r="AC101" s="137"/>
      <c r="AD101" s="153"/>
      <c r="AE101" s="137"/>
    </row>
    <row r="102" spans="1:31" s="90" customFormat="1" ht="12" customHeight="1">
      <c r="A102" s="77" t="s">
        <v>122</v>
      </c>
      <c r="B102" s="59"/>
      <c r="C102" s="60"/>
      <c r="D102" s="135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517"/>
      <c r="V102" s="518"/>
      <c r="W102" s="153"/>
      <c r="X102" s="137"/>
      <c r="Y102" s="516"/>
      <c r="Z102" s="516"/>
      <c r="AA102" s="77" t="str">
        <f>A102</f>
        <v>Coil size at 83 MPa coil pressure [µm]</v>
      </c>
      <c r="AB102" s="163"/>
      <c r="AC102" s="137"/>
      <c r="AD102" s="153"/>
      <c r="AE102" s="137"/>
    </row>
    <row r="103" spans="1:31" s="90" customFormat="1" ht="12" customHeight="1">
      <c r="A103" s="79" t="str">
        <f>$C$3</f>
        <v>I-001 4th sizing</v>
      </c>
      <c r="B103" s="60" t="str">
        <f>$C$4</f>
        <v>inner</v>
      </c>
      <c r="C103" s="92" t="s">
        <v>9</v>
      </c>
      <c r="D103" s="155">
        <f aca="true" t="shared" si="38" ref="D103:M104">D85*1000/39.37</f>
        <v>-72.39014478028956</v>
      </c>
      <c r="E103" s="156">
        <f t="shared" si="38"/>
        <v>-80.01016002032007</v>
      </c>
      <c r="F103" s="156">
        <f t="shared" si="38"/>
        <v>-40.386080772161556</v>
      </c>
      <c r="G103" s="156">
        <f t="shared" si="38"/>
        <v>-92.20218440436885</v>
      </c>
      <c r="H103" s="156">
        <f t="shared" si="38"/>
        <v>-82.04216408432819</v>
      </c>
      <c r="I103" s="156">
        <f t="shared" si="38"/>
        <v>-72.39014478028956</v>
      </c>
      <c r="J103" s="156">
        <f t="shared" si="38"/>
        <v>-73.91414782829567</v>
      </c>
      <c r="K103" s="156">
        <f t="shared" si="38"/>
        <v>-67.31013462026925</v>
      </c>
      <c r="L103" s="156">
        <f t="shared" si="38"/>
        <v>-70.35814071628145</v>
      </c>
      <c r="M103" s="156">
        <f t="shared" si="38"/>
        <v>-73.91414782829567</v>
      </c>
      <c r="N103" s="156">
        <f aca="true" t="shared" si="39" ref="N103:T104">N85*1000/39.37</f>
        <v>-65.78613157226316</v>
      </c>
      <c r="O103" s="156">
        <f t="shared" si="39"/>
        <v>-71.88214376428756</v>
      </c>
      <c r="P103" s="156">
        <f t="shared" si="39"/>
        <v>-75.43815087630176</v>
      </c>
      <c r="Q103" s="156">
        <f t="shared" si="39"/>
        <v>-76.45415290830583</v>
      </c>
      <c r="R103" s="156">
        <f t="shared" si="39"/>
        <v>-46.48209296418595</v>
      </c>
      <c r="S103" s="156">
        <f t="shared" si="39"/>
        <v>-76.96215392430787</v>
      </c>
      <c r="T103" s="156">
        <f t="shared" si="39"/>
        <v>-67.8181356362713</v>
      </c>
      <c r="U103" s="517"/>
      <c r="V103" s="518"/>
      <c r="W103" s="156">
        <f>W85*1000/39.37</f>
        <v>-70.92590655769547</v>
      </c>
      <c r="X103" s="418">
        <f>X85*1000/39.37</f>
        <v>12.116226729159152</v>
      </c>
      <c r="Y103" s="516"/>
      <c r="Z103" s="516"/>
      <c r="AA103" s="79" t="str">
        <f>$C$3</f>
        <v>I-001 4th sizing</v>
      </c>
      <c r="AB103" s="60" t="str">
        <f>$C$4</f>
        <v>inner</v>
      </c>
      <c r="AC103" s="76" t="s">
        <v>9</v>
      </c>
      <c r="AD103" s="153">
        <f>W103</f>
        <v>-70.92590655769547</v>
      </c>
      <c r="AE103" s="137">
        <f>X103</f>
        <v>12.116226729159152</v>
      </c>
    </row>
    <row r="104" spans="1:31" ht="12" customHeight="1">
      <c r="A104" s="164" t="str">
        <f>$C$3</f>
        <v>I-001 4th sizing</v>
      </c>
      <c r="B104" s="165" t="str">
        <f>$C$4</f>
        <v>inner</v>
      </c>
      <c r="C104" s="93" t="s">
        <v>7</v>
      </c>
      <c r="D104" s="94">
        <f t="shared" si="38"/>
        <v>-78.74015748031498</v>
      </c>
      <c r="E104" s="95">
        <f t="shared" si="38"/>
        <v>-79.75615951231904</v>
      </c>
      <c r="F104" s="95">
        <f t="shared" si="38"/>
        <v>-82.2961645923292</v>
      </c>
      <c r="G104" s="95">
        <f t="shared" si="38"/>
        <v>-86.36017272034546</v>
      </c>
      <c r="H104" s="95">
        <f t="shared" si="38"/>
        <v>-38.100076200152415</v>
      </c>
      <c r="I104" s="95">
        <f t="shared" si="38"/>
        <v>-74.1681483362967</v>
      </c>
      <c r="J104" s="95">
        <f t="shared" si="38"/>
        <v>-77.7241554483109</v>
      </c>
      <c r="K104" s="95">
        <f t="shared" si="38"/>
        <v>-74.1681483362967</v>
      </c>
      <c r="L104" s="95">
        <f t="shared" si="38"/>
        <v>-80.26416052832107</v>
      </c>
      <c r="M104" s="95">
        <f t="shared" si="38"/>
        <v>-85.34417068834139</v>
      </c>
      <c r="N104" s="95">
        <f t="shared" si="39"/>
        <v>-77.7241554483109</v>
      </c>
      <c r="O104" s="95">
        <f t="shared" si="39"/>
        <v>-75.69215138430278</v>
      </c>
      <c r="P104" s="95">
        <f t="shared" si="39"/>
        <v>-80.26416052832107</v>
      </c>
      <c r="Q104" s="95">
        <f t="shared" si="39"/>
        <v>-67.56413512827027</v>
      </c>
      <c r="R104" s="95">
        <f t="shared" si="39"/>
        <v>-47.752095504191026</v>
      </c>
      <c r="S104" s="95">
        <f t="shared" si="39"/>
        <v>-88.39217678435358</v>
      </c>
      <c r="T104" s="95">
        <f t="shared" si="39"/>
        <v>-61.97612395224792</v>
      </c>
      <c r="U104" s="536"/>
      <c r="V104" s="537"/>
      <c r="W104" s="95">
        <f>W86*1000/39.37</f>
        <v>-73.89920662194267</v>
      </c>
      <c r="X104" s="419">
        <f>X86*1000/39.37</f>
        <v>13.429780135731177</v>
      </c>
      <c r="AA104" s="164" t="str">
        <f>$C$3</f>
        <v>I-001 4th sizing</v>
      </c>
      <c r="AB104" s="165" t="str">
        <f>$C$4</f>
        <v>inner</v>
      </c>
      <c r="AC104" s="166" t="s">
        <v>7</v>
      </c>
      <c r="AD104" s="167">
        <f>W104</f>
        <v>-73.89920662194267</v>
      </c>
      <c r="AE104" s="168">
        <f>X104</f>
        <v>13.429780135731177</v>
      </c>
    </row>
    <row r="105" spans="4:24" ht="12" customHeight="1">
      <c r="D105" s="520"/>
      <c r="X105" s="516"/>
    </row>
  </sheetData>
  <printOptions horizontalCentered="1" verticalCentered="1"/>
  <pageMargins left="0" right="0" top="0" bottom="0" header="0.5" footer="0.5"/>
  <pageSetup fitToHeight="1" fitToWidth="1" orientation="portrait" scale="49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5"/>
  <sheetViews>
    <sheetView view="pageBreakPreview" zoomScale="60" workbookViewId="0" topLeftCell="U1">
      <selection activeCell="G46" sqref="G46"/>
    </sheetView>
  </sheetViews>
  <sheetFormatPr defaultColWidth="9.00390625" defaultRowHeight="12.75"/>
  <cols>
    <col min="1" max="3" width="13.75390625" style="516" customWidth="1"/>
    <col min="4" max="4" width="9.25390625" style="516" customWidth="1"/>
    <col min="5" max="24" width="9.25390625" style="520" customWidth="1"/>
    <col min="25" max="16384" width="8.25390625" style="516" customWidth="1"/>
  </cols>
  <sheetData>
    <row r="1" spans="1:25" s="481" customFormat="1" ht="12.75">
      <c r="A1" s="68" t="s">
        <v>72</v>
      </c>
      <c r="B1" s="22"/>
      <c r="C1" s="22"/>
      <c r="D1" s="22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22"/>
    </row>
    <row r="2" spans="1:22" s="481" customFormat="1" ht="12.75">
      <c r="A2" s="22"/>
      <c r="B2" s="22"/>
      <c r="C2" s="22"/>
      <c r="D2" s="22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s="481" customFormat="1" ht="12.75">
      <c r="A3" s="23" t="s">
        <v>73</v>
      </c>
      <c r="B3" s="461" t="s">
        <v>162</v>
      </c>
      <c r="C3" s="24" t="s">
        <v>142</v>
      </c>
      <c r="D3" s="25"/>
      <c r="E3" s="100"/>
      <c r="F3" s="101"/>
      <c r="G3" s="102" t="s">
        <v>19</v>
      </c>
      <c r="H3" s="103"/>
      <c r="I3" s="102" t="s">
        <v>20</v>
      </c>
      <c r="J3" s="103"/>
      <c r="M3" s="462"/>
      <c r="N3" s="96"/>
      <c r="O3" s="96"/>
      <c r="P3" s="96"/>
      <c r="Q3" s="96"/>
      <c r="R3" s="96"/>
      <c r="S3" s="96"/>
      <c r="T3" s="96"/>
      <c r="U3" s="96"/>
      <c r="V3" s="96"/>
    </row>
    <row r="4" spans="1:22" s="481" customFormat="1" ht="12.75">
      <c r="A4" s="23" t="s">
        <v>74</v>
      </c>
      <c r="B4" s="461" t="s">
        <v>163</v>
      </c>
      <c r="C4" s="24" t="s">
        <v>123</v>
      </c>
      <c r="D4" s="25"/>
      <c r="E4" s="104" t="s">
        <v>76</v>
      </c>
      <c r="F4" s="105"/>
      <c r="G4" s="106">
        <v>34</v>
      </c>
      <c r="H4" s="107"/>
      <c r="I4" s="106">
        <v>24.6</v>
      </c>
      <c r="J4" s="107"/>
      <c r="M4" s="462"/>
      <c r="N4" s="96"/>
      <c r="O4" s="96"/>
      <c r="P4" s="96"/>
      <c r="Q4" s="96"/>
      <c r="R4" s="96"/>
      <c r="S4" s="96"/>
      <c r="T4" s="96"/>
      <c r="U4" s="96"/>
      <c r="V4" s="96"/>
    </row>
    <row r="5" spans="1:22" s="481" customFormat="1" ht="12.75">
      <c r="A5" s="23" t="s">
        <v>77</v>
      </c>
      <c r="B5" s="461"/>
      <c r="C5" s="24" t="s">
        <v>78</v>
      </c>
      <c r="D5" s="25"/>
      <c r="E5" s="108" t="s">
        <v>79</v>
      </c>
      <c r="F5" s="109"/>
      <c r="G5" s="110">
        <v>1.68515</v>
      </c>
      <c r="H5" s="111"/>
      <c r="I5" s="110">
        <v>2.31845</v>
      </c>
      <c r="J5" s="112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63" s="481" customFormat="1" ht="12.75">
      <c r="A6" s="23" t="s">
        <v>53</v>
      </c>
      <c r="B6" s="461"/>
      <c r="C6" s="24"/>
      <c r="D6" s="25"/>
      <c r="E6" s="113" t="s">
        <v>80</v>
      </c>
      <c r="F6" s="114"/>
      <c r="G6" s="115">
        <f>G5*G4*PI()/180</f>
        <v>0.9999881402594031</v>
      </c>
      <c r="H6" s="116"/>
      <c r="I6" s="115">
        <f>I5*I4*PI()/180</f>
        <v>0.9954288166544184</v>
      </c>
      <c r="J6" s="117"/>
      <c r="K6" s="96"/>
      <c r="L6" s="96"/>
      <c r="M6" s="462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22"/>
      <c r="BI6" s="9"/>
      <c r="BJ6" s="12"/>
      <c r="BK6" s="12"/>
    </row>
    <row r="7" spans="1:63" s="481" customFormat="1" ht="12.75">
      <c r="A7" s="96" t="s">
        <v>81</v>
      </c>
      <c r="B7" s="96"/>
      <c r="C7" s="178"/>
      <c r="D7" s="25"/>
      <c r="E7" s="96"/>
      <c r="F7" s="96"/>
      <c r="G7" s="96"/>
      <c r="H7" s="96"/>
      <c r="I7" s="96"/>
      <c r="J7" s="96"/>
      <c r="K7" s="96"/>
      <c r="L7" s="96"/>
      <c r="M7" s="462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22"/>
      <c r="BI7" s="9"/>
      <c r="BJ7" s="12"/>
      <c r="BK7" s="12"/>
    </row>
    <row r="8" spans="1:63" s="481" customFormat="1" ht="12.75">
      <c r="A8" s="96" t="s">
        <v>82</v>
      </c>
      <c r="B8" s="96"/>
      <c r="C8" s="179" t="s">
        <v>83</v>
      </c>
      <c r="D8" s="25"/>
      <c r="E8" s="96"/>
      <c r="F8" s="96"/>
      <c r="G8" s="96"/>
      <c r="H8" s="96"/>
      <c r="I8" s="96"/>
      <c r="J8" s="96"/>
      <c r="K8" s="96"/>
      <c r="L8" s="96"/>
      <c r="M8" s="462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22"/>
      <c r="BI8" s="9"/>
      <c r="BJ8" s="12"/>
      <c r="BK8" s="12"/>
    </row>
    <row r="9" spans="1:63" s="481" customFormat="1" ht="12.75">
      <c r="A9" s="23"/>
      <c r="B9" s="461"/>
      <c r="C9" s="47"/>
      <c r="D9" s="47"/>
      <c r="E9" s="96"/>
      <c r="F9" s="96"/>
      <c r="G9" s="96"/>
      <c r="H9" s="96"/>
      <c r="I9" s="96"/>
      <c r="J9" s="96"/>
      <c r="K9" s="96"/>
      <c r="L9" s="96"/>
      <c r="M9" s="462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22"/>
      <c r="BF9" s="9"/>
      <c r="BI9" s="10"/>
      <c r="BJ9" s="12"/>
      <c r="BK9" s="12"/>
    </row>
    <row r="10" spans="1:63" s="481" customFormat="1" ht="12.75">
      <c r="A10" s="493"/>
      <c r="B10" s="493" t="s">
        <v>84</v>
      </c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N10" s="491"/>
      <c r="O10" s="491" t="s">
        <v>84</v>
      </c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BF10" s="9"/>
      <c r="BI10" s="10"/>
      <c r="BJ10" s="12"/>
      <c r="BK10" s="12"/>
    </row>
    <row r="11" spans="1:63" s="481" customFormat="1" ht="12.75">
      <c r="A11" s="494"/>
      <c r="B11" s="497" t="s">
        <v>85</v>
      </c>
      <c r="C11" s="498"/>
      <c r="D11" s="497" t="s">
        <v>85</v>
      </c>
      <c r="E11" s="498"/>
      <c r="F11" s="497" t="s">
        <v>85</v>
      </c>
      <c r="G11" s="498"/>
      <c r="H11" s="497" t="s">
        <v>85</v>
      </c>
      <c r="I11" s="498"/>
      <c r="J11" s="497" t="s">
        <v>85</v>
      </c>
      <c r="K11" s="498"/>
      <c r="L11" s="494"/>
      <c r="N11" s="492"/>
      <c r="O11" s="496" t="s">
        <v>85</v>
      </c>
      <c r="P11" s="188"/>
      <c r="Q11" s="496" t="s">
        <v>85</v>
      </c>
      <c r="R11" s="188"/>
      <c r="S11" s="496" t="s">
        <v>85</v>
      </c>
      <c r="T11" s="188"/>
      <c r="U11" s="496" t="s">
        <v>85</v>
      </c>
      <c r="V11" s="188"/>
      <c r="W11" s="496" t="s">
        <v>85</v>
      </c>
      <c r="X11" s="188"/>
      <c r="Y11" s="492"/>
      <c r="BF11" s="9"/>
      <c r="BI11" s="10"/>
      <c r="BJ11" s="12"/>
      <c r="BK11" s="12"/>
    </row>
    <row r="12" spans="1:63" s="481" customFormat="1" ht="12.75">
      <c r="A12" s="494" t="s">
        <v>86</v>
      </c>
      <c r="B12" s="500"/>
      <c r="C12" s="501"/>
      <c r="D12" s="500">
        <v>3135</v>
      </c>
      <c r="E12" s="501"/>
      <c r="F12" s="500">
        <v>3918</v>
      </c>
      <c r="G12" s="501"/>
      <c r="H12" s="500">
        <v>4703</v>
      </c>
      <c r="I12" s="501"/>
      <c r="J12" s="500">
        <v>5486</v>
      </c>
      <c r="K12" s="501"/>
      <c r="L12" s="494" t="s">
        <v>86</v>
      </c>
      <c r="N12" s="492" t="s">
        <v>86</v>
      </c>
      <c r="O12" s="499"/>
      <c r="P12" s="189"/>
      <c r="Q12" s="499">
        <v>3135</v>
      </c>
      <c r="R12" s="189"/>
      <c r="S12" s="499">
        <v>3918</v>
      </c>
      <c r="T12" s="189"/>
      <c r="U12" s="499">
        <v>4703</v>
      </c>
      <c r="V12" s="189"/>
      <c r="W12" s="499">
        <v>5486</v>
      </c>
      <c r="X12" s="189"/>
      <c r="Y12" s="492" t="s">
        <v>86</v>
      </c>
      <c r="BF12" s="9"/>
      <c r="BI12" s="10"/>
      <c r="BJ12" s="12"/>
      <c r="BK12" s="12"/>
    </row>
    <row r="13" spans="1:63" s="481" customFormat="1" ht="12.75">
      <c r="A13" s="494" t="s">
        <v>87</v>
      </c>
      <c r="B13" s="503" t="s">
        <v>88</v>
      </c>
      <c r="C13" s="504"/>
      <c r="D13" s="503" t="s">
        <v>89</v>
      </c>
      <c r="E13" s="504"/>
      <c r="F13" s="503" t="s">
        <v>90</v>
      </c>
      <c r="G13" s="504"/>
      <c r="H13" s="503" t="s">
        <v>91</v>
      </c>
      <c r="I13" s="504"/>
      <c r="J13" s="503" t="s">
        <v>92</v>
      </c>
      <c r="K13" s="504"/>
      <c r="L13" s="494" t="s">
        <v>87</v>
      </c>
      <c r="N13" s="492" t="s">
        <v>87</v>
      </c>
      <c r="O13" s="502" t="s">
        <v>88</v>
      </c>
      <c r="P13" s="190"/>
      <c r="Q13" s="502" t="s">
        <v>89</v>
      </c>
      <c r="R13" s="190"/>
      <c r="S13" s="502" t="s">
        <v>90</v>
      </c>
      <c r="T13" s="190"/>
      <c r="U13" s="502" t="s">
        <v>91</v>
      </c>
      <c r="V13" s="190"/>
      <c r="W13" s="502" t="s">
        <v>92</v>
      </c>
      <c r="X13" s="190"/>
      <c r="Y13" s="492" t="s">
        <v>87</v>
      </c>
      <c r="BF13" s="9"/>
      <c r="BI13" s="10"/>
      <c r="BJ13" s="12"/>
      <c r="BK13" s="12"/>
    </row>
    <row r="14" spans="1:63" s="481" customFormat="1" ht="12.75">
      <c r="A14" s="494" t="s">
        <v>93</v>
      </c>
      <c r="B14" s="494"/>
      <c r="C14" s="494"/>
      <c r="D14" s="494"/>
      <c r="E14" s="494"/>
      <c r="F14" s="494"/>
      <c r="G14" s="494"/>
      <c r="H14" s="494"/>
      <c r="I14" s="494"/>
      <c r="J14" s="494"/>
      <c r="K14" s="494"/>
      <c r="L14" s="494" t="s">
        <v>93</v>
      </c>
      <c r="N14" s="492" t="s">
        <v>93</v>
      </c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 t="s">
        <v>93</v>
      </c>
      <c r="BF14" s="9"/>
      <c r="BI14" s="10"/>
      <c r="BJ14" s="12"/>
      <c r="BK14" s="12"/>
    </row>
    <row r="15" spans="1:63" s="481" customFormat="1" ht="12.75">
      <c r="A15" s="494" t="s">
        <v>6</v>
      </c>
      <c r="B15" s="494" t="s">
        <v>94</v>
      </c>
      <c r="C15" s="494" t="s">
        <v>95</v>
      </c>
      <c r="D15" s="494" t="s">
        <v>94</v>
      </c>
      <c r="E15" s="494" t="s">
        <v>95</v>
      </c>
      <c r="F15" s="494" t="s">
        <v>94</v>
      </c>
      <c r="G15" s="494" t="s">
        <v>95</v>
      </c>
      <c r="H15" s="494" t="s">
        <v>94</v>
      </c>
      <c r="I15" s="494" t="s">
        <v>95</v>
      </c>
      <c r="J15" s="494" t="s">
        <v>94</v>
      </c>
      <c r="K15" s="494" t="s">
        <v>95</v>
      </c>
      <c r="L15" s="494" t="s">
        <v>8</v>
      </c>
      <c r="N15" s="492" t="s">
        <v>8</v>
      </c>
      <c r="O15" s="492" t="s">
        <v>94</v>
      </c>
      <c r="P15" s="492" t="s">
        <v>95</v>
      </c>
      <c r="Q15" s="492" t="s">
        <v>94</v>
      </c>
      <c r="R15" s="492" t="s">
        <v>95</v>
      </c>
      <c r="S15" s="492" t="s">
        <v>94</v>
      </c>
      <c r="T15" s="492" t="s">
        <v>95</v>
      </c>
      <c r="U15" s="492" t="s">
        <v>94</v>
      </c>
      <c r="V15" s="492" t="s">
        <v>95</v>
      </c>
      <c r="W15" s="492" t="s">
        <v>94</v>
      </c>
      <c r="X15" s="492" t="s">
        <v>95</v>
      </c>
      <c r="Y15" s="492" t="s">
        <v>8</v>
      </c>
      <c r="BF15" s="9"/>
      <c r="BI15" s="10"/>
      <c r="BJ15" s="12"/>
      <c r="BK15" s="12"/>
    </row>
    <row r="16" spans="1:63" s="481" customFormat="1" ht="12.75">
      <c r="A16" s="494" t="s">
        <v>96</v>
      </c>
      <c r="B16" s="494"/>
      <c r="C16" s="494"/>
      <c r="D16" s="494">
        <v>-0.01326</v>
      </c>
      <c r="E16" s="494">
        <v>0</v>
      </c>
      <c r="F16" s="494">
        <v>-0.0099</v>
      </c>
      <c r="G16" s="494">
        <v>0.00194</v>
      </c>
      <c r="H16" s="494">
        <v>-0.00652</v>
      </c>
      <c r="I16" s="494">
        <v>0.0041</v>
      </c>
      <c r="J16" s="494">
        <v>-0.00312</v>
      </c>
      <c r="K16" s="494">
        <v>0.006</v>
      </c>
      <c r="L16" s="494" t="s">
        <v>96</v>
      </c>
      <c r="N16" s="492" t="s">
        <v>96</v>
      </c>
      <c r="O16" s="492"/>
      <c r="P16" s="492"/>
      <c r="Q16" s="492">
        <v>-0.01238</v>
      </c>
      <c r="R16" s="492">
        <v>0</v>
      </c>
      <c r="S16" s="492">
        <v>-0.0092</v>
      </c>
      <c r="T16" s="492">
        <v>0.00196</v>
      </c>
      <c r="U16" s="492">
        <v>-0.00598</v>
      </c>
      <c r="V16" s="492">
        <v>0.00416</v>
      </c>
      <c r="W16" s="492">
        <v>-0.00264</v>
      </c>
      <c r="X16" s="492">
        <v>0.00614</v>
      </c>
      <c r="Y16" s="492" t="s">
        <v>96</v>
      </c>
      <c r="BF16" s="9"/>
      <c r="BI16" s="10"/>
      <c r="BJ16" s="12"/>
      <c r="BK16" s="12"/>
    </row>
    <row r="17" spans="1:63" s="182" customFormat="1" ht="12.75" hidden="1">
      <c r="A17" s="494" t="s">
        <v>97</v>
      </c>
      <c r="B17" s="494"/>
      <c r="C17" s="494"/>
      <c r="D17" s="494">
        <v>-0.00884</v>
      </c>
      <c r="E17" s="494">
        <v>0.00184</v>
      </c>
      <c r="F17" s="494">
        <v>-0.00626</v>
      </c>
      <c r="G17" s="494">
        <v>0.0039</v>
      </c>
      <c r="H17" s="494">
        <v>-0.00374</v>
      </c>
      <c r="I17" s="494">
        <v>0.00546</v>
      </c>
      <c r="J17" s="494">
        <v>-0.00312</v>
      </c>
      <c r="K17" s="494">
        <v>0.006</v>
      </c>
      <c r="L17" s="494" t="s">
        <v>97</v>
      </c>
      <c r="M17" s="481"/>
      <c r="N17" s="492" t="s">
        <v>97</v>
      </c>
      <c r="O17" s="492"/>
      <c r="P17" s="492"/>
      <c r="Q17" s="492">
        <v>-0.00802</v>
      </c>
      <c r="R17" s="492">
        <v>0.00204</v>
      </c>
      <c r="S17" s="492">
        <v>-0.0055</v>
      </c>
      <c r="T17" s="492">
        <v>0.00406</v>
      </c>
      <c r="U17" s="492">
        <v>-0.0029</v>
      </c>
      <c r="V17" s="492">
        <v>0.0057</v>
      </c>
      <c r="W17" s="492">
        <v>-0.0025</v>
      </c>
      <c r="X17" s="492">
        <v>0.00614</v>
      </c>
      <c r="Y17" s="492" t="s">
        <v>97</v>
      </c>
      <c r="BF17" s="68"/>
      <c r="BI17" s="183"/>
      <c r="BJ17" s="184"/>
      <c r="BK17" s="184"/>
    </row>
    <row r="18" spans="1:63" s="481" customFormat="1" ht="12.75">
      <c r="A18" s="527">
        <v>2</v>
      </c>
      <c r="B18" s="527"/>
      <c r="C18" s="527"/>
      <c r="D18" s="527">
        <v>-0.01322</v>
      </c>
      <c r="E18" s="527"/>
      <c r="F18" s="527">
        <v>-0.00992</v>
      </c>
      <c r="G18" s="527"/>
      <c r="H18" s="527">
        <v>-0.0065</v>
      </c>
      <c r="I18" s="527"/>
      <c r="J18" s="527">
        <v>-0.00312</v>
      </c>
      <c r="K18" s="527"/>
      <c r="L18" s="527">
        <v>2</v>
      </c>
      <c r="M18" s="223"/>
      <c r="N18" s="492">
        <v>2</v>
      </c>
      <c r="O18" s="492"/>
      <c r="P18" s="492"/>
      <c r="Q18" s="492">
        <v>-0.01232</v>
      </c>
      <c r="R18" s="492"/>
      <c r="S18" s="492">
        <v>-0.00916</v>
      </c>
      <c r="T18" s="492"/>
      <c r="U18" s="492">
        <v>-0.00592</v>
      </c>
      <c r="V18" s="492"/>
      <c r="W18" s="492">
        <v>-0.00252</v>
      </c>
      <c r="X18" s="492"/>
      <c r="Y18" s="492">
        <v>2</v>
      </c>
      <c r="BF18" s="9"/>
      <c r="BI18" s="10"/>
      <c r="BJ18" s="12"/>
      <c r="BK18" s="12"/>
    </row>
    <row r="19" spans="1:63" s="481" customFormat="1" ht="12.75">
      <c r="A19" s="494">
        <v>3</v>
      </c>
      <c r="B19" s="494"/>
      <c r="C19" s="494"/>
      <c r="D19" s="494">
        <v>-0.01338</v>
      </c>
      <c r="E19" s="494"/>
      <c r="F19" s="494">
        <v>-0.01004</v>
      </c>
      <c r="G19" s="494"/>
      <c r="H19" s="494">
        <v>-0.00666</v>
      </c>
      <c r="I19" s="494"/>
      <c r="J19" s="494">
        <v>-0.0033</v>
      </c>
      <c r="K19" s="494"/>
      <c r="L19" s="494">
        <v>3</v>
      </c>
      <c r="N19" s="492">
        <v>3</v>
      </c>
      <c r="O19" s="492"/>
      <c r="P19" s="492"/>
      <c r="Q19" s="492">
        <v>-0.01252</v>
      </c>
      <c r="R19" s="492"/>
      <c r="S19" s="492">
        <v>-0.00938</v>
      </c>
      <c r="T19" s="492"/>
      <c r="U19" s="492">
        <v>-0.00612</v>
      </c>
      <c r="V19" s="492"/>
      <c r="W19" s="492">
        <v>-0.00272</v>
      </c>
      <c r="X19" s="492"/>
      <c r="Y19" s="492">
        <v>3</v>
      </c>
      <c r="BF19" s="9"/>
      <c r="BI19" s="10"/>
      <c r="BJ19" s="12"/>
      <c r="BK19" s="12"/>
    </row>
    <row r="20" spans="1:63" s="481" customFormat="1" ht="12.75">
      <c r="A20" s="494" t="s">
        <v>98</v>
      </c>
      <c r="B20" s="494"/>
      <c r="C20" s="494"/>
      <c r="D20" s="494">
        <v>-0.01334</v>
      </c>
      <c r="E20" s="494"/>
      <c r="F20" s="494">
        <v>-0.01</v>
      </c>
      <c r="G20" s="494"/>
      <c r="H20" s="494">
        <v>-0.00662</v>
      </c>
      <c r="I20" s="494"/>
      <c r="J20" s="494">
        <v>-0.00324</v>
      </c>
      <c r="K20" s="494"/>
      <c r="L20" s="494" t="s">
        <v>98</v>
      </c>
      <c r="N20" s="492" t="s">
        <v>98</v>
      </c>
      <c r="O20" s="492"/>
      <c r="P20" s="492"/>
      <c r="Q20" s="492">
        <v>-0.0125</v>
      </c>
      <c r="R20" s="492"/>
      <c r="S20" s="492">
        <v>-0.00928</v>
      </c>
      <c r="T20" s="492"/>
      <c r="U20" s="492">
        <v>-0.006</v>
      </c>
      <c r="V20" s="492"/>
      <c r="W20" s="492">
        <v>-0.0026</v>
      </c>
      <c r="X20" s="492"/>
      <c r="Y20" s="492" t="s">
        <v>98</v>
      </c>
      <c r="BF20" s="9"/>
      <c r="BI20" s="10"/>
      <c r="BJ20" s="12"/>
      <c r="BK20" s="12"/>
    </row>
    <row r="21" spans="1:63" s="182" customFormat="1" ht="12.75" hidden="1">
      <c r="A21" s="494" t="s">
        <v>99</v>
      </c>
      <c r="B21" s="494"/>
      <c r="C21" s="494"/>
      <c r="D21" s="494">
        <v>-0.00902</v>
      </c>
      <c r="E21" s="494"/>
      <c r="F21" s="494">
        <v>-0.00638</v>
      </c>
      <c r="G21" s="494"/>
      <c r="H21" s="494">
        <v>-0.00386</v>
      </c>
      <c r="I21" s="494"/>
      <c r="J21" s="494">
        <v>-0.00324</v>
      </c>
      <c r="K21" s="494"/>
      <c r="L21" s="494" t="s">
        <v>99</v>
      </c>
      <c r="M21" s="481"/>
      <c r="N21" s="492" t="s">
        <v>99</v>
      </c>
      <c r="O21" s="492"/>
      <c r="P21" s="492"/>
      <c r="Q21" s="492">
        <v>-0.0081</v>
      </c>
      <c r="R21" s="492"/>
      <c r="S21" s="492">
        <v>-0.00556</v>
      </c>
      <c r="T21" s="492"/>
      <c r="U21" s="492">
        <v>-0.00306</v>
      </c>
      <c r="V21" s="492"/>
      <c r="W21" s="492">
        <v>-0.0026</v>
      </c>
      <c r="X21" s="492"/>
      <c r="Y21" s="492" t="s">
        <v>99</v>
      </c>
      <c r="BF21" s="68"/>
      <c r="BI21" s="183"/>
      <c r="BJ21" s="184"/>
      <c r="BK21" s="184"/>
    </row>
    <row r="22" spans="1:63" s="481" customFormat="1" ht="12.75">
      <c r="A22" s="527">
        <v>5</v>
      </c>
      <c r="B22" s="527"/>
      <c r="C22" s="527"/>
      <c r="D22" s="527">
        <v>-0.0134</v>
      </c>
      <c r="E22" s="527"/>
      <c r="F22" s="527">
        <v>-0.01006</v>
      </c>
      <c r="G22" s="527"/>
      <c r="H22" s="527">
        <v>-0.00666</v>
      </c>
      <c r="I22" s="527"/>
      <c r="J22" s="527">
        <v>-0.00334</v>
      </c>
      <c r="K22" s="527"/>
      <c r="L22" s="527">
        <v>5</v>
      </c>
      <c r="M22" s="223"/>
      <c r="N22" s="492">
        <v>5</v>
      </c>
      <c r="O22" s="492"/>
      <c r="P22" s="492"/>
      <c r="Q22" s="492">
        <v>-0.01228</v>
      </c>
      <c r="R22" s="492"/>
      <c r="S22" s="492">
        <v>-0.0091</v>
      </c>
      <c r="T22" s="492"/>
      <c r="U22" s="492">
        <v>-0.00588</v>
      </c>
      <c r="V22" s="492"/>
      <c r="W22" s="492">
        <v>-0.00252</v>
      </c>
      <c r="X22" s="492"/>
      <c r="Y22" s="492">
        <v>5</v>
      </c>
      <c r="BF22" s="9"/>
      <c r="BI22" s="10"/>
      <c r="BJ22" s="12"/>
      <c r="BK22" s="12"/>
    </row>
    <row r="23" spans="1:63" s="481" customFormat="1" ht="12.75">
      <c r="A23" s="494">
        <v>6</v>
      </c>
      <c r="B23" s="494"/>
      <c r="C23" s="494"/>
      <c r="D23" s="494">
        <v>-0.01334</v>
      </c>
      <c r="E23" s="494"/>
      <c r="F23" s="494">
        <v>-0.00998</v>
      </c>
      <c r="G23" s="494"/>
      <c r="H23" s="494">
        <v>-0.0066</v>
      </c>
      <c r="I23" s="494"/>
      <c r="J23" s="494">
        <v>-0.00324</v>
      </c>
      <c r="K23" s="494"/>
      <c r="L23" s="494">
        <v>6</v>
      </c>
      <c r="N23" s="492">
        <v>6</v>
      </c>
      <c r="O23" s="492"/>
      <c r="P23" s="492"/>
      <c r="Q23" s="492">
        <v>-0.01236</v>
      </c>
      <c r="R23" s="492"/>
      <c r="S23" s="492">
        <v>-0.00914</v>
      </c>
      <c r="T23" s="492"/>
      <c r="U23" s="492">
        <v>-0.0059</v>
      </c>
      <c r="V23" s="492"/>
      <c r="W23" s="492">
        <v>-0.00254</v>
      </c>
      <c r="X23" s="492"/>
      <c r="Y23" s="492">
        <v>6</v>
      </c>
      <c r="BF23" s="9"/>
      <c r="BI23" s="10"/>
      <c r="BJ23" s="12"/>
      <c r="BK23" s="12"/>
    </row>
    <row r="24" spans="1:63" s="481" customFormat="1" ht="12.75">
      <c r="A24" s="494" t="s">
        <v>100</v>
      </c>
      <c r="B24" s="494"/>
      <c r="C24" s="494"/>
      <c r="D24" s="494">
        <v>-0.01288</v>
      </c>
      <c r="E24" s="494"/>
      <c r="F24" s="494">
        <v>-0.00958</v>
      </c>
      <c r="G24" s="494"/>
      <c r="H24" s="494">
        <v>-0.0063</v>
      </c>
      <c r="I24" s="494"/>
      <c r="J24" s="494">
        <v>-0.00292</v>
      </c>
      <c r="K24" s="494"/>
      <c r="L24" s="494" t="s">
        <v>100</v>
      </c>
      <c r="N24" s="492" t="s">
        <v>100</v>
      </c>
      <c r="O24" s="492"/>
      <c r="P24" s="492"/>
      <c r="Q24" s="492">
        <v>-0.01208</v>
      </c>
      <c r="R24" s="492"/>
      <c r="S24" s="492">
        <v>-0.00888</v>
      </c>
      <c r="T24" s="492"/>
      <c r="U24" s="492">
        <v>-0.00568</v>
      </c>
      <c r="V24" s="492"/>
      <c r="W24" s="492">
        <v>-0.00236</v>
      </c>
      <c r="X24" s="492"/>
      <c r="Y24" s="492" t="s">
        <v>100</v>
      </c>
      <c r="BF24" s="9"/>
      <c r="BI24" s="10"/>
      <c r="BJ24" s="12"/>
      <c r="BK24" s="12"/>
    </row>
    <row r="25" spans="1:63" s="182" customFormat="1" ht="12.75" hidden="1">
      <c r="A25" s="494" t="s">
        <v>101</v>
      </c>
      <c r="B25" s="494"/>
      <c r="C25" s="494"/>
      <c r="D25" s="494">
        <v>-0.0086</v>
      </c>
      <c r="E25" s="494"/>
      <c r="F25" s="494">
        <v>-0.00602</v>
      </c>
      <c r="G25" s="494"/>
      <c r="H25" s="494">
        <v>-0.00348</v>
      </c>
      <c r="I25" s="494"/>
      <c r="J25" s="494">
        <v>-0.00292</v>
      </c>
      <c r="K25" s="494"/>
      <c r="L25" s="494" t="s">
        <v>101</v>
      </c>
      <c r="M25" s="481"/>
      <c r="N25" s="492" t="s">
        <v>101</v>
      </c>
      <c r="O25" s="492"/>
      <c r="P25" s="492"/>
      <c r="Q25" s="492">
        <v>-0.00778</v>
      </c>
      <c r="R25" s="492"/>
      <c r="S25" s="492">
        <v>-0.00522</v>
      </c>
      <c r="T25" s="492"/>
      <c r="U25" s="492">
        <v>-0.00276</v>
      </c>
      <c r="V25" s="492"/>
      <c r="W25" s="492">
        <v>-0.00236</v>
      </c>
      <c r="X25" s="492"/>
      <c r="Y25" s="492" t="s">
        <v>101</v>
      </c>
      <c r="BF25" s="68"/>
      <c r="BI25" s="183"/>
      <c r="BJ25" s="184"/>
      <c r="BK25" s="184"/>
    </row>
    <row r="26" spans="1:63" s="481" customFormat="1" ht="12.75">
      <c r="A26" s="527">
        <v>8</v>
      </c>
      <c r="B26" s="527"/>
      <c r="C26" s="527"/>
      <c r="D26" s="527">
        <v>-0.01284</v>
      </c>
      <c r="E26" s="527"/>
      <c r="F26" s="527">
        <v>-0.00954</v>
      </c>
      <c r="G26" s="527"/>
      <c r="H26" s="527">
        <v>-0.00624</v>
      </c>
      <c r="I26" s="527"/>
      <c r="J26" s="527">
        <v>-0.00288</v>
      </c>
      <c r="K26" s="527"/>
      <c r="L26" s="527">
        <v>8</v>
      </c>
      <c r="M26" s="223"/>
      <c r="N26" s="492">
        <v>8</v>
      </c>
      <c r="O26" s="492"/>
      <c r="P26" s="492"/>
      <c r="Q26" s="492">
        <v>-0.0123</v>
      </c>
      <c r="R26" s="492"/>
      <c r="S26" s="492">
        <v>-0.00908</v>
      </c>
      <c r="T26" s="492"/>
      <c r="U26" s="492">
        <v>-0.00584</v>
      </c>
      <c r="V26" s="492"/>
      <c r="W26" s="492">
        <v>-0.0025</v>
      </c>
      <c r="X26" s="492"/>
      <c r="Y26" s="492">
        <v>8</v>
      </c>
      <c r="BF26" s="9"/>
      <c r="BI26" s="10"/>
      <c r="BJ26" s="12"/>
      <c r="BK26" s="12"/>
    </row>
    <row r="27" spans="1:63" s="481" customFormat="1" ht="12.75">
      <c r="A27" s="494">
        <v>9</v>
      </c>
      <c r="B27" s="494"/>
      <c r="C27" s="494"/>
      <c r="D27" s="494">
        <v>-0.0134</v>
      </c>
      <c r="E27" s="494"/>
      <c r="F27" s="494">
        <v>-0.01006</v>
      </c>
      <c r="G27" s="494"/>
      <c r="H27" s="494">
        <v>-0.00666</v>
      </c>
      <c r="I27" s="494"/>
      <c r="J27" s="494">
        <v>-0.00332</v>
      </c>
      <c r="K27" s="494"/>
      <c r="L27" s="494">
        <v>9</v>
      </c>
      <c r="N27" s="492">
        <v>9</v>
      </c>
      <c r="O27" s="492"/>
      <c r="P27" s="492"/>
      <c r="Q27" s="492">
        <v>-0.01382</v>
      </c>
      <c r="R27" s="492"/>
      <c r="S27" s="492">
        <v>-0.01048</v>
      </c>
      <c r="T27" s="492"/>
      <c r="U27" s="492">
        <v>-0.00708</v>
      </c>
      <c r="V27" s="492"/>
      <c r="W27" s="492">
        <v>-0.00374</v>
      </c>
      <c r="X27" s="492"/>
      <c r="Y27" s="492">
        <v>9</v>
      </c>
      <c r="BF27" s="9"/>
      <c r="BI27" s="10"/>
      <c r="BJ27" s="12"/>
      <c r="BK27" s="12"/>
    </row>
    <row r="28" spans="1:63" s="481" customFormat="1" ht="12.75">
      <c r="A28" s="494" t="s">
        <v>102</v>
      </c>
      <c r="B28" s="494"/>
      <c r="C28" s="494"/>
      <c r="D28" s="494">
        <v>-0.01312</v>
      </c>
      <c r="E28" s="494"/>
      <c r="F28" s="494">
        <v>-0.00984</v>
      </c>
      <c r="G28" s="494"/>
      <c r="H28" s="494">
        <v>-0.00646</v>
      </c>
      <c r="I28" s="494"/>
      <c r="J28" s="494">
        <v>-0.00312</v>
      </c>
      <c r="K28" s="494"/>
      <c r="L28" s="494" t="s">
        <v>102</v>
      </c>
      <c r="N28" s="492" t="s">
        <v>102</v>
      </c>
      <c r="O28" s="492"/>
      <c r="P28" s="492"/>
      <c r="Q28" s="492">
        <v>-0.01328</v>
      </c>
      <c r="R28" s="492"/>
      <c r="S28" s="492">
        <v>-0.00998</v>
      </c>
      <c r="T28" s="492"/>
      <c r="U28" s="492">
        <v>-0.00662</v>
      </c>
      <c r="V28" s="492"/>
      <c r="W28" s="492">
        <v>-0.00328</v>
      </c>
      <c r="X28" s="492"/>
      <c r="Y28" s="492" t="s">
        <v>102</v>
      </c>
      <c r="BF28" s="9"/>
      <c r="BI28" s="10"/>
      <c r="BJ28" s="12"/>
      <c r="BK28" s="12"/>
    </row>
    <row r="29" spans="1:63" s="182" customFormat="1" ht="12.75" hidden="1">
      <c r="A29" s="494" t="s">
        <v>103</v>
      </c>
      <c r="B29" s="494"/>
      <c r="C29" s="494"/>
      <c r="D29" s="494">
        <v>-0.00842</v>
      </c>
      <c r="E29" s="494"/>
      <c r="F29" s="494">
        <v>-0.00604</v>
      </c>
      <c r="G29" s="494"/>
      <c r="H29" s="494">
        <v>-0.00368</v>
      </c>
      <c r="I29" s="494"/>
      <c r="J29" s="494">
        <v>-0.00312</v>
      </c>
      <c r="K29" s="494"/>
      <c r="L29" s="494" t="s">
        <v>103</v>
      </c>
      <c r="M29" s="481"/>
      <c r="N29" s="492" t="s">
        <v>103</v>
      </c>
      <c r="O29" s="492"/>
      <c r="P29" s="492"/>
      <c r="Q29" s="492">
        <v>-0.00906</v>
      </c>
      <c r="R29" s="492"/>
      <c r="S29" s="492">
        <v>-0.0063</v>
      </c>
      <c r="T29" s="492"/>
      <c r="U29" s="492">
        <v>-0.00384</v>
      </c>
      <c r="V29" s="492"/>
      <c r="W29" s="492">
        <v>-0.00328</v>
      </c>
      <c r="X29" s="492"/>
      <c r="Y29" s="492" t="s">
        <v>103</v>
      </c>
      <c r="BF29" s="68"/>
      <c r="BI29" s="183"/>
      <c r="BJ29" s="184"/>
      <c r="BK29" s="184"/>
    </row>
    <row r="30" spans="1:63" s="481" customFormat="1" ht="12.75">
      <c r="A30" s="527">
        <v>11</v>
      </c>
      <c r="B30" s="527"/>
      <c r="C30" s="527"/>
      <c r="D30" s="527">
        <v>-0.01402</v>
      </c>
      <c r="E30" s="527"/>
      <c r="F30" s="527">
        <v>-0.01058</v>
      </c>
      <c r="G30" s="527"/>
      <c r="H30" s="527">
        <v>-0.00718</v>
      </c>
      <c r="I30" s="527"/>
      <c r="J30" s="527">
        <v>-0.00386</v>
      </c>
      <c r="K30" s="527"/>
      <c r="L30" s="527">
        <v>11</v>
      </c>
      <c r="M30" s="223"/>
      <c r="N30" s="492">
        <v>11</v>
      </c>
      <c r="O30" s="492"/>
      <c r="P30" s="492"/>
      <c r="Q30" s="492">
        <v>-0.0138</v>
      </c>
      <c r="R30" s="492"/>
      <c r="S30" s="492">
        <v>-0.01044</v>
      </c>
      <c r="T30" s="492"/>
      <c r="U30" s="492">
        <v>-0.00706</v>
      </c>
      <c r="V30" s="492"/>
      <c r="W30" s="492">
        <v>-0.00374</v>
      </c>
      <c r="X30" s="492"/>
      <c r="Y30" s="492">
        <v>11</v>
      </c>
      <c r="BF30" s="9"/>
      <c r="BI30" s="10"/>
      <c r="BJ30" s="12"/>
      <c r="BK30" s="12"/>
    </row>
    <row r="31" spans="1:63" s="481" customFormat="1" ht="12.75">
      <c r="A31" s="494">
        <v>12</v>
      </c>
      <c r="B31" s="494"/>
      <c r="C31" s="494"/>
      <c r="D31" s="494">
        <v>-0.01346</v>
      </c>
      <c r="E31" s="494"/>
      <c r="F31" s="494">
        <v>-0.01008</v>
      </c>
      <c r="G31" s="494"/>
      <c r="H31" s="494">
        <v>-0.00668</v>
      </c>
      <c r="I31" s="494"/>
      <c r="J31" s="494">
        <v>-0.00334</v>
      </c>
      <c r="K31" s="494"/>
      <c r="L31" s="494">
        <v>12</v>
      </c>
      <c r="N31" s="492">
        <v>12</v>
      </c>
      <c r="O31" s="492"/>
      <c r="P31" s="492"/>
      <c r="Q31" s="492">
        <v>-0.01422</v>
      </c>
      <c r="R31" s="492"/>
      <c r="S31" s="492">
        <v>-0.01086</v>
      </c>
      <c r="T31" s="492"/>
      <c r="U31" s="492">
        <v>-0.0075</v>
      </c>
      <c r="V31" s="492"/>
      <c r="W31" s="492">
        <v>-0.00422</v>
      </c>
      <c r="X31" s="492"/>
      <c r="Y31" s="492">
        <v>12</v>
      </c>
      <c r="BF31" s="9"/>
      <c r="BI31" s="10"/>
      <c r="BJ31" s="12"/>
      <c r="BK31" s="12"/>
    </row>
    <row r="32" spans="1:63" s="481" customFormat="1" ht="12.75">
      <c r="A32" s="494" t="s">
        <v>104</v>
      </c>
      <c r="B32" s="494"/>
      <c r="C32" s="494"/>
      <c r="D32" s="494">
        <v>-0.01292</v>
      </c>
      <c r="E32" s="494"/>
      <c r="F32" s="494">
        <v>-0.00962</v>
      </c>
      <c r="G32" s="494"/>
      <c r="H32" s="494">
        <v>-0.0063</v>
      </c>
      <c r="I32" s="494"/>
      <c r="J32" s="494">
        <v>-0.0029</v>
      </c>
      <c r="K32" s="494"/>
      <c r="L32" s="494" t="s">
        <v>104</v>
      </c>
      <c r="N32" s="492" t="s">
        <v>104</v>
      </c>
      <c r="O32" s="492"/>
      <c r="P32" s="492"/>
      <c r="Q32" s="492">
        <v>-0.01446</v>
      </c>
      <c r="R32" s="492"/>
      <c r="S32" s="492">
        <v>-0.0111</v>
      </c>
      <c r="T32" s="492"/>
      <c r="U32" s="492">
        <v>-0.00772</v>
      </c>
      <c r="V32" s="492"/>
      <c r="W32" s="492">
        <v>-0.0044</v>
      </c>
      <c r="X32" s="492"/>
      <c r="Y32" s="492" t="s">
        <v>104</v>
      </c>
      <c r="BF32" s="9"/>
      <c r="BI32" s="10"/>
      <c r="BJ32" s="12"/>
      <c r="BK32" s="12"/>
    </row>
    <row r="33" spans="1:63" s="182" customFormat="1" ht="12.75" hidden="1">
      <c r="A33" s="494" t="s">
        <v>105</v>
      </c>
      <c r="B33" s="494"/>
      <c r="C33" s="494"/>
      <c r="D33" s="494">
        <v>-0.00862</v>
      </c>
      <c r="E33" s="494"/>
      <c r="F33" s="494">
        <v>-0.00606</v>
      </c>
      <c r="G33" s="494"/>
      <c r="H33" s="494">
        <v>-0.0035</v>
      </c>
      <c r="I33" s="494"/>
      <c r="J33" s="494">
        <v>-0.0029</v>
      </c>
      <c r="K33" s="494"/>
      <c r="L33" s="494" t="s">
        <v>105</v>
      </c>
      <c r="M33" s="481"/>
      <c r="N33" s="492" t="s">
        <v>105</v>
      </c>
      <c r="O33" s="492"/>
      <c r="P33" s="492"/>
      <c r="Q33" s="492">
        <v>-0.01008</v>
      </c>
      <c r="R33" s="492"/>
      <c r="S33" s="492">
        <v>-0.00718</v>
      </c>
      <c r="T33" s="492"/>
      <c r="U33" s="492">
        <v>-0.00494</v>
      </c>
      <c r="V33" s="492"/>
      <c r="W33" s="492">
        <v>-0.0044</v>
      </c>
      <c r="X33" s="492"/>
      <c r="Y33" s="492" t="s">
        <v>105</v>
      </c>
      <c r="BF33" s="68"/>
      <c r="BI33" s="183"/>
      <c r="BJ33" s="184"/>
      <c r="BK33" s="184"/>
    </row>
    <row r="34" spans="1:63" s="481" customFormat="1" ht="12.75">
      <c r="A34" s="527">
        <v>14</v>
      </c>
      <c r="B34" s="527"/>
      <c r="C34" s="527"/>
      <c r="D34" s="527">
        <v>-0.01236</v>
      </c>
      <c r="E34" s="527"/>
      <c r="F34" s="527">
        <v>-0.00902</v>
      </c>
      <c r="G34" s="527"/>
      <c r="H34" s="527">
        <v>-0.00576</v>
      </c>
      <c r="I34" s="527"/>
      <c r="J34" s="527">
        <v>-0.00244</v>
      </c>
      <c r="K34" s="527"/>
      <c r="L34" s="527">
        <v>14</v>
      </c>
      <c r="M34" s="223"/>
      <c r="N34" s="492">
        <v>14</v>
      </c>
      <c r="O34" s="492"/>
      <c r="P34" s="492"/>
      <c r="Q34" s="492">
        <v>-0.01406</v>
      </c>
      <c r="R34" s="492"/>
      <c r="S34" s="492">
        <v>-0.0107</v>
      </c>
      <c r="T34" s="492"/>
      <c r="U34" s="492">
        <v>-0.00738</v>
      </c>
      <c r="V34" s="492"/>
      <c r="W34" s="492">
        <v>-0.00406</v>
      </c>
      <c r="X34" s="492"/>
      <c r="Y34" s="492">
        <v>14</v>
      </c>
      <c r="BF34" s="9"/>
      <c r="BI34" s="10"/>
      <c r="BJ34" s="12"/>
      <c r="BK34" s="12"/>
    </row>
    <row r="35" spans="1:63" s="481" customFormat="1" ht="12.75">
      <c r="A35" s="494">
        <v>15</v>
      </c>
      <c r="B35" s="494"/>
      <c r="C35" s="494"/>
      <c r="D35" s="494">
        <v>-0.0121</v>
      </c>
      <c r="E35" s="494"/>
      <c r="F35" s="494">
        <v>-0.00878</v>
      </c>
      <c r="G35" s="494"/>
      <c r="H35" s="494">
        <v>-0.00548</v>
      </c>
      <c r="I35" s="494"/>
      <c r="J35" s="494">
        <v>-0.00222</v>
      </c>
      <c r="K35" s="494"/>
      <c r="L35" s="494">
        <v>15</v>
      </c>
      <c r="N35" s="492">
        <v>15</v>
      </c>
      <c r="O35" s="492"/>
      <c r="P35" s="492"/>
      <c r="Q35" s="492">
        <v>-0.0139</v>
      </c>
      <c r="R35" s="492"/>
      <c r="S35" s="492">
        <v>-0.01052</v>
      </c>
      <c r="T35" s="492"/>
      <c r="U35" s="492">
        <v>-0.0072</v>
      </c>
      <c r="V35" s="492"/>
      <c r="W35" s="492">
        <v>-0.00392</v>
      </c>
      <c r="X35" s="492"/>
      <c r="Y35" s="492">
        <v>15</v>
      </c>
      <c r="BF35" s="9"/>
      <c r="BI35" s="10"/>
      <c r="BJ35" s="12"/>
      <c r="BK35" s="12"/>
    </row>
    <row r="36" spans="1:63" s="481" customFormat="1" ht="12.75">
      <c r="A36" s="494" t="s">
        <v>106</v>
      </c>
      <c r="B36" s="494"/>
      <c r="C36" s="494"/>
      <c r="D36" s="494">
        <v>-0.0131</v>
      </c>
      <c r="E36" s="494"/>
      <c r="F36" s="494">
        <v>-0.00982</v>
      </c>
      <c r="G36" s="494"/>
      <c r="H36" s="494">
        <v>-0.00638</v>
      </c>
      <c r="I36" s="494"/>
      <c r="J36" s="494">
        <v>-0.00306</v>
      </c>
      <c r="K36" s="494"/>
      <c r="L36" s="494" t="s">
        <v>106</v>
      </c>
      <c r="N36" s="492" t="s">
        <v>106</v>
      </c>
      <c r="O36" s="492"/>
      <c r="P36" s="492"/>
      <c r="Q36" s="492">
        <v>-0.0129</v>
      </c>
      <c r="R36" s="492"/>
      <c r="S36" s="492">
        <v>-0.0097</v>
      </c>
      <c r="T36" s="492"/>
      <c r="U36" s="492">
        <v>-0.00636</v>
      </c>
      <c r="V36" s="492"/>
      <c r="W36" s="492">
        <v>-0.00306</v>
      </c>
      <c r="X36" s="492"/>
      <c r="Y36" s="492" t="s">
        <v>106</v>
      </c>
      <c r="BF36" s="9"/>
      <c r="BI36" s="10"/>
      <c r="BJ36" s="12"/>
      <c r="BK36" s="12"/>
    </row>
    <row r="37" spans="1:63" s="182" customFormat="1" ht="12.75" hidden="1">
      <c r="A37" s="494" t="s">
        <v>107</v>
      </c>
      <c r="B37" s="494"/>
      <c r="C37" s="494"/>
      <c r="D37" s="494">
        <v>-0.0087</v>
      </c>
      <c r="E37" s="494"/>
      <c r="F37" s="494">
        <v>-0.00616</v>
      </c>
      <c r="G37" s="494"/>
      <c r="H37" s="494">
        <v>-0.00364</v>
      </c>
      <c r="I37" s="494"/>
      <c r="J37" s="494">
        <v>-0.00306</v>
      </c>
      <c r="K37" s="494"/>
      <c r="L37" s="494" t="s">
        <v>107</v>
      </c>
      <c r="M37" s="481"/>
      <c r="N37" s="492" t="s">
        <v>107</v>
      </c>
      <c r="O37" s="492"/>
      <c r="P37" s="492"/>
      <c r="Q37" s="492">
        <v>-0.00872</v>
      </c>
      <c r="R37" s="492"/>
      <c r="S37" s="492">
        <v>-0.00608</v>
      </c>
      <c r="T37" s="492"/>
      <c r="U37" s="492">
        <v>-0.0036</v>
      </c>
      <c r="V37" s="492"/>
      <c r="W37" s="492">
        <v>-0.00306</v>
      </c>
      <c r="X37" s="492"/>
      <c r="Y37" s="492" t="s">
        <v>107</v>
      </c>
      <c r="BF37" s="68"/>
      <c r="BI37" s="183"/>
      <c r="BJ37" s="184"/>
      <c r="BK37" s="184"/>
    </row>
    <row r="38" spans="1:63" s="481" customFormat="1" ht="12.75">
      <c r="A38" s="527">
        <v>17</v>
      </c>
      <c r="B38" s="527"/>
      <c r="C38" s="527"/>
      <c r="D38" s="527">
        <v>-0.01388</v>
      </c>
      <c r="E38" s="527"/>
      <c r="F38" s="527">
        <v>-0.01042</v>
      </c>
      <c r="G38" s="527"/>
      <c r="H38" s="527">
        <v>-0.00696</v>
      </c>
      <c r="I38" s="527"/>
      <c r="J38" s="527">
        <v>-0.0036</v>
      </c>
      <c r="K38" s="527"/>
      <c r="L38" s="527">
        <v>17</v>
      </c>
      <c r="M38" s="223"/>
      <c r="N38" s="492">
        <v>17</v>
      </c>
      <c r="O38" s="492"/>
      <c r="P38" s="492"/>
      <c r="Q38" s="492">
        <v>-0.01336</v>
      </c>
      <c r="R38" s="492"/>
      <c r="S38" s="492">
        <v>-0.01008</v>
      </c>
      <c r="T38" s="492"/>
      <c r="U38" s="492">
        <v>-0.0067</v>
      </c>
      <c r="V38" s="492"/>
      <c r="W38" s="492">
        <v>-0.0034</v>
      </c>
      <c r="X38" s="492"/>
      <c r="Y38" s="492">
        <v>17</v>
      </c>
      <c r="BF38" s="9"/>
      <c r="BI38" s="10"/>
      <c r="BJ38" s="12"/>
      <c r="BK38" s="12"/>
    </row>
    <row r="39" spans="1:63" s="481" customFormat="1" ht="12.75">
      <c r="A39" s="494">
        <v>18</v>
      </c>
      <c r="B39" s="494"/>
      <c r="C39" s="494"/>
      <c r="D39" s="494">
        <v>-0.01394</v>
      </c>
      <c r="E39" s="494"/>
      <c r="F39" s="494">
        <v>-0.0105</v>
      </c>
      <c r="G39" s="494"/>
      <c r="H39" s="494">
        <v>-0.00706</v>
      </c>
      <c r="I39" s="494"/>
      <c r="J39" s="494">
        <v>-0.00372</v>
      </c>
      <c r="K39" s="494"/>
      <c r="L39" s="494">
        <v>18</v>
      </c>
      <c r="N39" s="492">
        <v>18</v>
      </c>
      <c r="O39" s="492"/>
      <c r="P39" s="492"/>
      <c r="Q39" s="492">
        <v>-0.01412</v>
      </c>
      <c r="R39" s="492"/>
      <c r="S39" s="492">
        <v>-0.01078</v>
      </c>
      <c r="T39" s="492"/>
      <c r="U39" s="492">
        <v>-0.0074</v>
      </c>
      <c r="V39" s="492"/>
      <c r="W39" s="492">
        <v>-0.00424</v>
      </c>
      <c r="X39" s="492"/>
      <c r="Y39" s="492">
        <v>18</v>
      </c>
      <c r="BF39" s="9"/>
      <c r="BI39" s="10"/>
      <c r="BJ39" s="12"/>
      <c r="BK39" s="12"/>
    </row>
    <row r="40" spans="1:63" s="481" customFormat="1" ht="12.75">
      <c r="A40" s="494" t="s">
        <v>108</v>
      </c>
      <c r="B40" s="494"/>
      <c r="C40" s="494"/>
      <c r="D40" s="494">
        <v>-0.01316</v>
      </c>
      <c r="E40" s="494">
        <v>-8E-05</v>
      </c>
      <c r="F40" s="494">
        <v>-0.0097</v>
      </c>
      <c r="G40" s="494">
        <v>0.00186</v>
      </c>
      <c r="H40" s="494">
        <v>-0.00628</v>
      </c>
      <c r="I40" s="494">
        <v>0.00402</v>
      </c>
      <c r="J40" s="494">
        <v>-0.00282</v>
      </c>
      <c r="K40" s="494">
        <v>0.00592</v>
      </c>
      <c r="L40" s="494" t="s">
        <v>108</v>
      </c>
      <c r="N40" s="492" t="s">
        <v>108</v>
      </c>
      <c r="O40" s="492"/>
      <c r="P40" s="492"/>
      <c r="Q40" s="492">
        <v>-0.01438</v>
      </c>
      <c r="R40" s="492">
        <v>8E-05</v>
      </c>
      <c r="S40" s="492">
        <v>-0.01102</v>
      </c>
      <c r="T40" s="492">
        <v>0.002</v>
      </c>
      <c r="U40" s="492">
        <v>-0.00768</v>
      </c>
      <c r="V40" s="492">
        <v>0.00416</v>
      </c>
      <c r="W40" s="492">
        <v>-0.00448</v>
      </c>
      <c r="X40" s="492">
        <v>0.0061</v>
      </c>
      <c r="Y40" s="492" t="s">
        <v>108</v>
      </c>
      <c r="BF40" s="9"/>
      <c r="BI40" s="10"/>
      <c r="BJ40" s="12"/>
      <c r="BK40" s="12"/>
    </row>
    <row r="41" spans="1:63" s="182" customFormat="1" ht="12.75" hidden="1">
      <c r="A41" s="494" t="s">
        <v>109</v>
      </c>
      <c r="B41" s="494"/>
      <c r="C41" s="494"/>
      <c r="D41" s="591"/>
      <c r="E41" s="591"/>
      <c r="F41" s="592"/>
      <c r="G41" s="592"/>
      <c r="H41" s="592"/>
      <c r="I41" s="592"/>
      <c r="J41" s="592"/>
      <c r="K41" s="591"/>
      <c r="L41" s="591" t="s">
        <v>109</v>
      </c>
      <c r="M41" s="481"/>
      <c r="N41" s="492" t="s">
        <v>109</v>
      </c>
      <c r="O41" s="492"/>
      <c r="P41" s="492"/>
      <c r="Q41" s="494"/>
      <c r="R41" s="494"/>
      <c r="S41" s="507"/>
      <c r="T41" s="507"/>
      <c r="U41" s="507"/>
      <c r="V41" s="507"/>
      <c r="W41" s="507"/>
      <c r="X41" s="494"/>
      <c r="Y41" s="494" t="s">
        <v>109</v>
      </c>
      <c r="BF41" s="68"/>
      <c r="BI41" s="183"/>
      <c r="BJ41" s="184"/>
      <c r="BK41" s="184"/>
    </row>
    <row r="42" spans="1:63" s="481" customFormat="1" ht="12.75">
      <c r="A42" s="23"/>
      <c r="B42" s="461"/>
      <c r="C42" s="47"/>
      <c r="D42" s="495">
        <f>AVERAGE(D16,D18:D20,D22:D24,D26:D28,D30:D32,D34:D36,D38:D40)</f>
        <v>-0.013216842105263159</v>
      </c>
      <c r="E42" s="180">
        <f>STDEV(D16,D18:D20,D22:D24,D26:D28,D30:D32,D34:D36,D38:D40)</f>
        <v>0.00047982696686269454</v>
      </c>
      <c r="F42" s="495">
        <f>AVERAGE(F16,F18:F20,F22:F24,F26:F28,F30:F32,F34:F36,F38:F40)</f>
        <v>-0.00986526315789474</v>
      </c>
      <c r="G42" s="180">
        <f>STDEV(F16,F18:F20,F22:F24,F26:F28,F30:F32,F34:F36,F38:F40)</f>
        <v>0.0004459119048652409</v>
      </c>
      <c r="H42" s="495">
        <f>AVERAGE(H16,H18:H20,H22:H24,H26:H28,H30:H32,H34:H36,H38:H40)</f>
        <v>-0.006489473684210526</v>
      </c>
      <c r="I42" s="180">
        <f>STDEV(H16,H18:H20,H22:H24,H26:H28,H30:H32,H34:H36,H38:H40)</f>
        <v>0.00040273335104854257</v>
      </c>
      <c r="J42" s="495">
        <f>AVERAGE(J16,J18:J20,J22:J24,J26:J28,J30:J32,J34:J36,J38:J40)</f>
        <v>-0.003134736842105263</v>
      </c>
      <c r="K42" s="180">
        <f>STDEV(J16,J18:J20,J22:J24,J26:J28,J30:J32,J34:J36,J38:J40)</f>
        <v>0.00039748331091523845</v>
      </c>
      <c r="L42" s="96"/>
      <c r="M42" s="462"/>
      <c r="N42" s="96"/>
      <c r="O42" s="96"/>
      <c r="P42" s="96"/>
      <c r="Q42" s="495">
        <f>AVERAGE(Q16,Q18:Q20,Q22:Q24,Q26:Q28,Q30:Q32,Q34:Q36,Q38:Q40)</f>
        <v>-0.013212631578947368</v>
      </c>
      <c r="R42" s="180">
        <f>STDEV(Q16,Q18:Q20,Q22:Q24,Q26:Q28,Q30:Q32,Q34:Q36,Q38:Q40)</f>
        <v>0.0008490310955257355</v>
      </c>
      <c r="S42" s="495">
        <f>AVERAGE(S16,S18:S20,S22:S24,S26:S28,S30:S32,S34:S36,S38:S40)</f>
        <v>-0.00994105263157895</v>
      </c>
      <c r="T42" s="180">
        <f>STDEV(S16,S18:S20,S22:S24,S26:S28,S30:S32,S34:S36,S38:S40)</f>
        <v>0.0007714480953004186</v>
      </c>
      <c r="U42" s="495">
        <f>AVERAGE(U16,U18:U20,U22:U24,U26:U28,U30:U32,U34:U36,U38:U40)</f>
        <v>-0.006632631578947369</v>
      </c>
      <c r="V42" s="180">
        <f>STDEV(U16,U18:U20,U22:U24,U26:U28,U30:U32,U34:U36,U38:U40)</f>
        <v>0.0007148647277264147</v>
      </c>
      <c r="W42" s="495">
        <f>AVERAGE(W16,W18:W20,W22:W24,W26:W28,W30:W32,W34:W36,W38:W40)</f>
        <v>-0.003312631578947369</v>
      </c>
      <c r="X42" s="180">
        <f>STDEV(W16,W18:W20,W22:W24,W26:W28,W30:W32,W34:W36,W38:W40)</f>
        <v>0.0007574287066213104</v>
      </c>
      <c r="Y42" s="22"/>
      <c r="BF42" s="9"/>
      <c r="BI42" s="10"/>
      <c r="BJ42" s="12"/>
      <c r="BK42" s="12"/>
    </row>
    <row r="43" spans="1:63" s="481" customFormat="1" ht="12.75">
      <c r="A43" s="23" t="s">
        <v>150</v>
      </c>
      <c r="B43" s="461"/>
      <c r="C43" s="47"/>
      <c r="D43" s="180">
        <f>AVERAGE(E16,E18:E20,E22:E24,E26:E28,E30:E32,E34:E36,E38:E40)</f>
        <v>-4E-05</v>
      </c>
      <c r="E43" s="180"/>
      <c r="F43" s="180">
        <f>AVERAGE(G16,G18:G20,G22:G24,G26:G28,G30:G32,G34:G36,G38:G40)</f>
        <v>0.0019000000000000002</v>
      </c>
      <c r="G43" s="180"/>
      <c r="H43" s="180">
        <f>AVERAGE(I16,I18:I20,I22:I24,I26:I28,I30:I32,I34:I36,I38:I40)</f>
        <v>0.00406</v>
      </c>
      <c r="I43" s="180"/>
      <c r="J43" s="180">
        <f>AVERAGE(K16,K18:K20,K22:K24,K26:K28,K30:K32,K34:K36,K38:K40)</f>
        <v>0.00596</v>
      </c>
      <c r="L43" s="96"/>
      <c r="M43" s="462"/>
      <c r="N43" s="96"/>
      <c r="O43" s="96"/>
      <c r="P43" s="96"/>
      <c r="Q43" s="180">
        <f>AVERAGE(R16,R18:R20,R22:R24,R26:R28,R30:R32,R34:R36,R38:R40)</f>
        <v>4E-05</v>
      </c>
      <c r="R43" s="180"/>
      <c r="S43" s="180">
        <f>AVERAGE(T16,T18:T20,T22:T24,T26:T28,T30:T32,T34:T36,T38:T40)</f>
        <v>0.00198</v>
      </c>
      <c r="T43" s="180"/>
      <c r="U43" s="180">
        <f>AVERAGE(V16,V18:V20,V22:V24,V26:V28,V30:V32,V34:V36,V38:V40)</f>
        <v>0.00416</v>
      </c>
      <c r="V43" s="180"/>
      <c r="W43" s="180">
        <f>AVERAGE(X16,X18:X20,X22:X24,X26:X28,X30:X32,X34:X36,X38:X40)</f>
        <v>0.0061200000000000004</v>
      </c>
      <c r="X43" s="96"/>
      <c r="Y43" s="22"/>
      <c r="BF43" s="9"/>
      <c r="BI43" s="10"/>
      <c r="BJ43" s="12"/>
      <c r="BK43" s="12"/>
    </row>
    <row r="44" spans="1:25" s="481" customFormat="1" ht="12.75">
      <c r="A44" s="25"/>
      <c r="B44" s="25"/>
      <c r="C44" s="25"/>
      <c r="D44" s="25"/>
      <c r="E44" s="97"/>
      <c r="F44" s="509">
        <f>F42-D42</f>
        <v>0.003351578947368419</v>
      </c>
      <c r="G44" s="97"/>
      <c r="H44" s="509">
        <f>H42-F42</f>
        <v>0.003375789473684214</v>
      </c>
      <c r="I44" s="97"/>
      <c r="J44" s="509">
        <f>J42-H42</f>
        <v>0.0033547368421052628</v>
      </c>
      <c r="K44" s="97"/>
      <c r="L44" s="97"/>
      <c r="M44" s="97"/>
      <c r="N44" s="97"/>
      <c r="O44" s="97"/>
      <c r="P44" s="97"/>
      <c r="Q44" s="97"/>
      <c r="R44" s="99"/>
      <c r="S44" s="509">
        <f>S42-Q42</f>
        <v>0.0032715789473684188</v>
      </c>
      <c r="T44" s="98"/>
      <c r="U44" s="509">
        <f>U42-S42</f>
        <v>0.0033084210526315803</v>
      </c>
      <c r="V44" s="98"/>
      <c r="W44" s="509">
        <f>W42-U42</f>
        <v>0.00332</v>
      </c>
      <c r="X44" s="98"/>
      <c r="Y44" s="26"/>
    </row>
    <row r="45" spans="1:24" s="481" customFormat="1" ht="12.75">
      <c r="A45" s="68" t="s">
        <v>110</v>
      </c>
      <c r="B45" s="48"/>
      <c r="C45" s="25"/>
      <c r="D45" s="25"/>
      <c r="E45" s="462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9"/>
    </row>
    <row r="46" spans="1:25" s="173" customFormat="1" ht="12.75">
      <c r="A46" s="140" t="s">
        <v>111</v>
      </c>
      <c r="B46" s="141"/>
      <c r="C46" s="142"/>
      <c r="D46" s="422">
        <v>1</v>
      </c>
      <c r="E46" s="423">
        <f aca="true" t="shared" si="0" ref="E46:V46">D46+1</f>
        <v>2</v>
      </c>
      <c r="F46" s="423">
        <f t="shared" si="0"/>
        <v>3</v>
      </c>
      <c r="G46" s="423">
        <f t="shared" si="0"/>
        <v>4</v>
      </c>
      <c r="H46" s="423">
        <f t="shared" si="0"/>
        <v>5</v>
      </c>
      <c r="I46" s="423">
        <f t="shared" si="0"/>
        <v>6</v>
      </c>
      <c r="J46" s="423">
        <f t="shared" si="0"/>
        <v>7</v>
      </c>
      <c r="K46" s="423">
        <f t="shared" si="0"/>
        <v>8</v>
      </c>
      <c r="L46" s="423">
        <f t="shared" si="0"/>
        <v>9</v>
      </c>
      <c r="M46" s="423">
        <f t="shared" si="0"/>
        <v>10</v>
      </c>
      <c r="N46" s="423">
        <f t="shared" si="0"/>
        <v>11</v>
      </c>
      <c r="O46" s="423">
        <f t="shared" si="0"/>
        <v>12</v>
      </c>
      <c r="P46" s="423">
        <f t="shared" si="0"/>
        <v>13</v>
      </c>
      <c r="Q46" s="423">
        <f t="shared" si="0"/>
        <v>14</v>
      </c>
      <c r="R46" s="423">
        <f t="shared" si="0"/>
        <v>15</v>
      </c>
      <c r="S46" s="423">
        <f t="shared" si="0"/>
        <v>16</v>
      </c>
      <c r="T46" s="423">
        <f t="shared" si="0"/>
        <v>17</v>
      </c>
      <c r="U46" s="423">
        <f t="shared" si="0"/>
        <v>18</v>
      </c>
      <c r="V46" s="423">
        <f t="shared" si="0"/>
        <v>19</v>
      </c>
      <c r="W46" s="422" t="s">
        <v>0</v>
      </c>
      <c r="X46" s="530" t="s">
        <v>68</v>
      </c>
      <c r="Y46" s="481"/>
    </row>
    <row r="47" spans="1:24" s="481" customFormat="1" ht="27" customHeight="1">
      <c r="A47" s="45" t="s">
        <v>112</v>
      </c>
      <c r="B47" s="46" t="s">
        <v>113</v>
      </c>
      <c r="C47" s="65" t="s">
        <v>35</v>
      </c>
      <c r="D47" s="120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2"/>
      <c r="W47" s="120"/>
      <c r="X47" s="463"/>
    </row>
    <row r="48" spans="1:24" s="481" customFormat="1" ht="12.75">
      <c r="A48" s="456">
        <v>1111</v>
      </c>
      <c r="B48" s="25">
        <v>8000</v>
      </c>
      <c r="C48" s="457" t="s">
        <v>9</v>
      </c>
      <c r="D48" s="458">
        <f>-D16+$D$43</f>
        <v>0.013219999999999999</v>
      </c>
      <c r="E48" s="459">
        <f>-D18+$D$43</f>
        <v>0.01318</v>
      </c>
      <c r="F48" s="459">
        <f>-D19+$D$43</f>
        <v>0.01334</v>
      </c>
      <c r="G48" s="459">
        <f>-D20+$D$43</f>
        <v>0.0133</v>
      </c>
      <c r="H48" s="459">
        <f>-D22+$D$43</f>
        <v>0.01336</v>
      </c>
      <c r="I48" s="459">
        <f>-D23+$D$43</f>
        <v>0.0133</v>
      </c>
      <c r="J48" s="459">
        <f>-D24+$D$43</f>
        <v>0.01284</v>
      </c>
      <c r="K48" s="459">
        <f>-D26+$D$43</f>
        <v>0.0128</v>
      </c>
      <c r="L48" s="459">
        <f>-D27+$D$43</f>
        <v>0.01336</v>
      </c>
      <c r="M48" s="459">
        <f>-D28+$D$43</f>
        <v>0.01308</v>
      </c>
      <c r="N48" s="459">
        <f>-D30+$D$43</f>
        <v>0.01398</v>
      </c>
      <c r="O48" s="459">
        <f>-D31+$D$43</f>
        <v>0.01342</v>
      </c>
      <c r="P48" s="459">
        <f>-D32+$D$43</f>
        <v>0.012879999999999999</v>
      </c>
      <c r="Q48" s="459">
        <f>-D34+$D$43</f>
        <v>0.01232</v>
      </c>
      <c r="R48" s="459">
        <f>-D35+$D$43</f>
        <v>0.01206</v>
      </c>
      <c r="S48" s="459">
        <f>-D36+$D$43</f>
        <v>0.01306</v>
      </c>
      <c r="T48" s="459">
        <f>-D38+$D$43</f>
        <v>0.01384</v>
      </c>
      <c r="U48" s="459">
        <f>-D39+$D$43</f>
        <v>0.0139</v>
      </c>
      <c r="V48" s="511">
        <f>-D40+$D$43</f>
        <v>0.01312</v>
      </c>
      <c r="W48" s="475">
        <f>AVERAGE(D48:V48)</f>
        <v>0.013176842105263157</v>
      </c>
      <c r="X48" s="593">
        <f>STDEV(D48:V48)</f>
        <v>0.00047982696686276984</v>
      </c>
    </row>
    <row r="49" spans="1:24" s="481" customFormat="1" ht="12.75">
      <c r="A49" s="456">
        <v>1111</v>
      </c>
      <c r="B49" s="25">
        <v>8000</v>
      </c>
      <c r="C49" s="457" t="s">
        <v>7</v>
      </c>
      <c r="D49" s="466">
        <f>-Q16+$Q$43</f>
        <v>0.01242</v>
      </c>
      <c r="E49" s="467">
        <f>-Q18+$Q$43</f>
        <v>0.01236</v>
      </c>
      <c r="F49" s="467">
        <f>-Q19+$Q$43</f>
        <v>0.01256</v>
      </c>
      <c r="G49" s="467">
        <f>-Q20+$Q$43</f>
        <v>0.01254</v>
      </c>
      <c r="H49" s="467">
        <f>-Q22+$Q$43</f>
        <v>0.01232</v>
      </c>
      <c r="I49" s="467">
        <f>-Q23+$Q$43</f>
        <v>0.0124</v>
      </c>
      <c r="J49" s="467">
        <f>-Q24+$Q$43</f>
        <v>0.01212</v>
      </c>
      <c r="K49" s="467">
        <f>-Q26+$Q$43</f>
        <v>0.01234</v>
      </c>
      <c r="L49" s="467">
        <f>-Q27+$Q$43</f>
        <v>0.01386</v>
      </c>
      <c r="M49" s="467">
        <f>-Q28+$Q$43</f>
        <v>0.01332</v>
      </c>
      <c r="N49" s="467">
        <f>-Q30+$Q$43</f>
        <v>0.01384</v>
      </c>
      <c r="O49" s="467">
        <f>-Q31+$Q$43</f>
        <v>0.01426</v>
      </c>
      <c r="P49" s="467">
        <f>-Q32+$Q$43</f>
        <v>0.0145</v>
      </c>
      <c r="Q49" s="467">
        <f>-Q34+$Q$43</f>
        <v>0.0141</v>
      </c>
      <c r="R49" s="467">
        <f>-Q35+$Q$43</f>
        <v>0.01394</v>
      </c>
      <c r="S49" s="467">
        <f>-Q36+$Q$43</f>
        <v>0.01294</v>
      </c>
      <c r="T49" s="467">
        <f>-Q38+$Q$43</f>
        <v>0.0134</v>
      </c>
      <c r="U49" s="467">
        <f>-Q39+$Q$43</f>
        <v>0.01416</v>
      </c>
      <c r="V49" s="589">
        <f>-Q40+$Q$43</f>
        <v>0.01442</v>
      </c>
      <c r="W49" s="475">
        <f aca="true" t="shared" si="1" ref="W49:W55">AVERAGE(D49:V49)</f>
        <v>0.01325263157894737</v>
      </c>
      <c r="X49" s="593">
        <f aca="true" t="shared" si="2" ref="X49:X55">STDEV(D49:V49)</f>
        <v>0.000849031095525693</v>
      </c>
    </row>
    <row r="50" spans="1:24" s="481" customFormat="1" ht="12.75">
      <c r="A50" s="456">
        <v>2222</v>
      </c>
      <c r="B50" s="25">
        <v>10000</v>
      </c>
      <c r="C50" s="457" t="s">
        <v>9</v>
      </c>
      <c r="D50" s="458">
        <f>-F16+$F$43</f>
        <v>0.011800000000000001</v>
      </c>
      <c r="E50" s="459">
        <f>-F18+$F$43</f>
        <v>0.01182</v>
      </c>
      <c r="F50" s="459">
        <f>-F19+$F$43</f>
        <v>0.011940000000000001</v>
      </c>
      <c r="G50" s="459">
        <f>-F20+$F$43</f>
        <v>0.0119</v>
      </c>
      <c r="H50" s="459">
        <f>-F22+$F$43</f>
        <v>0.01196</v>
      </c>
      <c r="I50" s="459">
        <f>-F23+$F$43</f>
        <v>0.01188</v>
      </c>
      <c r="J50" s="459">
        <f>-F24+$F$43</f>
        <v>0.01148</v>
      </c>
      <c r="K50" s="459">
        <f>-F26+$F$43</f>
        <v>0.01144</v>
      </c>
      <c r="L50" s="459">
        <f>-F27+$F$43</f>
        <v>0.01196</v>
      </c>
      <c r="M50" s="459">
        <f>-F28+$F$43</f>
        <v>0.01174</v>
      </c>
      <c r="N50" s="459">
        <f>-F30+$F$43</f>
        <v>0.012480000000000002</v>
      </c>
      <c r="O50" s="459">
        <f>-F31+$F$43</f>
        <v>0.011980000000000001</v>
      </c>
      <c r="P50" s="459">
        <f>-F32+$F$43</f>
        <v>0.01152</v>
      </c>
      <c r="Q50" s="459">
        <f>-F34+$F$43</f>
        <v>0.010920000000000001</v>
      </c>
      <c r="R50" s="459">
        <f>-F35+$F$43</f>
        <v>0.01068</v>
      </c>
      <c r="S50" s="459">
        <f>-F36+$F$43</f>
        <v>0.011720000000000001</v>
      </c>
      <c r="T50" s="459">
        <f>-F38+$F$43</f>
        <v>0.012320000000000001</v>
      </c>
      <c r="U50" s="459">
        <f>-F39+$F$43</f>
        <v>0.012400000000000001</v>
      </c>
      <c r="V50" s="511">
        <f>-F40+$F$43</f>
        <v>0.011600000000000001</v>
      </c>
      <c r="W50" s="475">
        <f t="shared" si="1"/>
        <v>0.011765263157894737</v>
      </c>
      <c r="X50" s="593">
        <f t="shared" si="2"/>
        <v>0.0004459119048652949</v>
      </c>
    </row>
    <row r="51" spans="1:24" s="481" customFormat="1" ht="12.75">
      <c r="A51" s="456">
        <v>2222</v>
      </c>
      <c r="B51" s="25">
        <v>10000</v>
      </c>
      <c r="C51" s="457" t="s">
        <v>7</v>
      </c>
      <c r="D51" s="466">
        <f>-S16+$S$43</f>
        <v>0.011179999999999999</v>
      </c>
      <c r="E51" s="467">
        <f>-S18+$S$43</f>
        <v>0.01114</v>
      </c>
      <c r="F51" s="467">
        <f>-S19+$S$43</f>
        <v>0.011359999999999999</v>
      </c>
      <c r="G51" s="467">
        <f>-S20+$S$43</f>
        <v>0.01126</v>
      </c>
      <c r="H51" s="467">
        <f>-S22+$S$43</f>
        <v>0.01108</v>
      </c>
      <c r="I51" s="467">
        <f>-S23+$S$43</f>
        <v>0.011120000000000001</v>
      </c>
      <c r="J51" s="467">
        <f>-S24+$S$43</f>
        <v>0.010860000000000002</v>
      </c>
      <c r="K51" s="467">
        <f>-S26+$S$43</f>
        <v>0.01106</v>
      </c>
      <c r="L51" s="467">
        <f>-S27+$S$43</f>
        <v>0.012459999999999999</v>
      </c>
      <c r="M51" s="467">
        <f>-S28+$S$43</f>
        <v>0.011959999999999998</v>
      </c>
      <c r="N51" s="467">
        <f>-S30+$S$43</f>
        <v>0.01242</v>
      </c>
      <c r="O51" s="467">
        <f>-S31+$S$43</f>
        <v>0.01284</v>
      </c>
      <c r="P51" s="467">
        <f>-S32+$S$43</f>
        <v>0.013080000000000001</v>
      </c>
      <c r="Q51" s="467">
        <f>-S34+$S$43</f>
        <v>0.01268</v>
      </c>
      <c r="R51" s="467">
        <f>-S35+$S$43</f>
        <v>0.0125</v>
      </c>
      <c r="S51" s="467">
        <f>-S36+$S$43</f>
        <v>0.01168</v>
      </c>
      <c r="T51" s="467">
        <f>-S38+$S$43</f>
        <v>0.012060000000000001</v>
      </c>
      <c r="U51" s="467">
        <f>-S39+$S$43</f>
        <v>0.01276</v>
      </c>
      <c r="V51" s="589">
        <f>-S40+$S$43</f>
        <v>0.013000000000000001</v>
      </c>
      <c r="W51" s="475">
        <f t="shared" si="1"/>
        <v>0.011921052631578949</v>
      </c>
      <c r="X51" s="593">
        <f t="shared" si="2"/>
        <v>0.000771448095300442</v>
      </c>
    </row>
    <row r="52" spans="1:24" s="481" customFormat="1" ht="12.75">
      <c r="A52" s="456">
        <v>3333</v>
      </c>
      <c r="B52" s="25">
        <v>12000</v>
      </c>
      <c r="C52" s="457" t="s">
        <v>9</v>
      </c>
      <c r="D52" s="458">
        <f>-H16+$H$43</f>
        <v>0.010579999999999999</v>
      </c>
      <c r="E52" s="459">
        <f>-H18+$H$43</f>
        <v>0.01056</v>
      </c>
      <c r="F52" s="459">
        <f>-H19+$H$43</f>
        <v>0.01072</v>
      </c>
      <c r="G52" s="459">
        <f>-H20+$H$43</f>
        <v>0.01068</v>
      </c>
      <c r="H52" s="459">
        <f>-H22+$H$43</f>
        <v>0.01072</v>
      </c>
      <c r="I52" s="459">
        <f>-H23+$H$43</f>
        <v>0.01066</v>
      </c>
      <c r="J52" s="459">
        <f>-H24+$H$43</f>
        <v>0.010360000000000001</v>
      </c>
      <c r="K52" s="459">
        <f>-H26+$H$43</f>
        <v>0.0103</v>
      </c>
      <c r="L52" s="459">
        <f>-H27+$H$43</f>
        <v>0.01072</v>
      </c>
      <c r="M52" s="459">
        <f>-H28+$H$43</f>
        <v>0.01052</v>
      </c>
      <c r="N52" s="459">
        <f>-H30+$H$43</f>
        <v>0.01124</v>
      </c>
      <c r="O52" s="459">
        <f>-H31+$H$43</f>
        <v>0.01074</v>
      </c>
      <c r="P52" s="459">
        <f>-H32+$H$43</f>
        <v>0.010360000000000001</v>
      </c>
      <c r="Q52" s="459">
        <f>-H34+$H$43</f>
        <v>0.00982</v>
      </c>
      <c r="R52" s="459">
        <f>-H35+$H$43</f>
        <v>0.00954</v>
      </c>
      <c r="S52" s="459">
        <f>-H36+$H$43</f>
        <v>0.010440000000000001</v>
      </c>
      <c r="T52" s="459">
        <f>-H38+$H$43</f>
        <v>0.01102</v>
      </c>
      <c r="U52" s="459">
        <f>-H39+$H$43</f>
        <v>0.011120000000000001</v>
      </c>
      <c r="V52" s="511">
        <f>-H40+$H$43</f>
        <v>0.01034</v>
      </c>
      <c r="W52" s="475">
        <f t="shared" si="1"/>
        <v>0.010549473684210527</v>
      </c>
      <c r="X52" s="593">
        <f t="shared" si="2"/>
        <v>0.0004027333510485202</v>
      </c>
    </row>
    <row r="53" spans="1:24" s="481" customFormat="1" ht="12.75">
      <c r="A53" s="456">
        <v>3333</v>
      </c>
      <c r="B53" s="25">
        <v>12000</v>
      </c>
      <c r="C53" s="457" t="s">
        <v>7</v>
      </c>
      <c r="D53" s="466">
        <f>-U16+$U$43</f>
        <v>0.01014</v>
      </c>
      <c r="E53" s="467">
        <f>-U18+$U$43</f>
        <v>0.010079999999999999</v>
      </c>
      <c r="F53" s="467">
        <f>-U19+$U$43</f>
        <v>0.01028</v>
      </c>
      <c r="G53" s="467">
        <f>-U20+$U$43</f>
        <v>0.010159999999999999</v>
      </c>
      <c r="H53" s="467">
        <f>-U22+$U$43</f>
        <v>0.01004</v>
      </c>
      <c r="I53" s="467">
        <f>-U23+$U$43</f>
        <v>0.01006</v>
      </c>
      <c r="J53" s="467">
        <f>-U24+$U$43</f>
        <v>0.00984</v>
      </c>
      <c r="K53" s="467">
        <f>-U26+$U$43</f>
        <v>0.009999999999999998</v>
      </c>
      <c r="L53" s="467">
        <f>-U27+$U$43</f>
        <v>0.01124</v>
      </c>
      <c r="M53" s="467">
        <f>-U28+$U$43</f>
        <v>0.01078</v>
      </c>
      <c r="N53" s="467">
        <f>-U30+$U$43</f>
        <v>0.01122</v>
      </c>
      <c r="O53" s="467">
        <f>-U31+$U$43</f>
        <v>0.01166</v>
      </c>
      <c r="P53" s="467">
        <f>-U32+$U$43</f>
        <v>0.01188</v>
      </c>
      <c r="Q53" s="467">
        <f>-U34+$U$43</f>
        <v>0.01154</v>
      </c>
      <c r="R53" s="467">
        <f>-U35+$U$43</f>
        <v>0.011359999999999999</v>
      </c>
      <c r="S53" s="467">
        <f>-U36+$U$43</f>
        <v>0.01052</v>
      </c>
      <c r="T53" s="467">
        <f>-U38+$U$43</f>
        <v>0.01086</v>
      </c>
      <c r="U53" s="467">
        <f>-U39+$U$43</f>
        <v>0.01156</v>
      </c>
      <c r="V53" s="589">
        <f>-U40+$U$43</f>
        <v>0.01184</v>
      </c>
      <c r="W53" s="475">
        <f t="shared" si="1"/>
        <v>0.010792631578947368</v>
      </c>
      <c r="X53" s="593">
        <f t="shared" si="2"/>
        <v>0.0007148647277264189</v>
      </c>
    </row>
    <row r="54" spans="1:24" s="481" customFormat="1" ht="12.75">
      <c r="A54" s="456">
        <v>4444</v>
      </c>
      <c r="B54" s="25">
        <v>14000</v>
      </c>
      <c r="C54" s="457" t="s">
        <v>9</v>
      </c>
      <c r="D54" s="458">
        <f>-J16+$J$43</f>
        <v>0.00908</v>
      </c>
      <c r="E54" s="459">
        <f>-J18+$J$43</f>
        <v>0.00908</v>
      </c>
      <c r="F54" s="459">
        <f>-J19+$J$43</f>
        <v>0.009260000000000001</v>
      </c>
      <c r="G54" s="459">
        <f>-J20+$J$43</f>
        <v>0.0092</v>
      </c>
      <c r="H54" s="459">
        <f>-J22+$J$43</f>
        <v>0.0093</v>
      </c>
      <c r="I54" s="459">
        <f>-J23+$J$43</f>
        <v>0.0092</v>
      </c>
      <c r="J54" s="459">
        <f>-J24+$J$43</f>
        <v>0.008879999999999999</v>
      </c>
      <c r="K54" s="459">
        <f>-J26+$J$43</f>
        <v>0.00884</v>
      </c>
      <c r="L54" s="459">
        <f>-J27+$J$43</f>
        <v>0.00928</v>
      </c>
      <c r="M54" s="459">
        <f>-J28+$J$43</f>
        <v>0.00908</v>
      </c>
      <c r="N54" s="459">
        <f>-J30+$J$43</f>
        <v>0.00982</v>
      </c>
      <c r="O54" s="459">
        <f>-J31+$J$43</f>
        <v>0.0093</v>
      </c>
      <c r="P54" s="459">
        <f>-J32+$J$43</f>
        <v>0.00886</v>
      </c>
      <c r="Q54" s="459">
        <f>-J34+$J$43</f>
        <v>0.0084</v>
      </c>
      <c r="R54" s="459">
        <f>-J35+$J$43</f>
        <v>0.00818</v>
      </c>
      <c r="S54" s="459">
        <f>-J36+$J$43</f>
        <v>0.00902</v>
      </c>
      <c r="T54" s="459">
        <f>-J38+$J$43</f>
        <v>0.009559999999999999</v>
      </c>
      <c r="U54" s="459">
        <f>-J39+$J$43</f>
        <v>0.009680000000000001</v>
      </c>
      <c r="V54" s="511">
        <f>-J40+$J$43</f>
        <v>0.00878</v>
      </c>
      <c r="W54" s="475">
        <f t="shared" si="1"/>
        <v>0.009094736842105261</v>
      </c>
      <c r="X54" s="593">
        <f t="shared" si="2"/>
        <v>0.00039748331091528014</v>
      </c>
    </row>
    <row r="55" spans="1:24" s="481" customFormat="1" ht="12.75">
      <c r="A55" s="468">
        <v>4444</v>
      </c>
      <c r="B55" s="24">
        <v>14000</v>
      </c>
      <c r="C55" s="469" t="s">
        <v>7</v>
      </c>
      <c r="D55" s="470">
        <f>-W16+$W$43</f>
        <v>0.00876</v>
      </c>
      <c r="E55" s="471">
        <f>-W18+$W$43</f>
        <v>0.00864</v>
      </c>
      <c r="F55" s="471">
        <f>-W19+$W$43</f>
        <v>0.00884</v>
      </c>
      <c r="G55" s="471">
        <f>-W20+$W$43</f>
        <v>0.00872</v>
      </c>
      <c r="H55" s="471">
        <f>-W22+$W$43</f>
        <v>0.00864</v>
      </c>
      <c r="I55" s="471">
        <f>-W23+$W$43</f>
        <v>0.008660000000000001</v>
      </c>
      <c r="J55" s="471">
        <f>-W24+$W$43</f>
        <v>0.008480000000000001</v>
      </c>
      <c r="K55" s="471">
        <f>-W26+$W$43</f>
        <v>0.008620000000000001</v>
      </c>
      <c r="L55" s="471">
        <f>-W27+$W$43</f>
        <v>0.00986</v>
      </c>
      <c r="M55" s="471">
        <f>-W28+$W$43</f>
        <v>0.0094</v>
      </c>
      <c r="N55" s="471">
        <f>-W30+$W$43</f>
        <v>0.00986</v>
      </c>
      <c r="O55" s="471">
        <f>-W31+$W$43</f>
        <v>0.01034</v>
      </c>
      <c r="P55" s="471">
        <f>-W32+$W$43</f>
        <v>0.010520000000000002</v>
      </c>
      <c r="Q55" s="471">
        <f>-W34+$W$43</f>
        <v>0.010180000000000002</v>
      </c>
      <c r="R55" s="471">
        <f>-W35+$W$43</f>
        <v>0.01004</v>
      </c>
      <c r="S55" s="471">
        <f>-W36+$W$43</f>
        <v>0.00918</v>
      </c>
      <c r="T55" s="471">
        <f>-W38+$W$43</f>
        <v>0.00952</v>
      </c>
      <c r="U55" s="471">
        <f>-W39+$W$43</f>
        <v>0.010360000000000001</v>
      </c>
      <c r="V55" s="590">
        <f>-W40+$W$43</f>
        <v>0.0106</v>
      </c>
      <c r="W55" s="476">
        <f t="shared" si="1"/>
        <v>0.00943263157894737</v>
      </c>
      <c r="X55" s="594">
        <f t="shared" si="2"/>
        <v>0.0007574287066213114</v>
      </c>
    </row>
    <row r="56" spans="1:24" s="481" customFormat="1" ht="12.75">
      <c r="A56" s="25"/>
      <c r="B56" s="25"/>
      <c r="C56" s="25"/>
      <c r="D56" s="512"/>
      <c r="E56" s="512"/>
      <c r="F56" s="512"/>
      <c r="G56" s="512"/>
      <c r="H56" s="512"/>
      <c r="I56" s="512"/>
      <c r="J56" s="512"/>
      <c r="K56" s="512"/>
      <c r="L56" s="512"/>
      <c r="M56" s="512"/>
      <c r="N56" s="512"/>
      <c r="O56" s="512"/>
      <c r="P56" s="512"/>
      <c r="Q56" s="512"/>
      <c r="R56" s="512"/>
      <c r="S56" s="512"/>
      <c r="T56" s="512"/>
      <c r="U56" s="512"/>
      <c r="V56" s="512"/>
      <c r="W56" s="512"/>
      <c r="X56" s="595"/>
    </row>
    <row r="57" spans="1:24" s="481" customFormat="1" ht="12.75">
      <c r="A57" s="25"/>
      <c r="B57" s="25"/>
      <c r="C57" s="25"/>
      <c r="D57" s="512"/>
      <c r="E57" s="512"/>
      <c r="F57" s="512"/>
      <c r="G57" s="512"/>
      <c r="H57" s="512"/>
      <c r="I57" s="512"/>
      <c r="J57" s="512"/>
      <c r="K57" s="512"/>
      <c r="L57" s="512"/>
      <c r="M57" s="512"/>
      <c r="N57" s="512"/>
      <c r="O57" s="512"/>
      <c r="P57" s="512"/>
      <c r="Q57" s="512"/>
      <c r="R57" s="512"/>
      <c r="S57" s="512"/>
      <c r="T57" s="512"/>
      <c r="U57" s="512"/>
      <c r="V57" s="512"/>
      <c r="W57" s="512"/>
      <c r="X57" s="595"/>
    </row>
    <row r="58" spans="1:24" s="481" customFormat="1" ht="12.75">
      <c r="A58" s="67" t="s">
        <v>66</v>
      </c>
      <c r="B58" s="2"/>
      <c r="C58" s="2"/>
      <c r="D58" s="512"/>
      <c r="E58" s="512"/>
      <c r="F58" s="512"/>
      <c r="G58" s="512"/>
      <c r="H58" s="512"/>
      <c r="I58" s="512"/>
      <c r="J58" s="512"/>
      <c r="K58" s="512"/>
      <c r="L58" s="512"/>
      <c r="M58" s="512"/>
      <c r="N58" s="512"/>
      <c r="O58" s="512"/>
      <c r="P58" s="512"/>
      <c r="Q58" s="512"/>
      <c r="R58" s="512"/>
      <c r="S58" s="512"/>
      <c r="T58" s="512"/>
      <c r="U58" s="512"/>
      <c r="V58" s="512"/>
      <c r="W58" s="512"/>
      <c r="X58" s="595"/>
    </row>
    <row r="59" spans="1:26" s="143" customFormat="1" ht="12.75">
      <c r="A59" s="144" t="s">
        <v>111</v>
      </c>
      <c r="B59" s="145"/>
      <c r="C59" s="146"/>
      <c r="D59" s="533">
        <v>1</v>
      </c>
      <c r="E59" s="534">
        <f aca="true" t="shared" si="3" ref="E59:V59">D59+1</f>
        <v>2</v>
      </c>
      <c r="F59" s="534">
        <f t="shared" si="3"/>
        <v>3</v>
      </c>
      <c r="G59" s="534">
        <f t="shared" si="3"/>
        <v>4</v>
      </c>
      <c r="H59" s="534">
        <f t="shared" si="3"/>
        <v>5</v>
      </c>
      <c r="I59" s="534">
        <f t="shared" si="3"/>
        <v>6</v>
      </c>
      <c r="J59" s="534">
        <f t="shared" si="3"/>
        <v>7</v>
      </c>
      <c r="K59" s="534">
        <f t="shared" si="3"/>
        <v>8</v>
      </c>
      <c r="L59" s="534">
        <f t="shared" si="3"/>
        <v>9</v>
      </c>
      <c r="M59" s="534">
        <f t="shared" si="3"/>
        <v>10</v>
      </c>
      <c r="N59" s="534">
        <f t="shared" si="3"/>
        <v>11</v>
      </c>
      <c r="O59" s="534">
        <f t="shared" si="3"/>
        <v>12</v>
      </c>
      <c r="P59" s="534">
        <f t="shared" si="3"/>
        <v>13</v>
      </c>
      <c r="Q59" s="534">
        <f t="shared" si="3"/>
        <v>14</v>
      </c>
      <c r="R59" s="534">
        <f t="shared" si="3"/>
        <v>15</v>
      </c>
      <c r="S59" s="534">
        <f t="shared" si="3"/>
        <v>16</v>
      </c>
      <c r="T59" s="534">
        <f t="shared" si="3"/>
        <v>17</v>
      </c>
      <c r="U59" s="534">
        <f t="shared" si="3"/>
        <v>18</v>
      </c>
      <c r="V59" s="534">
        <f t="shared" si="3"/>
        <v>19</v>
      </c>
      <c r="W59" s="422" t="s">
        <v>0</v>
      </c>
      <c r="X59" s="530" t="s">
        <v>68</v>
      </c>
      <c r="Y59" s="481"/>
      <c r="Z59" s="145"/>
    </row>
    <row r="60" spans="1:26" s="49" customFormat="1" ht="12" customHeight="1">
      <c r="A60" s="82" t="s">
        <v>114</v>
      </c>
      <c r="B60" s="83"/>
      <c r="C60" s="84" t="s">
        <v>35</v>
      </c>
      <c r="D60" s="124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6"/>
      <c r="W60" s="120"/>
      <c r="X60" s="463"/>
      <c r="Y60" s="481"/>
      <c r="Z60" s="154"/>
    </row>
    <row r="61" spans="1:26" s="51" customFormat="1" ht="12" customHeight="1">
      <c r="A61" s="85">
        <v>8</v>
      </c>
      <c r="B61" s="86">
        <v>10</v>
      </c>
      <c r="C61" s="72" t="s">
        <v>9</v>
      </c>
      <c r="D61" s="85">
        <f aca="true" t="shared" si="4" ref="D61:V66">IF($C$4="inner",(-0.000001*($B50-$B48)/((D50-D48)/($G$6))),(-0.000001*($B50-$B48)/((D50-D48)/($I$6))))</f>
        <v>1.4020124178231268</v>
      </c>
      <c r="E61" s="86">
        <f t="shared" si="4"/>
        <v>1.4638659068447328</v>
      </c>
      <c r="F61" s="86">
        <f t="shared" si="4"/>
        <v>1.4220411666491706</v>
      </c>
      <c r="G61" s="86">
        <f t="shared" si="4"/>
        <v>1.4220411666491706</v>
      </c>
      <c r="H61" s="86">
        <f t="shared" si="4"/>
        <v>1.4220411666491688</v>
      </c>
      <c r="I61" s="86">
        <f t="shared" si="4"/>
        <v>1.4020124178231252</v>
      </c>
      <c r="J61" s="86">
        <f t="shared" si="4"/>
        <v>1.4638659068447328</v>
      </c>
      <c r="K61" s="86">
        <f t="shared" si="4"/>
        <v>1.4638659068447328</v>
      </c>
      <c r="L61" s="86">
        <f t="shared" si="4"/>
        <v>1.4220411666491688</v>
      </c>
      <c r="M61" s="86">
        <f t="shared" si="4"/>
        <v>1.4857146517230135</v>
      </c>
      <c r="N61" s="86">
        <f t="shared" si="4"/>
        <v>1.327238422205893</v>
      </c>
      <c r="O61" s="86">
        <f t="shared" si="4"/>
        <v>1.382540023131138</v>
      </c>
      <c r="P61" s="86">
        <f t="shared" si="4"/>
        <v>1.4638659068447348</v>
      </c>
      <c r="Q61" s="86">
        <f t="shared" si="4"/>
        <v>1.4220411666491706</v>
      </c>
      <c r="R61" s="86">
        <f t="shared" si="4"/>
        <v>1.4426504589194478</v>
      </c>
      <c r="S61" s="86">
        <f t="shared" si="4"/>
        <v>1.4857146517230135</v>
      </c>
      <c r="T61" s="86">
        <f t="shared" si="4"/>
        <v>1.3097747587558146</v>
      </c>
      <c r="U61" s="86">
        <f t="shared" si="4"/>
        <v>1.327238422205893</v>
      </c>
      <c r="V61" s="72">
        <f t="shared" si="4"/>
        <v>1.3097747587558146</v>
      </c>
      <c r="W61" s="477">
        <f>AVERAGE(D61:V61)</f>
        <v>1.4126494970363719</v>
      </c>
      <c r="X61" s="478">
        <f>STDEV(D61:V61)</f>
        <v>0.05744562331509684</v>
      </c>
      <c r="Y61" s="177">
        <v>0.6592380291799633</v>
      </c>
      <c r="Z61" s="86"/>
    </row>
    <row r="62" spans="1:26" s="51" customFormat="1" ht="12" customHeight="1">
      <c r="A62" s="85">
        <v>8</v>
      </c>
      <c r="B62" s="86">
        <v>10</v>
      </c>
      <c r="C62" s="72" t="s">
        <v>7</v>
      </c>
      <c r="D62" s="85">
        <f t="shared" si="4"/>
        <v>1.6055303494426083</v>
      </c>
      <c r="E62" s="86">
        <f t="shared" si="4"/>
        <v>1.6318505191056056</v>
      </c>
      <c r="F62" s="86">
        <f t="shared" si="4"/>
        <v>1.659048027757362</v>
      </c>
      <c r="G62" s="86">
        <f t="shared" si="4"/>
        <v>1.555357526022527</v>
      </c>
      <c r="H62" s="86">
        <f t="shared" si="4"/>
        <v>1.6055303494426107</v>
      </c>
      <c r="I62" s="86">
        <f t="shared" si="4"/>
        <v>1.5553575260225312</v>
      </c>
      <c r="J62" s="86">
        <f t="shared" si="4"/>
        <v>1.5800457407213002</v>
      </c>
      <c r="K62" s="86">
        <f t="shared" si="4"/>
        <v>1.555357526022529</v>
      </c>
      <c r="L62" s="86">
        <f t="shared" si="4"/>
        <v>1.422041166649167</v>
      </c>
      <c r="M62" s="86">
        <f t="shared" si="4"/>
        <v>1.463865906844731</v>
      </c>
      <c r="N62" s="86">
        <f t="shared" si="4"/>
        <v>1.4020124178231252</v>
      </c>
      <c r="O62" s="86">
        <f t="shared" si="4"/>
        <v>1.4020124178231252</v>
      </c>
      <c r="P62" s="86">
        <f t="shared" si="4"/>
        <v>1.4020124178231252</v>
      </c>
      <c r="Q62" s="86">
        <f t="shared" si="4"/>
        <v>1.4020124178231252</v>
      </c>
      <c r="R62" s="86">
        <f t="shared" si="4"/>
        <v>1.382540023131138</v>
      </c>
      <c r="S62" s="86">
        <f t="shared" si="4"/>
        <v>1.5800457407212982</v>
      </c>
      <c r="T62" s="86">
        <f t="shared" si="4"/>
        <v>1.4857146517230135</v>
      </c>
      <c r="U62" s="86">
        <f t="shared" si="4"/>
        <v>1.4220411666491688</v>
      </c>
      <c r="V62" s="72">
        <f t="shared" si="4"/>
        <v>1.4020124178231252</v>
      </c>
      <c r="W62" s="477">
        <f aca="true" t="shared" si="5" ref="W62:W68">AVERAGE(D62:V62)</f>
        <v>1.5007572794405908</v>
      </c>
      <c r="X62" s="478">
        <f aca="true" t="shared" si="6" ref="X62:X68">STDEV(D62:V62)</f>
        <v>0.09499147238451587</v>
      </c>
      <c r="Y62" s="177">
        <v>0.5497688153224163</v>
      </c>
      <c r="Z62" s="86"/>
    </row>
    <row r="63" spans="1:26" s="51" customFormat="1" ht="12.75">
      <c r="A63" s="85">
        <v>10</v>
      </c>
      <c r="B63" s="86">
        <v>12</v>
      </c>
      <c r="C63" s="72" t="s">
        <v>9</v>
      </c>
      <c r="D63" s="85">
        <f t="shared" si="4"/>
        <v>1.631850519105601</v>
      </c>
      <c r="E63" s="86">
        <f t="shared" si="4"/>
        <v>1.5800457407212982</v>
      </c>
      <c r="F63" s="86">
        <f t="shared" si="4"/>
        <v>1.6318505191056032</v>
      </c>
      <c r="G63" s="86">
        <f t="shared" si="4"/>
        <v>1.6318505191056032</v>
      </c>
      <c r="H63" s="86">
        <f t="shared" si="4"/>
        <v>1.6055303494426107</v>
      </c>
      <c r="I63" s="86">
        <f t="shared" si="4"/>
        <v>1.6318505191056032</v>
      </c>
      <c r="J63" s="86">
        <f t="shared" si="4"/>
        <v>1.7775514583114622</v>
      </c>
      <c r="K63" s="86">
        <f t="shared" si="4"/>
        <v>1.746366345007751</v>
      </c>
      <c r="L63" s="86">
        <f t="shared" si="4"/>
        <v>1.6055303494426107</v>
      </c>
      <c r="M63" s="86">
        <f t="shared" si="4"/>
        <v>1.6318505191056032</v>
      </c>
      <c r="N63" s="86">
        <f t="shared" si="4"/>
        <v>1.6055303494426083</v>
      </c>
      <c r="O63" s="86">
        <f t="shared" si="4"/>
        <v>1.6055303494426083</v>
      </c>
      <c r="P63" s="86">
        <f t="shared" si="4"/>
        <v>1.7162565804386531</v>
      </c>
      <c r="Q63" s="86">
        <f t="shared" si="4"/>
        <v>1.8098705757353057</v>
      </c>
      <c r="R63" s="86">
        <f t="shared" si="4"/>
        <v>1.746366345007751</v>
      </c>
      <c r="S63" s="86">
        <f t="shared" si="4"/>
        <v>1.555357526022529</v>
      </c>
      <c r="T63" s="86">
        <f t="shared" si="4"/>
        <v>1.5314289486991044</v>
      </c>
      <c r="U63" s="86">
        <f t="shared" si="4"/>
        <v>1.555357526022529</v>
      </c>
      <c r="V63" s="72">
        <f t="shared" si="4"/>
        <v>1.5800457407212982</v>
      </c>
      <c r="W63" s="477">
        <f t="shared" si="5"/>
        <v>1.6410537252624284</v>
      </c>
      <c r="X63" s="478">
        <f t="shared" si="6"/>
        <v>0.07978724430556891</v>
      </c>
      <c r="Y63" s="177">
        <v>0.7566214107974003</v>
      </c>
      <c r="Z63" s="86"/>
    </row>
    <row r="64" spans="1:26" s="51" customFormat="1" ht="12.75">
      <c r="A64" s="85">
        <v>10</v>
      </c>
      <c r="B64" s="86">
        <v>12</v>
      </c>
      <c r="C64" s="72" t="s">
        <v>7</v>
      </c>
      <c r="D64" s="85">
        <f t="shared" si="4"/>
        <v>1.9142861858738829</v>
      </c>
      <c r="E64" s="86">
        <f t="shared" si="4"/>
        <v>1.8781675785932388</v>
      </c>
      <c r="F64" s="86">
        <f t="shared" si="4"/>
        <v>1.8433866975081836</v>
      </c>
      <c r="G64" s="86">
        <f t="shared" si="4"/>
        <v>1.8098705757353057</v>
      </c>
      <c r="H64" s="86">
        <f t="shared" si="4"/>
        <v>1.9142861858738829</v>
      </c>
      <c r="I64" s="86">
        <f t="shared" si="4"/>
        <v>1.8781675785932388</v>
      </c>
      <c r="J64" s="86">
        <f t="shared" si="4"/>
        <v>1.9518212091263074</v>
      </c>
      <c r="K64" s="86">
        <f t="shared" si="4"/>
        <v>1.8781675785932388</v>
      </c>
      <c r="L64" s="86">
        <f t="shared" si="4"/>
        <v>1.6318505191056056</v>
      </c>
      <c r="M64" s="86">
        <f t="shared" si="4"/>
        <v>1.6871674858549481</v>
      </c>
      <c r="N64" s="86">
        <f t="shared" si="4"/>
        <v>1.6590480277573645</v>
      </c>
      <c r="O64" s="86">
        <f t="shared" si="4"/>
        <v>1.6871674858549457</v>
      </c>
      <c r="P64" s="86">
        <f t="shared" si="4"/>
        <v>1.659048027757362</v>
      </c>
      <c r="Q64" s="86">
        <f t="shared" si="4"/>
        <v>1.746366345007751</v>
      </c>
      <c r="R64" s="86">
        <f t="shared" si="4"/>
        <v>1.7463663450077482</v>
      </c>
      <c r="S64" s="86">
        <f t="shared" si="4"/>
        <v>1.7162565804386531</v>
      </c>
      <c r="T64" s="86">
        <f t="shared" si="4"/>
        <v>1.659048027757362</v>
      </c>
      <c r="U64" s="86">
        <f t="shared" si="4"/>
        <v>1.6590480277573645</v>
      </c>
      <c r="V64" s="72">
        <f t="shared" si="4"/>
        <v>1.7162565804386507</v>
      </c>
      <c r="W64" s="477">
        <f t="shared" si="5"/>
        <v>1.7703040548755282</v>
      </c>
      <c r="X64" s="478">
        <f t="shared" si="6"/>
        <v>0.10690417511143342</v>
      </c>
      <c r="Y64" s="177">
        <v>0.6417410813310411</v>
      </c>
      <c r="Z64" s="86"/>
    </row>
    <row r="65" spans="1:26" s="51" customFormat="1" ht="12.75">
      <c r="A65" s="85">
        <v>12</v>
      </c>
      <c r="B65" s="86">
        <v>14</v>
      </c>
      <c r="C65" s="72" t="s">
        <v>9</v>
      </c>
      <c r="D65" s="85">
        <f t="shared" si="4"/>
        <v>1.3272384222058915</v>
      </c>
      <c r="E65" s="86">
        <f t="shared" si="4"/>
        <v>1.3451740765600246</v>
      </c>
      <c r="F65" s="86">
        <f t="shared" si="4"/>
        <v>1.3636011187046833</v>
      </c>
      <c r="G65" s="86">
        <f t="shared" si="4"/>
        <v>1.3451740765600246</v>
      </c>
      <c r="H65" s="86">
        <f t="shared" si="4"/>
        <v>1.4020124178231235</v>
      </c>
      <c r="I65" s="86">
        <f t="shared" si="4"/>
        <v>1.3636011187046833</v>
      </c>
      <c r="J65" s="86">
        <f t="shared" si="4"/>
        <v>1.345174076560023</v>
      </c>
      <c r="K65" s="86">
        <f t="shared" si="4"/>
        <v>1.3636011187046833</v>
      </c>
      <c r="L65" s="86">
        <f t="shared" si="4"/>
        <v>1.3825400231311364</v>
      </c>
      <c r="M65" s="86">
        <f t="shared" si="4"/>
        <v>1.3825400231311364</v>
      </c>
      <c r="N65" s="86">
        <f t="shared" si="4"/>
        <v>1.4020124178231252</v>
      </c>
      <c r="O65" s="86">
        <f t="shared" si="4"/>
        <v>1.3825400231311364</v>
      </c>
      <c r="P65" s="86">
        <f t="shared" si="4"/>
        <v>1.3272384222058902</v>
      </c>
      <c r="Q65" s="86">
        <f t="shared" si="4"/>
        <v>1.4020124178231235</v>
      </c>
      <c r="R65" s="86">
        <f t="shared" si="4"/>
        <v>1.4638659068447328</v>
      </c>
      <c r="S65" s="86">
        <f t="shared" si="4"/>
        <v>1.4020124178231235</v>
      </c>
      <c r="T65" s="86">
        <f t="shared" si="4"/>
        <v>1.3636011187046815</v>
      </c>
      <c r="U65" s="86">
        <f t="shared" si="4"/>
        <v>1.3825400231311364</v>
      </c>
      <c r="V65" s="72">
        <f t="shared" si="4"/>
        <v>1.2761907905825873</v>
      </c>
      <c r="W65" s="477">
        <f t="shared" si="5"/>
        <v>1.3696142110607863</v>
      </c>
      <c r="X65" s="478">
        <f t="shared" si="6"/>
        <v>0.03944490104529289</v>
      </c>
      <c r="Y65" s="177">
        <v>0.5705052406586181</v>
      </c>
      <c r="Z65" s="86"/>
    </row>
    <row r="66" spans="1:26" s="51" customFormat="1" ht="12.75">
      <c r="A66" s="85">
        <v>12</v>
      </c>
      <c r="B66" s="86">
        <v>14</v>
      </c>
      <c r="C66" s="72" t="s">
        <v>7</v>
      </c>
      <c r="D66" s="85">
        <f t="shared" si="4"/>
        <v>1.4426504589194478</v>
      </c>
      <c r="E66" s="86">
        <f t="shared" si="4"/>
        <v>1.382540023131138</v>
      </c>
      <c r="F66" s="86">
        <f t="shared" si="4"/>
        <v>1.382540023131138</v>
      </c>
      <c r="G66" s="86">
        <f t="shared" si="4"/>
        <v>1.382540023131138</v>
      </c>
      <c r="H66" s="86">
        <f t="shared" si="4"/>
        <v>1.4220411666491688</v>
      </c>
      <c r="I66" s="86">
        <f t="shared" si="4"/>
        <v>1.4220411666491706</v>
      </c>
      <c r="J66" s="86">
        <f t="shared" si="4"/>
        <v>1.4638659068447348</v>
      </c>
      <c r="K66" s="86">
        <f t="shared" si="4"/>
        <v>1.4426504589194495</v>
      </c>
      <c r="L66" s="86">
        <f t="shared" si="4"/>
        <v>1.4426504589194478</v>
      </c>
      <c r="M66" s="86">
        <f t="shared" si="4"/>
        <v>1.4426504589194478</v>
      </c>
      <c r="N66" s="86">
        <f t="shared" si="4"/>
        <v>1.4638659068447328</v>
      </c>
      <c r="O66" s="86">
        <f t="shared" si="4"/>
        <v>1.508225479779422</v>
      </c>
      <c r="P66" s="86">
        <f t="shared" si="4"/>
        <v>1.4638659068447348</v>
      </c>
      <c r="Q66" s="86">
        <f t="shared" si="4"/>
        <v>1.4638659068447348</v>
      </c>
      <c r="R66" s="86">
        <f t="shared" si="4"/>
        <v>1.508225479779424</v>
      </c>
      <c r="S66" s="86">
        <f t="shared" si="4"/>
        <v>1.4857146517230135</v>
      </c>
      <c r="T66" s="86">
        <f t="shared" si="4"/>
        <v>1.4857146517230135</v>
      </c>
      <c r="U66" s="86">
        <f t="shared" si="4"/>
        <v>1.6590480277573645</v>
      </c>
      <c r="V66" s="72">
        <f t="shared" si="4"/>
        <v>1.6055303494426107</v>
      </c>
      <c r="W66" s="477">
        <f t="shared" si="5"/>
        <v>1.4668540266291228</v>
      </c>
      <c r="X66" s="478">
        <f t="shared" si="6"/>
        <v>0.06993099845314915</v>
      </c>
      <c r="Y66" s="177">
        <v>0.6714426174840732</v>
      </c>
      <c r="Z66" s="86"/>
    </row>
    <row r="67" spans="1:26" s="51" customFormat="1" ht="12.75">
      <c r="A67" s="85">
        <v>10</v>
      </c>
      <c r="B67" s="86">
        <v>14</v>
      </c>
      <c r="C67" s="72" t="s">
        <v>9</v>
      </c>
      <c r="D67" s="85">
        <f aca="true" t="shared" si="7" ref="D67:V68">IF($C$4="inner",(-0.000001*($B54-$B50)/((D54-D50)/($G$6))),(-0.000001*($B54-$B50)/((D54-D50)/($I$6))))</f>
        <v>1.463865906844732</v>
      </c>
      <c r="E67" s="86">
        <f t="shared" si="7"/>
        <v>1.4531807542400261</v>
      </c>
      <c r="F67" s="86">
        <f t="shared" si="7"/>
        <v>1.4857146517230126</v>
      </c>
      <c r="G67" s="86">
        <f t="shared" si="7"/>
        <v>1.4747093580065451</v>
      </c>
      <c r="H67" s="86">
        <f t="shared" si="7"/>
        <v>1.4968854385780723</v>
      </c>
      <c r="I67" s="86">
        <f t="shared" si="7"/>
        <v>1.4857146517230126</v>
      </c>
      <c r="J67" s="86">
        <f t="shared" si="7"/>
        <v>1.5314289486991044</v>
      </c>
      <c r="K67" s="86">
        <f t="shared" si="7"/>
        <v>1.5314289486991053</v>
      </c>
      <c r="L67" s="86">
        <f t="shared" si="7"/>
        <v>1.4857146517230126</v>
      </c>
      <c r="M67" s="86">
        <f t="shared" si="7"/>
        <v>1.4968854385780723</v>
      </c>
      <c r="N67" s="86">
        <f t="shared" si="7"/>
        <v>1.4968854385780723</v>
      </c>
      <c r="O67" s="86">
        <f t="shared" si="7"/>
        <v>1.4857146517230115</v>
      </c>
      <c r="P67" s="86">
        <f t="shared" si="7"/>
        <v>1.4968854385780723</v>
      </c>
      <c r="Q67" s="86">
        <f t="shared" si="7"/>
        <v>1.5800457407212982</v>
      </c>
      <c r="R67" s="86">
        <f t="shared" si="7"/>
        <v>1.5926861066470692</v>
      </c>
      <c r="S67" s="86">
        <f t="shared" si="7"/>
        <v>1.4747093580065451</v>
      </c>
      <c r="T67" s="86">
        <f t="shared" si="7"/>
        <v>1.442650458919446</v>
      </c>
      <c r="U67" s="86">
        <f t="shared" si="7"/>
        <v>1.4638659068447328</v>
      </c>
      <c r="V67" s="72">
        <f t="shared" si="7"/>
        <v>1.4119557683041388</v>
      </c>
      <c r="W67" s="477">
        <f t="shared" si="5"/>
        <v>1.492154085112478</v>
      </c>
      <c r="X67" s="478">
        <f t="shared" si="6"/>
        <v>0.043322079912128934</v>
      </c>
      <c r="Y67" s="177">
        <v>0.6503348931170524</v>
      </c>
      <c r="Z67" s="86"/>
    </row>
    <row r="68" spans="1:26" s="51" customFormat="1" ht="12.75">
      <c r="A68" s="87">
        <v>10</v>
      </c>
      <c r="B68" s="88">
        <v>14</v>
      </c>
      <c r="C68" s="89" t="s">
        <v>7</v>
      </c>
      <c r="D68" s="87">
        <f t="shared" si="7"/>
        <v>1.6453368870320975</v>
      </c>
      <c r="E68" s="88">
        <f t="shared" si="7"/>
        <v>1.5926861066470692</v>
      </c>
      <c r="F68" s="88">
        <f t="shared" si="7"/>
        <v>1.5800457407213002</v>
      </c>
      <c r="G68" s="88">
        <f t="shared" si="7"/>
        <v>1.5676044356762502</v>
      </c>
      <c r="H68" s="88">
        <f t="shared" si="7"/>
        <v>1.6318505191056045</v>
      </c>
      <c r="I68" s="88">
        <f t="shared" si="7"/>
        <v>1.618583441714501</v>
      </c>
      <c r="J68" s="88">
        <f t="shared" si="7"/>
        <v>1.672989607822552</v>
      </c>
      <c r="K68" s="88">
        <f t="shared" si="7"/>
        <v>1.6318505191056045</v>
      </c>
      <c r="L68" s="88">
        <f t="shared" si="7"/>
        <v>1.5314289486991064</v>
      </c>
      <c r="M68" s="88">
        <f t="shared" si="7"/>
        <v>1.55535752602253</v>
      </c>
      <c r="N68" s="88">
        <f t="shared" si="7"/>
        <v>1.555357526022529</v>
      </c>
      <c r="O68" s="88">
        <f t="shared" si="7"/>
        <v>1.5926861066470692</v>
      </c>
      <c r="P68" s="88">
        <f t="shared" si="7"/>
        <v>1.555357526022529</v>
      </c>
      <c r="Q68" s="88">
        <f t="shared" si="7"/>
        <v>1.5926861066470703</v>
      </c>
      <c r="R68" s="88">
        <f t="shared" si="7"/>
        <v>1.618583441714501</v>
      </c>
      <c r="S68" s="88">
        <f t="shared" si="7"/>
        <v>1.5926861066470703</v>
      </c>
      <c r="T68" s="88">
        <f t="shared" si="7"/>
        <v>1.567604435676249</v>
      </c>
      <c r="U68" s="88">
        <f t="shared" si="7"/>
        <v>1.6590480277573645</v>
      </c>
      <c r="V68" s="89">
        <f t="shared" si="7"/>
        <v>1.6590480277573632</v>
      </c>
      <c r="W68" s="482">
        <f t="shared" si="5"/>
        <v>1.6010942651283346</v>
      </c>
      <c r="X68" s="483">
        <f t="shared" si="6"/>
        <v>0.04112652191521813</v>
      </c>
      <c r="Y68" s="177">
        <v>0.655979508273607</v>
      </c>
      <c r="Z68" s="88"/>
    </row>
    <row r="69" spans="1:26" s="49" customFormat="1" ht="12.75">
      <c r="A69" s="3"/>
      <c r="B69" s="3"/>
      <c r="C69" s="3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Y69" s="481"/>
      <c r="Z69" s="3"/>
    </row>
    <row r="70" spans="1:31" s="49" customFormat="1" ht="12.75">
      <c r="A70" s="67" t="s">
        <v>69</v>
      </c>
      <c r="D70" s="462" t="str">
        <f>$C$3</f>
        <v>O-004 1st sizing</v>
      </c>
      <c r="E70" s="462"/>
      <c r="F70" s="462" t="str">
        <f>$C$4</f>
        <v>outer</v>
      </c>
      <c r="G70" s="462" t="s">
        <v>115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7"/>
      <c r="Y70" s="481"/>
      <c r="AA70" s="67" t="s">
        <v>69</v>
      </c>
      <c r="AD70" s="51" t="str">
        <f>D70</f>
        <v>O-004 1st sizing</v>
      </c>
      <c r="AE70" s="51" t="str">
        <f>F70</f>
        <v>outer</v>
      </c>
    </row>
    <row r="71" spans="1:31" s="173" customFormat="1" ht="12.75">
      <c r="A71" s="144" t="s">
        <v>116</v>
      </c>
      <c r="B71" s="141"/>
      <c r="C71" s="142"/>
      <c r="D71" s="170">
        <v>1</v>
      </c>
      <c r="E71" s="171">
        <f aca="true" t="shared" si="8" ref="E71:V71">D71+1</f>
        <v>2</v>
      </c>
      <c r="F71" s="171">
        <f t="shared" si="8"/>
        <v>3</v>
      </c>
      <c r="G71" s="171">
        <f t="shared" si="8"/>
        <v>4</v>
      </c>
      <c r="H71" s="171">
        <f t="shared" si="8"/>
        <v>5</v>
      </c>
      <c r="I71" s="171">
        <f t="shared" si="8"/>
        <v>6</v>
      </c>
      <c r="J71" s="171">
        <f t="shared" si="8"/>
        <v>7</v>
      </c>
      <c r="K71" s="171">
        <f t="shared" si="8"/>
        <v>8</v>
      </c>
      <c r="L71" s="171">
        <f t="shared" si="8"/>
        <v>9</v>
      </c>
      <c r="M71" s="171">
        <f t="shared" si="8"/>
        <v>10</v>
      </c>
      <c r="N71" s="171">
        <f t="shared" si="8"/>
        <v>11</v>
      </c>
      <c r="O71" s="171">
        <f t="shared" si="8"/>
        <v>12</v>
      </c>
      <c r="P71" s="171">
        <f t="shared" si="8"/>
        <v>13</v>
      </c>
      <c r="Q71" s="171">
        <f t="shared" si="8"/>
        <v>14</v>
      </c>
      <c r="R71" s="171">
        <f t="shared" si="8"/>
        <v>15</v>
      </c>
      <c r="S71" s="171">
        <f t="shared" si="8"/>
        <v>16</v>
      </c>
      <c r="T71" s="171">
        <f t="shared" si="8"/>
        <v>17</v>
      </c>
      <c r="U71" s="171">
        <f t="shared" si="8"/>
        <v>18</v>
      </c>
      <c r="V71" s="172">
        <f t="shared" si="8"/>
        <v>19</v>
      </c>
      <c r="W71" s="171" t="s">
        <v>0</v>
      </c>
      <c r="X71" s="172" t="s">
        <v>117</v>
      </c>
      <c r="Y71" s="481"/>
      <c r="Z71" s="148"/>
      <c r="AA71" s="144" t="s">
        <v>116</v>
      </c>
      <c r="AB71" s="141"/>
      <c r="AC71" s="142"/>
      <c r="AD71" s="171" t="s">
        <v>0</v>
      </c>
      <c r="AE71" s="172" t="s">
        <v>117</v>
      </c>
    </row>
    <row r="72" spans="1:31" s="173" customFormat="1" ht="12.75">
      <c r="A72" s="144" t="s">
        <v>118</v>
      </c>
      <c r="B72" s="141"/>
      <c r="C72" s="142"/>
      <c r="D72" s="170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2"/>
      <c r="W72" s="171"/>
      <c r="X72" s="172"/>
      <c r="Y72" s="481"/>
      <c r="Z72" s="148"/>
      <c r="AA72" s="144" t="s">
        <v>118</v>
      </c>
      <c r="AB72" s="141"/>
      <c r="AC72" s="142"/>
      <c r="AD72" s="171"/>
      <c r="AE72" s="172"/>
    </row>
    <row r="73" spans="1:31" s="49" customFormat="1" ht="12.75" customHeight="1">
      <c r="A73" s="82" t="s">
        <v>114</v>
      </c>
      <c r="B73" s="83"/>
      <c r="C73" s="421" t="s">
        <v>35</v>
      </c>
      <c r="D73" s="124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6"/>
      <c r="W73" s="151"/>
      <c r="X73" s="129"/>
      <c r="Y73" s="481"/>
      <c r="Z73" s="154"/>
      <c r="AA73" s="82" t="s">
        <v>114</v>
      </c>
      <c r="AB73" s="83"/>
      <c r="AC73" s="84" t="s">
        <v>35</v>
      </c>
      <c r="AD73" s="151"/>
      <c r="AE73" s="129"/>
    </row>
    <row r="74" spans="1:31" s="51" customFormat="1" ht="12.75" customHeight="1">
      <c r="A74" s="71">
        <f aca="true" t="shared" si="9" ref="A74:B81">A61</f>
        <v>8</v>
      </c>
      <c r="B74" s="56">
        <f t="shared" si="9"/>
        <v>10</v>
      </c>
      <c r="C74" s="86" t="s">
        <v>6</v>
      </c>
      <c r="D74" s="80">
        <f aca="true" t="shared" si="10" ref="D74:V81">D61</f>
        <v>1.4020124178231268</v>
      </c>
      <c r="E74" s="81">
        <f t="shared" si="10"/>
        <v>1.4638659068447328</v>
      </c>
      <c r="F74" s="81">
        <f t="shared" si="10"/>
        <v>1.4220411666491706</v>
      </c>
      <c r="G74" s="81">
        <f t="shared" si="10"/>
        <v>1.4220411666491706</v>
      </c>
      <c r="H74" s="81">
        <f t="shared" si="10"/>
        <v>1.4220411666491688</v>
      </c>
      <c r="I74" s="81">
        <f t="shared" si="10"/>
        <v>1.4020124178231252</v>
      </c>
      <c r="J74" s="81">
        <f t="shared" si="10"/>
        <v>1.4638659068447328</v>
      </c>
      <c r="K74" s="81">
        <f t="shared" si="10"/>
        <v>1.4638659068447328</v>
      </c>
      <c r="L74" s="81">
        <f t="shared" si="10"/>
        <v>1.4220411666491688</v>
      </c>
      <c r="M74" s="81">
        <f t="shared" si="10"/>
        <v>1.4857146517230135</v>
      </c>
      <c r="N74" s="81">
        <f t="shared" si="10"/>
        <v>1.327238422205893</v>
      </c>
      <c r="O74" s="81">
        <f t="shared" si="10"/>
        <v>1.382540023131138</v>
      </c>
      <c r="P74" s="81">
        <f t="shared" si="10"/>
        <v>1.4638659068447348</v>
      </c>
      <c r="Q74" s="81">
        <f t="shared" si="10"/>
        <v>1.4220411666491706</v>
      </c>
      <c r="R74" s="81">
        <f t="shared" si="10"/>
        <v>1.4426504589194478</v>
      </c>
      <c r="S74" s="81">
        <f t="shared" si="10"/>
        <v>1.4857146517230135</v>
      </c>
      <c r="T74" s="81">
        <f t="shared" si="10"/>
        <v>1.3097747587558146</v>
      </c>
      <c r="U74" s="81">
        <f t="shared" si="10"/>
        <v>1.327238422205893</v>
      </c>
      <c r="V74" s="413">
        <f t="shared" si="10"/>
        <v>1.3097747587558146</v>
      </c>
      <c r="W74" s="81">
        <f aca="true" t="shared" si="11" ref="W74:X81">W61</f>
        <v>1.4126494970363719</v>
      </c>
      <c r="X74" s="413">
        <f t="shared" si="11"/>
        <v>0.05744562331509684</v>
      </c>
      <c r="Y74" s="481"/>
      <c r="Z74" s="86"/>
      <c r="AA74" s="71">
        <f aca="true" t="shared" si="12" ref="AA74:AB81">A74</f>
        <v>8</v>
      </c>
      <c r="AB74" s="56">
        <f t="shared" si="12"/>
        <v>10</v>
      </c>
      <c r="AC74" s="72" t="s">
        <v>9</v>
      </c>
      <c r="AD74" s="86">
        <f aca="true" t="shared" si="13" ref="AD74:AE81">W74</f>
        <v>1.4126494970363719</v>
      </c>
      <c r="AE74" s="72">
        <f t="shared" si="13"/>
        <v>0.05744562331509684</v>
      </c>
    </row>
    <row r="75" spans="1:31" s="51" customFormat="1" ht="12.75" customHeight="1">
      <c r="A75" s="71">
        <f t="shared" si="9"/>
        <v>8</v>
      </c>
      <c r="B75" s="56">
        <f t="shared" si="9"/>
        <v>10</v>
      </c>
      <c r="C75" s="86" t="s">
        <v>8</v>
      </c>
      <c r="D75" s="80">
        <f t="shared" si="10"/>
        <v>1.6055303494426083</v>
      </c>
      <c r="E75" s="81">
        <f t="shared" si="10"/>
        <v>1.6318505191056056</v>
      </c>
      <c r="F75" s="81">
        <f t="shared" si="10"/>
        <v>1.659048027757362</v>
      </c>
      <c r="G75" s="81">
        <f t="shared" si="10"/>
        <v>1.555357526022527</v>
      </c>
      <c r="H75" s="81">
        <f t="shared" si="10"/>
        <v>1.6055303494426107</v>
      </c>
      <c r="I75" s="81">
        <f t="shared" si="10"/>
        <v>1.5553575260225312</v>
      </c>
      <c r="J75" s="81">
        <f t="shared" si="10"/>
        <v>1.5800457407213002</v>
      </c>
      <c r="K75" s="81">
        <f t="shared" si="10"/>
        <v>1.555357526022529</v>
      </c>
      <c r="L75" s="81">
        <f t="shared" si="10"/>
        <v>1.422041166649167</v>
      </c>
      <c r="M75" s="81">
        <f t="shared" si="10"/>
        <v>1.463865906844731</v>
      </c>
      <c r="N75" s="81">
        <f t="shared" si="10"/>
        <v>1.4020124178231252</v>
      </c>
      <c r="O75" s="81">
        <f t="shared" si="10"/>
        <v>1.4020124178231252</v>
      </c>
      <c r="P75" s="81">
        <f t="shared" si="10"/>
        <v>1.4020124178231252</v>
      </c>
      <c r="Q75" s="81">
        <f t="shared" si="10"/>
        <v>1.4020124178231252</v>
      </c>
      <c r="R75" s="81">
        <f t="shared" si="10"/>
        <v>1.382540023131138</v>
      </c>
      <c r="S75" s="81">
        <f t="shared" si="10"/>
        <v>1.5800457407212982</v>
      </c>
      <c r="T75" s="81">
        <f t="shared" si="10"/>
        <v>1.4857146517230135</v>
      </c>
      <c r="U75" s="81">
        <f t="shared" si="10"/>
        <v>1.4220411666491688</v>
      </c>
      <c r="V75" s="413">
        <f t="shared" si="10"/>
        <v>1.4020124178231252</v>
      </c>
      <c r="W75" s="81">
        <f t="shared" si="11"/>
        <v>1.5007572794405908</v>
      </c>
      <c r="X75" s="413">
        <f t="shared" si="11"/>
        <v>0.09499147238451587</v>
      </c>
      <c r="Y75" s="481"/>
      <c r="Z75" s="86"/>
      <c r="AA75" s="71">
        <f t="shared" si="12"/>
        <v>8</v>
      </c>
      <c r="AB75" s="56">
        <f t="shared" si="12"/>
        <v>10</v>
      </c>
      <c r="AC75" s="72" t="s">
        <v>7</v>
      </c>
      <c r="AD75" s="86">
        <f t="shared" si="13"/>
        <v>1.5007572794405908</v>
      </c>
      <c r="AE75" s="72">
        <f t="shared" si="13"/>
        <v>0.09499147238451587</v>
      </c>
    </row>
    <row r="76" spans="1:31" s="51" customFormat="1" ht="13.5" customHeight="1">
      <c r="A76" s="71">
        <f t="shared" si="9"/>
        <v>10</v>
      </c>
      <c r="B76" s="56">
        <f t="shared" si="9"/>
        <v>12</v>
      </c>
      <c r="C76" s="86" t="s">
        <v>6</v>
      </c>
      <c r="D76" s="80">
        <f t="shared" si="10"/>
        <v>1.631850519105601</v>
      </c>
      <c r="E76" s="81">
        <f t="shared" si="10"/>
        <v>1.5800457407212982</v>
      </c>
      <c r="F76" s="81">
        <f t="shared" si="10"/>
        <v>1.6318505191056032</v>
      </c>
      <c r="G76" s="81">
        <f t="shared" si="10"/>
        <v>1.6318505191056032</v>
      </c>
      <c r="H76" s="81">
        <f t="shared" si="10"/>
        <v>1.6055303494426107</v>
      </c>
      <c r="I76" s="81">
        <f t="shared" si="10"/>
        <v>1.6318505191056032</v>
      </c>
      <c r="J76" s="81">
        <f t="shared" si="10"/>
        <v>1.7775514583114622</v>
      </c>
      <c r="K76" s="81">
        <f t="shared" si="10"/>
        <v>1.746366345007751</v>
      </c>
      <c r="L76" s="81">
        <f t="shared" si="10"/>
        <v>1.6055303494426107</v>
      </c>
      <c r="M76" s="81">
        <f t="shared" si="10"/>
        <v>1.6318505191056032</v>
      </c>
      <c r="N76" s="81">
        <f t="shared" si="10"/>
        <v>1.6055303494426083</v>
      </c>
      <c r="O76" s="81">
        <f t="shared" si="10"/>
        <v>1.6055303494426083</v>
      </c>
      <c r="P76" s="81">
        <f t="shared" si="10"/>
        <v>1.7162565804386531</v>
      </c>
      <c r="Q76" s="81">
        <f t="shared" si="10"/>
        <v>1.8098705757353057</v>
      </c>
      <c r="R76" s="81">
        <f t="shared" si="10"/>
        <v>1.746366345007751</v>
      </c>
      <c r="S76" s="81">
        <f t="shared" si="10"/>
        <v>1.555357526022529</v>
      </c>
      <c r="T76" s="81">
        <f t="shared" si="10"/>
        <v>1.5314289486991044</v>
      </c>
      <c r="U76" s="81">
        <f t="shared" si="10"/>
        <v>1.555357526022529</v>
      </c>
      <c r="V76" s="413">
        <f t="shared" si="10"/>
        <v>1.5800457407212982</v>
      </c>
      <c r="W76" s="81">
        <f t="shared" si="11"/>
        <v>1.6410537252624284</v>
      </c>
      <c r="X76" s="413">
        <f t="shared" si="11"/>
        <v>0.07978724430556891</v>
      </c>
      <c r="Y76" s="481"/>
      <c r="Z76" s="86"/>
      <c r="AA76" s="71">
        <f t="shared" si="12"/>
        <v>10</v>
      </c>
      <c r="AB76" s="56">
        <f t="shared" si="12"/>
        <v>12</v>
      </c>
      <c r="AC76" s="72" t="s">
        <v>9</v>
      </c>
      <c r="AD76" s="86">
        <f t="shared" si="13"/>
        <v>1.6410537252624284</v>
      </c>
      <c r="AE76" s="72">
        <f t="shared" si="13"/>
        <v>0.07978724430556891</v>
      </c>
    </row>
    <row r="77" spans="1:31" s="51" customFormat="1" ht="12.75">
      <c r="A77" s="71">
        <f t="shared" si="9"/>
        <v>10</v>
      </c>
      <c r="B77" s="56">
        <f t="shared" si="9"/>
        <v>12</v>
      </c>
      <c r="C77" s="86" t="s">
        <v>8</v>
      </c>
      <c r="D77" s="80">
        <f t="shared" si="10"/>
        <v>1.9142861858738829</v>
      </c>
      <c r="E77" s="81">
        <f t="shared" si="10"/>
        <v>1.8781675785932388</v>
      </c>
      <c r="F77" s="81">
        <f t="shared" si="10"/>
        <v>1.8433866975081836</v>
      </c>
      <c r="G77" s="81">
        <f t="shared" si="10"/>
        <v>1.8098705757353057</v>
      </c>
      <c r="H77" s="81">
        <f t="shared" si="10"/>
        <v>1.9142861858738829</v>
      </c>
      <c r="I77" s="81">
        <f t="shared" si="10"/>
        <v>1.8781675785932388</v>
      </c>
      <c r="J77" s="81">
        <f t="shared" si="10"/>
        <v>1.9518212091263074</v>
      </c>
      <c r="K77" s="81">
        <f t="shared" si="10"/>
        <v>1.8781675785932388</v>
      </c>
      <c r="L77" s="81">
        <f t="shared" si="10"/>
        <v>1.6318505191056056</v>
      </c>
      <c r="M77" s="81">
        <f t="shared" si="10"/>
        <v>1.6871674858549481</v>
      </c>
      <c r="N77" s="81">
        <f t="shared" si="10"/>
        <v>1.6590480277573645</v>
      </c>
      <c r="O77" s="81">
        <f t="shared" si="10"/>
        <v>1.6871674858549457</v>
      </c>
      <c r="P77" s="81">
        <f t="shared" si="10"/>
        <v>1.659048027757362</v>
      </c>
      <c r="Q77" s="81">
        <f t="shared" si="10"/>
        <v>1.746366345007751</v>
      </c>
      <c r="R77" s="81">
        <f t="shared" si="10"/>
        <v>1.7463663450077482</v>
      </c>
      <c r="S77" s="81">
        <f t="shared" si="10"/>
        <v>1.7162565804386531</v>
      </c>
      <c r="T77" s="81">
        <f t="shared" si="10"/>
        <v>1.659048027757362</v>
      </c>
      <c r="U77" s="81">
        <f t="shared" si="10"/>
        <v>1.6590480277573645</v>
      </c>
      <c r="V77" s="413">
        <f t="shared" si="10"/>
        <v>1.7162565804386507</v>
      </c>
      <c r="W77" s="81">
        <f t="shared" si="11"/>
        <v>1.7703040548755282</v>
      </c>
      <c r="X77" s="413">
        <f t="shared" si="11"/>
        <v>0.10690417511143342</v>
      </c>
      <c r="Y77" s="481"/>
      <c r="Z77" s="86"/>
      <c r="AA77" s="71">
        <f t="shared" si="12"/>
        <v>10</v>
      </c>
      <c r="AB77" s="56">
        <f t="shared" si="12"/>
        <v>12</v>
      </c>
      <c r="AC77" s="72" t="s">
        <v>7</v>
      </c>
      <c r="AD77" s="86">
        <f t="shared" si="13"/>
        <v>1.7703040548755282</v>
      </c>
      <c r="AE77" s="72">
        <f t="shared" si="13"/>
        <v>0.10690417511143342</v>
      </c>
    </row>
    <row r="78" spans="1:31" s="51" customFormat="1" ht="12.75">
      <c r="A78" s="71">
        <f t="shared" si="9"/>
        <v>12</v>
      </c>
      <c r="B78" s="56">
        <f t="shared" si="9"/>
        <v>14</v>
      </c>
      <c r="C78" s="86" t="s">
        <v>6</v>
      </c>
      <c r="D78" s="80">
        <f t="shared" si="10"/>
        <v>1.3272384222058915</v>
      </c>
      <c r="E78" s="81">
        <f t="shared" si="10"/>
        <v>1.3451740765600246</v>
      </c>
      <c r="F78" s="81">
        <f t="shared" si="10"/>
        <v>1.3636011187046833</v>
      </c>
      <c r="G78" s="81">
        <f t="shared" si="10"/>
        <v>1.3451740765600246</v>
      </c>
      <c r="H78" s="81">
        <f t="shared" si="10"/>
        <v>1.4020124178231235</v>
      </c>
      <c r="I78" s="81">
        <f t="shared" si="10"/>
        <v>1.3636011187046833</v>
      </c>
      <c r="J78" s="81">
        <f t="shared" si="10"/>
        <v>1.345174076560023</v>
      </c>
      <c r="K78" s="81">
        <f t="shared" si="10"/>
        <v>1.3636011187046833</v>
      </c>
      <c r="L78" s="81">
        <f t="shared" si="10"/>
        <v>1.3825400231311364</v>
      </c>
      <c r="M78" s="81">
        <f t="shared" si="10"/>
        <v>1.3825400231311364</v>
      </c>
      <c r="N78" s="81">
        <f t="shared" si="10"/>
        <v>1.4020124178231252</v>
      </c>
      <c r="O78" s="81">
        <f t="shared" si="10"/>
        <v>1.3825400231311364</v>
      </c>
      <c r="P78" s="81">
        <f t="shared" si="10"/>
        <v>1.3272384222058902</v>
      </c>
      <c r="Q78" s="81">
        <f t="shared" si="10"/>
        <v>1.4020124178231235</v>
      </c>
      <c r="R78" s="81">
        <f t="shared" si="10"/>
        <v>1.4638659068447328</v>
      </c>
      <c r="S78" s="81">
        <f t="shared" si="10"/>
        <v>1.4020124178231235</v>
      </c>
      <c r="T78" s="81">
        <f t="shared" si="10"/>
        <v>1.3636011187046815</v>
      </c>
      <c r="U78" s="81">
        <f t="shared" si="10"/>
        <v>1.3825400231311364</v>
      </c>
      <c r="V78" s="413">
        <f t="shared" si="10"/>
        <v>1.2761907905825873</v>
      </c>
      <c r="W78" s="81">
        <f t="shared" si="11"/>
        <v>1.3696142110607863</v>
      </c>
      <c r="X78" s="413">
        <f t="shared" si="11"/>
        <v>0.03944490104529289</v>
      </c>
      <c r="Y78" s="481"/>
      <c r="Z78" s="86"/>
      <c r="AA78" s="71">
        <f t="shared" si="12"/>
        <v>12</v>
      </c>
      <c r="AB78" s="56">
        <f t="shared" si="12"/>
        <v>14</v>
      </c>
      <c r="AC78" s="72" t="s">
        <v>9</v>
      </c>
      <c r="AD78" s="86">
        <f t="shared" si="13"/>
        <v>1.3696142110607863</v>
      </c>
      <c r="AE78" s="72">
        <f t="shared" si="13"/>
        <v>0.03944490104529289</v>
      </c>
    </row>
    <row r="79" spans="1:31" s="51" customFormat="1" ht="12.75">
      <c r="A79" s="71">
        <f t="shared" si="9"/>
        <v>12</v>
      </c>
      <c r="B79" s="56">
        <f t="shared" si="9"/>
        <v>14</v>
      </c>
      <c r="C79" s="86" t="s">
        <v>8</v>
      </c>
      <c r="D79" s="80">
        <f t="shared" si="10"/>
        <v>1.4426504589194478</v>
      </c>
      <c r="E79" s="81">
        <f t="shared" si="10"/>
        <v>1.382540023131138</v>
      </c>
      <c r="F79" s="81">
        <f t="shared" si="10"/>
        <v>1.382540023131138</v>
      </c>
      <c r="G79" s="81">
        <f t="shared" si="10"/>
        <v>1.382540023131138</v>
      </c>
      <c r="H79" s="81">
        <f t="shared" si="10"/>
        <v>1.4220411666491688</v>
      </c>
      <c r="I79" s="81">
        <f t="shared" si="10"/>
        <v>1.4220411666491706</v>
      </c>
      <c r="J79" s="81">
        <f t="shared" si="10"/>
        <v>1.4638659068447348</v>
      </c>
      <c r="K79" s="81">
        <f t="shared" si="10"/>
        <v>1.4426504589194495</v>
      </c>
      <c r="L79" s="81">
        <f t="shared" si="10"/>
        <v>1.4426504589194478</v>
      </c>
      <c r="M79" s="81">
        <f t="shared" si="10"/>
        <v>1.4426504589194478</v>
      </c>
      <c r="N79" s="81">
        <f t="shared" si="10"/>
        <v>1.4638659068447328</v>
      </c>
      <c r="O79" s="81">
        <f t="shared" si="10"/>
        <v>1.508225479779422</v>
      </c>
      <c r="P79" s="81">
        <f t="shared" si="10"/>
        <v>1.4638659068447348</v>
      </c>
      <c r="Q79" s="81">
        <f t="shared" si="10"/>
        <v>1.4638659068447348</v>
      </c>
      <c r="R79" s="81">
        <f t="shared" si="10"/>
        <v>1.508225479779424</v>
      </c>
      <c r="S79" s="81">
        <f t="shared" si="10"/>
        <v>1.4857146517230135</v>
      </c>
      <c r="T79" s="81">
        <f t="shared" si="10"/>
        <v>1.4857146517230135</v>
      </c>
      <c r="U79" s="81">
        <f t="shared" si="10"/>
        <v>1.6590480277573645</v>
      </c>
      <c r="V79" s="413">
        <f t="shared" si="10"/>
        <v>1.6055303494426107</v>
      </c>
      <c r="W79" s="81">
        <f t="shared" si="11"/>
        <v>1.4668540266291228</v>
      </c>
      <c r="X79" s="413">
        <f t="shared" si="11"/>
        <v>0.06993099845314915</v>
      </c>
      <c r="Y79" s="481"/>
      <c r="Z79" s="86"/>
      <c r="AA79" s="71">
        <f t="shared" si="12"/>
        <v>12</v>
      </c>
      <c r="AB79" s="56">
        <f t="shared" si="12"/>
        <v>14</v>
      </c>
      <c r="AC79" s="72" t="s">
        <v>7</v>
      </c>
      <c r="AD79" s="86">
        <f t="shared" si="13"/>
        <v>1.4668540266291228</v>
      </c>
      <c r="AE79" s="72">
        <f t="shared" si="13"/>
        <v>0.06993099845314915</v>
      </c>
    </row>
    <row r="80" spans="1:31" s="51" customFormat="1" ht="12.75">
      <c r="A80" s="71">
        <f t="shared" si="9"/>
        <v>10</v>
      </c>
      <c r="B80" s="56">
        <f t="shared" si="9"/>
        <v>14</v>
      </c>
      <c r="C80" s="86" t="s">
        <v>6</v>
      </c>
      <c r="D80" s="80">
        <f t="shared" si="10"/>
        <v>1.463865906844732</v>
      </c>
      <c r="E80" s="81">
        <f t="shared" si="10"/>
        <v>1.4531807542400261</v>
      </c>
      <c r="F80" s="81">
        <f t="shared" si="10"/>
        <v>1.4857146517230126</v>
      </c>
      <c r="G80" s="81">
        <f t="shared" si="10"/>
        <v>1.4747093580065451</v>
      </c>
      <c r="H80" s="81">
        <f t="shared" si="10"/>
        <v>1.4968854385780723</v>
      </c>
      <c r="I80" s="81">
        <f t="shared" si="10"/>
        <v>1.4857146517230126</v>
      </c>
      <c r="J80" s="81">
        <f t="shared" si="10"/>
        <v>1.5314289486991044</v>
      </c>
      <c r="K80" s="81">
        <f t="shared" si="10"/>
        <v>1.5314289486991053</v>
      </c>
      <c r="L80" s="81">
        <f t="shared" si="10"/>
        <v>1.4857146517230126</v>
      </c>
      <c r="M80" s="81">
        <f t="shared" si="10"/>
        <v>1.4968854385780723</v>
      </c>
      <c r="N80" s="81">
        <f t="shared" si="10"/>
        <v>1.4968854385780723</v>
      </c>
      <c r="O80" s="81">
        <f t="shared" si="10"/>
        <v>1.4857146517230115</v>
      </c>
      <c r="P80" s="81">
        <f t="shared" si="10"/>
        <v>1.4968854385780723</v>
      </c>
      <c r="Q80" s="81">
        <f t="shared" si="10"/>
        <v>1.5800457407212982</v>
      </c>
      <c r="R80" s="81">
        <f t="shared" si="10"/>
        <v>1.5926861066470692</v>
      </c>
      <c r="S80" s="81">
        <f t="shared" si="10"/>
        <v>1.4747093580065451</v>
      </c>
      <c r="T80" s="81">
        <f t="shared" si="10"/>
        <v>1.442650458919446</v>
      </c>
      <c r="U80" s="81">
        <f t="shared" si="10"/>
        <v>1.4638659068447328</v>
      </c>
      <c r="V80" s="413">
        <f t="shared" si="10"/>
        <v>1.4119557683041388</v>
      </c>
      <c r="W80" s="81">
        <f t="shared" si="11"/>
        <v>1.492154085112478</v>
      </c>
      <c r="X80" s="413">
        <f t="shared" si="11"/>
        <v>0.043322079912128934</v>
      </c>
      <c r="Y80" s="481"/>
      <c r="Z80" s="86"/>
      <c r="AA80" s="71">
        <f t="shared" si="12"/>
        <v>10</v>
      </c>
      <c r="AB80" s="56">
        <f t="shared" si="12"/>
        <v>14</v>
      </c>
      <c r="AC80" s="72" t="s">
        <v>9</v>
      </c>
      <c r="AD80" s="86">
        <f t="shared" si="13"/>
        <v>1.492154085112478</v>
      </c>
      <c r="AE80" s="72">
        <f t="shared" si="13"/>
        <v>0.043322079912128934</v>
      </c>
    </row>
    <row r="81" spans="1:31" s="51" customFormat="1" ht="12.75">
      <c r="A81" s="71">
        <f t="shared" si="9"/>
        <v>10</v>
      </c>
      <c r="B81" s="56">
        <f t="shared" si="9"/>
        <v>14</v>
      </c>
      <c r="C81" s="86" t="s">
        <v>8</v>
      </c>
      <c r="D81" s="80">
        <f t="shared" si="10"/>
        <v>1.6453368870320975</v>
      </c>
      <c r="E81" s="81">
        <f t="shared" si="10"/>
        <v>1.5926861066470692</v>
      </c>
      <c r="F81" s="81">
        <f t="shared" si="10"/>
        <v>1.5800457407213002</v>
      </c>
      <c r="G81" s="81">
        <f t="shared" si="10"/>
        <v>1.5676044356762502</v>
      </c>
      <c r="H81" s="81">
        <f t="shared" si="10"/>
        <v>1.6318505191056045</v>
      </c>
      <c r="I81" s="81">
        <f t="shared" si="10"/>
        <v>1.618583441714501</v>
      </c>
      <c r="J81" s="81">
        <f t="shared" si="10"/>
        <v>1.672989607822552</v>
      </c>
      <c r="K81" s="81">
        <f t="shared" si="10"/>
        <v>1.6318505191056045</v>
      </c>
      <c r="L81" s="81">
        <f t="shared" si="10"/>
        <v>1.5314289486991064</v>
      </c>
      <c r="M81" s="81">
        <f t="shared" si="10"/>
        <v>1.55535752602253</v>
      </c>
      <c r="N81" s="81">
        <f t="shared" si="10"/>
        <v>1.555357526022529</v>
      </c>
      <c r="O81" s="81">
        <f t="shared" si="10"/>
        <v>1.5926861066470692</v>
      </c>
      <c r="P81" s="81">
        <f t="shared" si="10"/>
        <v>1.555357526022529</v>
      </c>
      <c r="Q81" s="81">
        <f t="shared" si="10"/>
        <v>1.5926861066470703</v>
      </c>
      <c r="R81" s="81">
        <f t="shared" si="10"/>
        <v>1.618583441714501</v>
      </c>
      <c r="S81" s="81">
        <f t="shared" si="10"/>
        <v>1.5926861066470703</v>
      </c>
      <c r="T81" s="81">
        <f t="shared" si="10"/>
        <v>1.567604435676249</v>
      </c>
      <c r="U81" s="81">
        <f t="shared" si="10"/>
        <v>1.6590480277573645</v>
      </c>
      <c r="V81" s="413">
        <f t="shared" si="10"/>
        <v>1.6590480277573632</v>
      </c>
      <c r="W81" s="81">
        <f t="shared" si="11"/>
        <v>1.6010942651283346</v>
      </c>
      <c r="X81" s="413">
        <f t="shared" si="11"/>
        <v>0.04112652191521813</v>
      </c>
      <c r="Y81" s="481"/>
      <c r="Z81" s="86"/>
      <c r="AA81" s="71">
        <f t="shared" si="12"/>
        <v>10</v>
      </c>
      <c r="AB81" s="56">
        <f t="shared" si="12"/>
        <v>14</v>
      </c>
      <c r="AC81" s="72" t="s">
        <v>7</v>
      </c>
      <c r="AD81" s="86">
        <f t="shared" si="13"/>
        <v>1.6010942651283346</v>
      </c>
      <c r="AE81" s="72">
        <f t="shared" si="13"/>
        <v>0.04112652191521813</v>
      </c>
    </row>
    <row r="82" spans="1:31" s="51" customFormat="1" ht="12.75">
      <c r="A82" s="71"/>
      <c r="B82" s="56"/>
      <c r="C82" s="86"/>
      <c r="D82" s="80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413"/>
      <c r="W82" s="86"/>
      <c r="X82" s="72"/>
      <c r="Y82" s="481"/>
      <c r="Z82" s="86"/>
      <c r="AA82" s="71"/>
      <c r="AB82" s="56"/>
      <c r="AC82" s="72"/>
      <c r="AD82" s="86"/>
      <c r="AE82" s="72"/>
    </row>
    <row r="83" spans="1:31" s="51" customFormat="1" ht="12.75">
      <c r="A83" s="71"/>
      <c r="B83" s="56"/>
      <c r="C83" s="86"/>
      <c r="D83" s="80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413"/>
      <c r="W83" s="86"/>
      <c r="X83" s="72"/>
      <c r="Y83" s="481"/>
      <c r="Z83" s="86"/>
      <c r="AA83" s="71"/>
      <c r="AB83" s="56"/>
      <c r="AC83" s="72"/>
      <c r="AD83" s="86"/>
      <c r="AE83" s="72"/>
    </row>
    <row r="84" spans="1:31" s="51" customFormat="1" ht="12" customHeight="1">
      <c r="A84" s="73" t="s">
        <v>119</v>
      </c>
      <c r="B84" s="58"/>
      <c r="C84" s="86"/>
      <c r="D84" s="80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413"/>
      <c r="W84" s="86"/>
      <c r="X84" s="72"/>
      <c r="Y84" s="481"/>
      <c r="Z84" s="86"/>
      <c r="AA84" s="73" t="s">
        <v>119</v>
      </c>
      <c r="AB84" s="58"/>
      <c r="AC84" s="72"/>
      <c r="AD84" s="86"/>
      <c r="AE84" s="72"/>
    </row>
    <row r="85" spans="1:31" s="49" customFormat="1" ht="12" customHeight="1">
      <c r="A85" s="71" t="str">
        <f>$C$3</f>
        <v>O-004 1st sizing</v>
      </c>
      <c r="B85" s="56" t="str">
        <f>$C$4</f>
        <v>outer</v>
      </c>
      <c r="C85" s="56" t="s">
        <v>9</v>
      </c>
      <c r="D85" s="80">
        <f>D50*1000</f>
        <v>11.8</v>
      </c>
      <c r="E85" s="81">
        <f aca="true" t="shared" si="14" ref="E85:V86">E50*1000</f>
        <v>11.82</v>
      </c>
      <c r="F85" s="81">
        <f t="shared" si="14"/>
        <v>11.940000000000001</v>
      </c>
      <c r="G85" s="81">
        <f t="shared" si="14"/>
        <v>11.9</v>
      </c>
      <c r="H85" s="81">
        <f t="shared" si="14"/>
        <v>11.96</v>
      </c>
      <c r="I85" s="81">
        <f t="shared" si="14"/>
        <v>11.88</v>
      </c>
      <c r="J85" s="81">
        <f t="shared" si="14"/>
        <v>11.48</v>
      </c>
      <c r="K85" s="81">
        <f t="shared" si="14"/>
        <v>11.440000000000001</v>
      </c>
      <c r="L85" s="81">
        <f t="shared" si="14"/>
        <v>11.96</v>
      </c>
      <c r="M85" s="81">
        <f t="shared" si="14"/>
        <v>11.74</v>
      </c>
      <c r="N85" s="81">
        <f t="shared" si="14"/>
        <v>12.480000000000002</v>
      </c>
      <c r="O85" s="81">
        <f t="shared" si="14"/>
        <v>11.98</v>
      </c>
      <c r="P85" s="81">
        <f t="shared" si="14"/>
        <v>11.520000000000001</v>
      </c>
      <c r="Q85" s="81">
        <f t="shared" si="14"/>
        <v>10.920000000000002</v>
      </c>
      <c r="R85" s="81">
        <f t="shared" si="14"/>
        <v>10.68</v>
      </c>
      <c r="S85" s="81">
        <f t="shared" si="14"/>
        <v>11.72</v>
      </c>
      <c r="T85" s="81">
        <f t="shared" si="14"/>
        <v>12.32</v>
      </c>
      <c r="U85" s="81">
        <f t="shared" si="14"/>
        <v>12.400000000000002</v>
      </c>
      <c r="V85" s="413">
        <f t="shared" si="14"/>
        <v>11.600000000000001</v>
      </c>
      <c r="W85" s="81">
        <f>W50*1000</f>
        <v>11.765263157894736</v>
      </c>
      <c r="X85" s="413">
        <f>X50*1000</f>
        <v>0.4459119048652949</v>
      </c>
      <c r="Y85" s="481"/>
      <c r="Z85" s="56"/>
      <c r="AA85" s="71" t="str">
        <f>$C$3</f>
        <v>O-004 1st sizing</v>
      </c>
      <c r="AB85" s="56" t="str">
        <f>$C$4</f>
        <v>outer</v>
      </c>
      <c r="AC85" s="69" t="s">
        <v>9</v>
      </c>
      <c r="AD85" s="86">
        <f>W85</f>
        <v>11.765263157894736</v>
      </c>
      <c r="AE85" s="72">
        <f>X85</f>
        <v>0.4459119048652949</v>
      </c>
    </row>
    <row r="86" spans="1:31" s="49" customFormat="1" ht="12" customHeight="1">
      <c r="A86" s="74" t="str">
        <f>$C$3</f>
        <v>O-004 1st sizing</v>
      </c>
      <c r="B86" s="52" t="str">
        <f>$C$4</f>
        <v>outer</v>
      </c>
      <c r="C86" s="52" t="s">
        <v>7</v>
      </c>
      <c r="D86" s="130">
        <f>D51*1000</f>
        <v>11.18</v>
      </c>
      <c r="E86" s="131">
        <f t="shared" si="14"/>
        <v>11.14</v>
      </c>
      <c r="F86" s="131">
        <f t="shared" si="14"/>
        <v>11.36</v>
      </c>
      <c r="G86" s="131">
        <f t="shared" si="14"/>
        <v>11.26</v>
      </c>
      <c r="H86" s="131">
        <f t="shared" si="14"/>
        <v>11.08</v>
      </c>
      <c r="I86" s="131">
        <f t="shared" si="14"/>
        <v>11.120000000000001</v>
      </c>
      <c r="J86" s="131">
        <f t="shared" si="14"/>
        <v>10.860000000000001</v>
      </c>
      <c r="K86" s="131">
        <f t="shared" si="14"/>
        <v>11.06</v>
      </c>
      <c r="L86" s="131">
        <f t="shared" si="14"/>
        <v>12.459999999999999</v>
      </c>
      <c r="M86" s="131">
        <f t="shared" si="14"/>
        <v>11.959999999999999</v>
      </c>
      <c r="N86" s="131">
        <f t="shared" si="14"/>
        <v>12.42</v>
      </c>
      <c r="O86" s="131">
        <f t="shared" si="14"/>
        <v>12.84</v>
      </c>
      <c r="P86" s="131">
        <f t="shared" si="14"/>
        <v>13.080000000000002</v>
      </c>
      <c r="Q86" s="131">
        <f t="shared" si="14"/>
        <v>12.68</v>
      </c>
      <c r="R86" s="131">
        <f t="shared" si="14"/>
        <v>12.5</v>
      </c>
      <c r="S86" s="131">
        <f t="shared" si="14"/>
        <v>11.68</v>
      </c>
      <c r="T86" s="131">
        <f t="shared" si="14"/>
        <v>12.06</v>
      </c>
      <c r="U86" s="131">
        <f t="shared" si="14"/>
        <v>12.76</v>
      </c>
      <c r="V86" s="414">
        <f t="shared" si="14"/>
        <v>13.000000000000002</v>
      </c>
      <c r="W86" s="131">
        <f>W51*1000</f>
        <v>11.921052631578949</v>
      </c>
      <c r="X86" s="414">
        <f>X51*1000</f>
        <v>0.771448095300442</v>
      </c>
      <c r="Y86" s="481"/>
      <c r="Z86" s="52"/>
      <c r="AA86" s="74" t="str">
        <f>$C$3</f>
        <v>O-004 1st sizing</v>
      </c>
      <c r="AB86" s="52" t="str">
        <f>$C$4</f>
        <v>outer</v>
      </c>
      <c r="AC86" s="70" t="s">
        <v>7</v>
      </c>
      <c r="AD86" s="88">
        <f>W86</f>
        <v>11.921052631578949</v>
      </c>
      <c r="AE86" s="89">
        <f>X86</f>
        <v>0.771448095300442</v>
      </c>
    </row>
    <row r="87" spans="1:26" s="49" customFormat="1" ht="12.75">
      <c r="A87" s="53"/>
      <c r="B87" s="56"/>
      <c r="C87" s="3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86"/>
      <c r="X87" s="127"/>
      <c r="Y87" s="481"/>
      <c r="Z87" s="3"/>
    </row>
    <row r="88" spans="1:31" s="49" customFormat="1" ht="12.75">
      <c r="A88" s="66" t="s">
        <v>69</v>
      </c>
      <c r="B88" s="57"/>
      <c r="C88" s="3"/>
      <c r="D88" s="462" t="str">
        <f>$C$3</f>
        <v>O-004 1st sizing</v>
      </c>
      <c r="E88" s="462"/>
      <c r="F88" s="462" t="str">
        <f>$C$4</f>
        <v>outer</v>
      </c>
      <c r="G88" s="462" t="s">
        <v>115</v>
      </c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86"/>
      <c r="X88" s="127"/>
      <c r="Y88" s="481"/>
      <c r="Z88" s="3"/>
      <c r="AA88" s="66" t="s">
        <v>69</v>
      </c>
      <c r="AB88" s="54"/>
      <c r="AC88" s="54"/>
      <c r="AD88" s="169" t="str">
        <f>D88</f>
        <v>O-004 1st sizing</v>
      </c>
      <c r="AE88" s="185" t="str">
        <f>F88</f>
        <v>outer</v>
      </c>
    </row>
    <row r="89" spans="1:31" s="176" customFormat="1" ht="12.75">
      <c r="A89" s="147" t="s">
        <v>116</v>
      </c>
      <c r="B89" s="148"/>
      <c r="C89" s="149"/>
      <c r="D89" s="170">
        <v>1</v>
      </c>
      <c r="E89" s="171">
        <f aca="true" t="shared" si="15" ref="E89:V89">D89+1</f>
        <v>2</v>
      </c>
      <c r="F89" s="171">
        <f t="shared" si="15"/>
        <v>3</v>
      </c>
      <c r="G89" s="171">
        <f t="shared" si="15"/>
        <v>4</v>
      </c>
      <c r="H89" s="171">
        <f t="shared" si="15"/>
        <v>5</v>
      </c>
      <c r="I89" s="171">
        <f t="shared" si="15"/>
        <v>6</v>
      </c>
      <c r="J89" s="171">
        <f t="shared" si="15"/>
        <v>7</v>
      </c>
      <c r="K89" s="171">
        <f t="shared" si="15"/>
        <v>8</v>
      </c>
      <c r="L89" s="171">
        <f t="shared" si="15"/>
        <v>9</v>
      </c>
      <c r="M89" s="171">
        <f t="shared" si="15"/>
        <v>10</v>
      </c>
      <c r="N89" s="171">
        <f t="shared" si="15"/>
        <v>11</v>
      </c>
      <c r="O89" s="171">
        <f t="shared" si="15"/>
        <v>12</v>
      </c>
      <c r="P89" s="171">
        <f t="shared" si="15"/>
        <v>13</v>
      </c>
      <c r="Q89" s="171">
        <f t="shared" si="15"/>
        <v>14</v>
      </c>
      <c r="R89" s="171">
        <f t="shared" si="15"/>
        <v>15</v>
      </c>
      <c r="S89" s="171">
        <f t="shared" si="15"/>
        <v>16</v>
      </c>
      <c r="T89" s="171">
        <f t="shared" si="15"/>
        <v>17</v>
      </c>
      <c r="U89" s="171">
        <f t="shared" si="15"/>
        <v>18</v>
      </c>
      <c r="V89" s="172">
        <f t="shared" si="15"/>
        <v>19</v>
      </c>
      <c r="W89" s="171" t="s">
        <v>0</v>
      </c>
      <c r="X89" s="172" t="s">
        <v>117</v>
      </c>
      <c r="Y89" s="481"/>
      <c r="Z89" s="481"/>
      <c r="AA89" s="157" t="str">
        <f aca="true" t="shared" si="16" ref="AA89:AB99">A89</f>
        <v>Axial location from lead end </v>
      </c>
      <c r="AB89" s="158"/>
      <c r="AC89" s="159"/>
      <c r="AD89" s="174" t="s">
        <v>0</v>
      </c>
      <c r="AE89" s="175" t="s">
        <v>117</v>
      </c>
    </row>
    <row r="90" spans="1:31" s="54" customFormat="1" ht="12" customHeight="1">
      <c r="A90" s="78" t="s">
        <v>120</v>
      </c>
      <c r="B90" s="75"/>
      <c r="C90" s="415"/>
      <c r="D90" s="132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424"/>
      <c r="W90" s="152"/>
      <c r="X90" s="134"/>
      <c r="Y90" s="516"/>
      <c r="Z90" s="516"/>
      <c r="AA90" s="157" t="str">
        <f t="shared" si="16"/>
        <v>Coil modulus [GPa]</v>
      </c>
      <c r="AB90" s="158"/>
      <c r="AC90" s="159"/>
      <c r="AD90" s="174"/>
      <c r="AE90" s="175"/>
    </row>
    <row r="91" spans="1:31" s="55" customFormat="1" ht="12" customHeight="1">
      <c r="A91" s="160" t="s">
        <v>121</v>
      </c>
      <c r="B91" s="161"/>
      <c r="C91" s="416" t="s">
        <v>35</v>
      </c>
      <c r="D91" s="135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417"/>
      <c r="W91" s="153"/>
      <c r="X91" s="137"/>
      <c r="Y91" s="516"/>
      <c r="Z91" s="516"/>
      <c r="AA91" s="160" t="str">
        <f t="shared" si="16"/>
        <v>Pressure range [MPa]</v>
      </c>
      <c r="AB91" s="161"/>
      <c r="AC91" s="162" t="s">
        <v>35</v>
      </c>
      <c r="AD91" s="152"/>
      <c r="AE91" s="134"/>
    </row>
    <row r="92" spans="1:31" s="55" customFormat="1" ht="12" customHeight="1">
      <c r="A92" s="91">
        <f aca="true" t="shared" si="17" ref="A92:B99">A74*6.895</f>
        <v>55.16</v>
      </c>
      <c r="B92" s="92">
        <f t="shared" si="17"/>
        <v>68.94999999999999</v>
      </c>
      <c r="C92" s="60" t="str">
        <f aca="true" t="shared" si="18" ref="C92:C99">C74</f>
        <v>A</v>
      </c>
      <c r="D92" s="135">
        <f aca="true" t="shared" si="19" ref="D92:X99">D74*6.895</f>
        <v>9.666875620890458</v>
      </c>
      <c r="E92" s="136">
        <f t="shared" si="19"/>
        <v>10.093355427694432</v>
      </c>
      <c r="F92" s="136">
        <f t="shared" si="19"/>
        <v>9.80497384404603</v>
      </c>
      <c r="G92" s="136">
        <f t="shared" si="19"/>
        <v>9.80497384404603</v>
      </c>
      <c r="H92" s="136">
        <f t="shared" si="19"/>
        <v>9.804973844046017</v>
      </c>
      <c r="I92" s="136">
        <f t="shared" si="19"/>
        <v>9.666875620890448</v>
      </c>
      <c r="J92" s="136">
        <f t="shared" si="19"/>
        <v>10.093355427694432</v>
      </c>
      <c r="K92" s="136">
        <f t="shared" si="19"/>
        <v>10.093355427694432</v>
      </c>
      <c r="L92" s="136">
        <f t="shared" si="19"/>
        <v>9.804973844046017</v>
      </c>
      <c r="M92" s="136">
        <f t="shared" si="19"/>
        <v>10.244002523630177</v>
      </c>
      <c r="N92" s="136">
        <f t="shared" si="19"/>
        <v>9.151308921109631</v>
      </c>
      <c r="O92" s="136">
        <f t="shared" si="19"/>
        <v>9.532613459489196</v>
      </c>
      <c r="P92" s="136">
        <f t="shared" si="19"/>
        <v>10.093355427694446</v>
      </c>
      <c r="Q92" s="136">
        <f t="shared" si="19"/>
        <v>9.80497384404603</v>
      </c>
      <c r="R92" s="136">
        <f t="shared" si="19"/>
        <v>9.947074914249592</v>
      </c>
      <c r="S92" s="136">
        <f t="shared" si="19"/>
        <v>10.244002523630177</v>
      </c>
      <c r="T92" s="136">
        <f t="shared" si="19"/>
        <v>9.030896961621341</v>
      </c>
      <c r="U92" s="136">
        <f t="shared" si="19"/>
        <v>9.151308921109631</v>
      </c>
      <c r="V92" s="417">
        <f t="shared" si="19"/>
        <v>9.030896961621341</v>
      </c>
      <c r="W92" s="153">
        <f t="shared" si="19"/>
        <v>9.740218282065783</v>
      </c>
      <c r="X92" s="137">
        <f t="shared" si="19"/>
        <v>0.39608757275759265</v>
      </c>
      <c r="Y92" s="516"/>
      <c r="Z92" s="516"/>
      <c r="AA92" s="79">
        <f t="shared" si="16"/>
        <v>55.16</v>
      </c>
      <c r="AB92" s="60">
        <f t="shared" si="16"/>
        <v>68.94999999999999</v>
      </c>
      <c r="AC92" s="137" t="s">
        <v>9</v>
      </c>
      <c r="AD92" s="153">
        <f aca="true" t="shared" si="20" ref="AD92:AE99">W92</f>
        <v>9.740218282065783</v>
      </c>
      <c r="AE92" s="137">
        <f t="shared" si="20"/>
        <v>0.39608757275759265</v>
      </c>
    </row>
    <row r="93" spans="1:31" s="55" customFormat="1" ht="12.75">
      <c r="A93" s="91">
        <f t="shared" si="17"/>
        <v>55.16</v>
      </c>
      <c r="B93" s="92">
        <f t="shared" si="17"/>
        <v>68.94999999999999</v>
      </c>
      <c r="C93" s="60" t="str">
        <f t="shared" si="18"/>
        <v>B</v>
      </c>
      <c r="D93" s="135">
        <f t="shared" si="19"/>
        <v>11.070131759406783</v>
      </c>
      <c r="E93" s="136">
        <f t="shared" si="19"/>
        <v>11.25160932923315</v>
      </c>
      <c r="F93" s="136">
        <f t="shared" si="19"/>
        <v>11.439136151387011</v>
      </c>
      <c r="G93" s="136">
        <f t="shared" si="19"/>
        <v>10.724190141925323</v>
      </c>
      <c r="H93" s="136">
        <f t="shared" si="19"/>
        <v>11.0701317594068</v>
      </c>
      <c r="I93" s="136">
        <f t="shared" si="19"/>
        <v>10.724190141925352</v>
      </c>
      <c r="J93" s="136">
        <f t="shared" si="19"/>
        <v>10.894415382273364</v>
      </c>
      <c r="K93" s="136">
        <f t="shared" si="19"/>
        <v>10.724190141925337</v>
      </c>
      <c r="L93" s="136">
        <f t="shared" si="19"/>
        <v>9.804973844046007</v>
      </c>
      <c r="M93" s="136">
        <f t="shared" si="19"/>
        <v>10.09335542769442</v>
      </c>
      <c r="N93" s="136">
        <f t="shared" si="19"/>
        <v>9.666875620890448</v>
      </c>
      <c r="O93" s="136">
        <f t="shared" si="19"/>
        <v>9.666875620890448</v>
      </c>
      <c r="P93" s="136">
        <f t="shared" si="19"/>
        <v>9.666875620890448</v>
      </c>
      <c r="Q93" s="136">
        <f t="shared" si="19"/>
        <v>9.666875620890448</v>
      </c>
      <c r="R93" s="136">
        <f t="shared" si="19"/>
        <v>9.532613459489196</v>
      </c>
      <c r="S93" s="136">
        <f t="shared" si="19"/>
        <v>10.894415382273351</v>
      </c>
      <c r="T93" s="136">
        <f t="shared" si="19"/>
        <v>10.244002523630177</v>
      </c>
      <c r="U93" s="136">
        <f t="shared" si="19"/>
        <v>9.804973844046017</v>
      </c>
      <c r="V93" s="417">
        <f t="shared" si="19"/>
        <v>9.666875620890448</v>
      </c>
      <c r="W93" s="153">
        <f t="shared" si="19"/>
        <v>10.347721441742873</v>
      </c>
      <c r="X93" s="137">
        <f t="shared" si="19"/>
        <v>0.6549662020912369</v>
      </c>
      <c r="Y93" s="516"/>
      <c r="Z93" s="516"/>
      <c r="AA93" s="79">
        <f t="shared" si="16"/>
        <v>55.16</v>
      </c>
      <c r="AB93" s="60">
        <f t="shared" si="16"/>
        <v>68.94999999999999</v>
      </c>
      <c r="AC93" s="137" t="s">
        <v>7</v>
      </c>
      <c r="AD93" s="153">
        <f t="shared" si="20"/>
        <v>10.347721441742873</v>
      </c>
      <c r="AE93" s="137">
        <f t="shared" si="20"/>
        <v>0.6549662020912369</v>
      </c>
    </row>
    <row r="94" spans="1:31" s="55" customFormat="1" ht="12.75">
      <c r="A94" s="91">
        <f t="shared" si="17"/>
        <v>68.94999999999999</v>
      </c>
      <c r="B94" s="92">
        <f t="shared" si="17"/>
        <v>82.74</v>
      </c>
      <c r="C94" s="60" t="str">
        <f t="shared" si="18"/>
        <v>A</v>
      </c>
      <c r="D94" s="135">
        <f t="shared" si="19"/>
        <v>11.251609329233117</v>
      </c>
      <c r="E94" s="136">
        <f t="shared" si="19"/>
        <v>10.894415382273351</v>
      </c>
      <c r="F94" s="136">
        <f t="shared" si="19"/>
        <v>11.251609329233133</v>
      </c>
      <c r="G94" s="136">
        <f t="shared" si="19"/>
        <v>11.251609329233133</v>
      </c>
      <c r="H94" s="136">
        <f t="shared" si="19"/>
        <v>11.0701317594068</v>
      </c>
      <c r="I94" s="136">
        <f t="shared" si="19"/>
        <v>11.251609329233133</v>
      </c>
      <c r="J94" s="136">
        <f t="shared" si="19"/>
        <v>12.25621730505753</v>
      </c>
      <c r="K94" s="136">
        <f t="shared" si="19"/>
        <v>12.041195948828442</v>
      </c>
      <c r="L94" s="136">
        <f t="shared" si="19"/>
        <v>11.0701317594068</v>
      </c>
      <c r="M94" s="136">
        <f t="shared" si="19"/>
        <v>11.251609329233133</v>
      </c>
      <c r="N94" s="136">
        <f t="shared" si="19"/>
        <v>11.070131759406783</v>
      </c>
      <c r="O94" s="136">
        <f t="shared" si="19"/>
        <v>11.070131759406783</v>
      </c>
      <c r="P94" s="136">
        <f t="shared" si="19"/>
        <v>11.833589122124513</v>
      </c>
      <c r="Q94" s="136">
        <f t="shared" si="19"/>
        <v>12.479057619694933</v>
      </c>
      <c r="R94" s="136">
        <f t="shared" si="19"/>
        <v>12.041195948828442</v>
      </c>
      <c r="S94" s="136">
        <f t="shared" si="19"/>
        <v>10.724190141925337</v>
      </c>
      <c r="T94" s="136">
        <f t="shared" si="19"/>
        <v>10.559202601280324</v>
      </c>
      <c r="U94" s="136">
        <f t="shared" si="19"/>
        <v>10.724190141925337</v>
      </c>
      <c r="V94" s="417">
        <f t="shared" si="19"/>
        <v>10.894415382273351</v>
      </c>
      <c r="W94" s="153">
        <f t="shared" si="19"/>
        <v>11.315065435684444</v>
      </c>
      <c r="X94" s="137">
        <f t="shared" si="19"/>
        <v>0.5501330494868976</v>
      </c>
      <c r="Y94" s="516"/>
      <c r="Z94" s="516"/>
      <c r="AA94" s="79">
        <f t="shared" si="16"/>
        <v>68.94999999999999</v>
      </c>
      <c r="AB94" s="60">
        <f t="shared" si="16"/>
        <v>82.74</v>
      </c>
      <c r="AC94" s="137" t="s">
        <v>9</v>
      </c>
      <c r="AD94" s="153">
        <f t="shared" si="20"/>
        <v>11.315065435684444</v>
      </c>
      <c r="AE94" s="137">
        <f t="shared" si="20"/>
        <v>0.5501330494868976</v>
      </c>
    </row>
    <row r="95" spans="1:31" s="55" customFormat="1" ht="12.75">
      <c r="A95" s="91">
        <f t="shared" si="17"/>
        <v>68.94999999999999</v>
      </c>
      <c r="B95" s="92">
        <f t="shared" si="17"/>
        <v>82.74</v>
      </c>
      <c r="C95" s="60" t="str">
        <f t="shared" si="18"/>
        <v>B</v>
      </c>
      <c r="D95" s="135">
        <f t="shared" si="19"/>
        <v>13.199003251600422</v>
      </c>
      <c r="E95" s="136">
        <f t="shared" si="19"/>
        <v>12.949965454400381</v>
      </c>
      <c r="F95" s="136">
        <f t="shared" si="19"/>
        <v>12.710151279318925</v>
      </c>
      <c r="G95" s="136">
        <f t="shared" si="19"/>
        <v>12.479057619694933</v>
      </c>
      <c r="H95" s="136">
        <f t="shared" si="19"/>
        <v>13.199003251600422</v>
      </c>
      <c r="I95" s="136">
        <f t="shared" si="19"/>
        <v>12.949965454400381</v>
      </c>
      <c r="J95" s="136">
        <f t="shared" si="19"/>
        <v>13.45780723692589</v>
      </c>
      <c r="K95" s="136">
        <f t="shared" si="19"/>
        <v>12.949965454400381</v>
      </c>
      <c r="L95" s="136">
        <f t="shared" si="19"/>
        <v>11.25160932923315</v>
      </c>
      <c r="M95" s="136">
        <f t="shared" si="19"/>
        <v>11.633019814969867</v>
      </c>
      <c r="N95" s="136">
        <f t="shared" si="19"/>
        <v>11.439136151387027</v>
      </c>
      <c r="O95" s="136">
        <f t="shared" si="19"/>
        <v>11.63301981496985</v>
      </c>
      <c r="P95" s="136">
        <f t="shared" si="19"/>
        <v>11.439136151387011</v>
      </c>
      <c r="Q95" s="136">
        <f t="shared" si="19"/>
        <v>12.041195948828442</v>
      </c>
      <c r="R95" s="136">
        <f t="shared" si="19"/>
        <v>12.041195948828424</v>
      </c>
      <c r="S95" s="136">
        <f t="shared" si="19"/>
        <v>11.833589122124513</v>
      </c>
      <c r="T95" s="136">
        <f t="shared" si="19"/>
        <v>11.439136151387011</v>
      </c>
      <c r="U95" s="136">
        <f t="shared" si="19"/>
        <v>11.439136151387027</v>
      </c>
      <c r="V95" s="417">
        <f t="shared" si="19"/>
        <v>11.833589122124495</v>
      </c>
      <c r="W95" s="153">
        <f t="shared" si="19"/>
        <v>12.206246458366767</v>
      </c>
      <c r="X95" s="137">
        <f t="shared" si="19"/>
        <v>0.7371042873933334</v>
      </c>
      <c r="Y95" s="516"/>
      <c r="Z95" s="516"/>
      <c r="AA95" s="79">
        <f t="shared" si="16"/>
        <v>68.94999999999999</v>
      </c>
      <c r="AB95" s="60">
        <f t="shared" si="16"/>
        <v>82.74</v>
      </c>
      <c r="AC95" s="137" t="s">
        <v>7</v>
      </c>
      <c r="AD95" s="153">
        <f t="shared" si="20"/>
        <v>12.206246458366767</v>
      </c>
      <c r="AE95" s="137">
        <f t="shared" si="20"/>
        <v>0.7371042873933334</v>
      </c>
    </row>
    <row r="96" spans="1:31" s="55" customFormat="1" ht="12.75">
      <c r="A96" s="91">
        <f t="shared" si="17"/>
        <v>82.74</v>
      </c>
      <c r="B96" s="92">
        <f t="shared" si="17"/>
        <v>96.53</v>
      </c>
      <c r="C96" s="60" t="str">
        <f t="shared" si="18"/>
        <v>A</v>
      </c>
      <c r="D96" s="135">
        <f t="shared" si="19"/>
        <v>9.15130892110962</v>
      </c>
      <c r="E96" s="136">
        <f t="shared" si="19"/>
        <v>9.27497525788137</v>
      </c>
      <c r="F96" s="136">
        <f t="shared" si="19"/>
        <v>9.40202971346879</v>
      </c>
      <c r="G96" s="136">
        <f t="shared" si="19"/>
        <v>9.27497525788137</v>
      </c>
      <c r="H96" s="136">
        <f t="shared" si="19"/>
        <v>9.666875620890435</v>
      </c>
      <c r="I96" s="136">
        <f t="shared" si="19"/>
        <v>9.40202971346879</v>
      </c>
      <c r="J96" s="136">
        <f t="shared" si="19"/>
        <v>9.274975257881358</v>
      </c>
      <c r="K96" s="136">
        <f t="shared" si="19"/>
        <v>9.40202971346879</v>
      </c>
      <c r="L96" s="136">
        <f t="shared" si="19"/>
        <v>9.532613459489186</v>
      </c>
      <c r="M96" s="136">
        <f t="shared" si="19"/>
        <v>9.532613459489186</v>
      </c>
      <c r="N96" s="136">
        <f t="shared" si="19"/>
        <v>9.666875620890448</v>
      </c>
      <c r="O96" s="136">
        <f t="shared" si="19"/>
        <v>9.532613459489186</v>
      </c>
      <c r="P96" s="136">
        <f t="shared" si="19"/>
        <v>9.151308921109612</v>
      </c>
      <c r="Q96" s="136">
        <f t="shared" si="19"/>
        <v>9.666875620890435</v>
      </c>
      <c r="R96" s="136">
        <f t="shared" si="19"/>
        <v>10.093355427694432</v>
      </c>
      <c r="S96" s="136">
        <f t="shared" si="19"/>
        <v>9.666875620890435</v>
      </c>
      <c r="T96" s="136">
        <f t="shared" si="19"/>
        <v>9.402029713468778</v>
      </c>
      <c r="U96" s="136">
        <f t="shared" si="19"/>
        <v>9.532613459489186</v>
      </c>
      <c r="V96" s="417">
        <f t="shared" si="19"/>
        <v>8.799335501066938</v>
      </c>
      <c r="W96" s="153">
        <f t="shared" si="19"/>
        <v>9.44348998526412</v>
      </c>
      <c r="X96" s="137">
        <f t="shared" si="19"/>
        <v>0.27197259270729446</v>
      </c>
      <c r="Y96" s="516"/>
      <c r="Z96" s="516"/>
      <c r="AA96" s="79">
        <f t="shared" si="16"/>
        <v>82.74</v>
      </c>
      <c r="AB96" s="60">
        <f t="shared" si="16"/>
        <v>96.53</v>
      </c>
      <c r="AC96" s="137" t="s">
        <v>9</v>
      </c>
      <c r="AD96" s="153">
        <f t="shared" si="20"/>
        <v>9.44348998526412</v>
      </c>
      <c r="AE96" s="137">
        <f t="shared" si="20"/>
        <v>0.27197259270729446</v>
      </c>
    </row>
    <row r="97" spans="1:31" s="55" customFormat="1" ht="12.75">
      <c r="A97" s="91">
        <f t="shared" si="17"/>
        <v>82.74</v>
      </c>
      <c r="B97" s="92">
        <f t="shared" si="17"/>
        <v>96.53</v>
      </c>
      <c r="C97" s="60" t="str">
        <f t="shared" si="18"/>
        <v>B</v>
      </c>
      <c r="D97" s="135">
        <f t="shared" si="19"/>
        <v>9.947074914249592</v>
      </c>
      <c r="E97" s="136">
        <f t="shared" si="19"/>
        <v>9.532613459489196</v>
      </c>
      <c r="F97" s="136">
        <f t="shared" si="19"/>
        <v>9.532613459489196</v>
      </c>
      <c r="G97" s="136">
        <f t="shared" si="19"/>
        <v>9.532613459489196</v>
      </c>
      <c r="H97" s="136">
        <f t="shared" si="19"/>
        <v>9.804973844046017</v>
      </c>
      <c r="I97" s="136">
        <f t="shared" si="19"/>
        <v>9.80497384404603</v>
      </c>
      <c r="J97" s="136">
        <f t="shared" si="19"/>
        <v>10.093355427694446</v>
      </c>
      <c r="K97" s="136">
        <f t="shared" si="19"/>
        <v>9.947074914249605</v>
      </c>
      <c r="L97" s="136">
        <f t="shared" si="19"/>
        <v>9.947074914249592</v>
      </c>
      <c r="M97" s="136">
        <f t="shared" si="19"/>
        <v>9.947074914249592</v>
      </c>
      <c r="N97" s="136">
        <f t="shared" si="19"/>
        <v>10.093355427694432</v>
      </c>
      <c r="O97" s="136">
        <f t="shared" si="19"/>
        <v>10.399214683079114</v>
      </c>
      <c r="P97" s="136">
        <f t="shared" si="19"/>
        <v>10.093355427694446</v>
      </c>
      <c r="Q97" s="136">
        <f t="shared" si="19"/>
        <v>10.093355427694446</v>
      </c>
      <c r="R97" s="136">
        <f t="shared" si="19"/>
        <v>10.399214683079126</v>
      </c>
      <c r="S97" s="136">
        <f t="shared" si="19"/>
        <v>10.244002523630177</v>
      </c>
      <c r="T97" s="136">
        <f t="shared" si="19"/>
        <v>10.244002523630177</v>
      </c>
      <c r="U97" s="136">
        <f t="shared" si="19"/>
        <v>11.439136151387027</v>
      </c>
      <c r="V97" s="417">
        <f t="shared" si="19"/>
        <v>11.0701317594068</v>
      </c>
      <c r="W97" s="153">
        <f t="shared" si="19"/>
        <v>10.113958513607802</v>
      </c>
      <c r="X97" s="137">
        <f t="shared" si="19"/>
        <v>0.4821742343344634</v>
      </c>
      <c r="Y97" s="516"/>
      <c r="Z97" s="516"/>
      <c r="AA97" s="79">
        <f t="shared" si="16"/>
        <v>82.74</v>
      </c>
      <c r="AB97" s="60">
        <f t="shared" si="16"/>
        <v>96.53</v>
      </c>
      <c r="AC97" s="137" t="s">
        <v>7</v>
      </c>
      <c r="AD97" s="153">
        <f t="shared" si="20"/>
        <v>10.113958513607802</v>
      </c>
      <c r="AE97" s="137">
        <f t="shared" si="20"/>
        <v>0.4821742343344634</v>
      </c>
    </row>
    <row r="98" spans="1:31" s="55" customFormat="1" ht="12.75">
      <c r="A98" s="91">
        <f t="shared" si="17"/>
        <v>68.94999999999999</v>
      </c>
      <c r="B98" s="92">
        <f t="shared" si="17"/>
        <v>96.53</v>
      </c>
      <c r="C98" s="60" t="str">
        <f t="shared" si="18"/>
        <v>A</v>
      </c>
      <c r="D98" s="135">
        <f t="shared" si="19"/>
        <v>10.093355427694426</v>
      </c>
      <c r="E98" s="136">
        <f t="shared" si="19"/>
        <v>10.01968130048498</v>
      </c>
      <c r="F98" s="136">
        <f t="shared" si="19"/>
        <v>10.244002523630172</v>
      </c>
      <c r="G98" s="136">
        <f t="shared" si="19"/>
        <v>10.168121023455129</v>
      </c>
      <c r="H98" s="136">
        <f t="shared" si="19"/>
        <v>10.321025098995808</v>
      </c>
      <c r="I98" s="136">
        <f t="shared" si="19"/>
        <v>10.244002523630172</v>
      </c>
      <c r="J98" s="136">
        <f t="shared" si="19"/>
        <v>10.559202601280324</v>
      </c>
      <c r="K98" s="136">
        <f t="shared" si="19"/>
        <v>10.55920260128033</v>
      </c>
      <c r="L98" s="136">
        <f t="shared" si="19"/>
        <v>10.244002523630172</v>
      </c>
      <c r="M98" s="136">
        <f t="shared" si="19"/>
        <v>10.321025098995808</v>
      </c>
      <c r="N98" s="136">
        <f t="shared" si="19"/>
        <v>10.321025098995808</v>
      </c>
      <c r="O98" s="136">
        <f t="shared" si="19"/>
        <v>10.244002523630163</v>
      </c>
      <c r="P98" s="136">
        <f t="shared" si="19"/>
        <v>10.321025098995808</v>
      </c>
      <c r="Q98" s="136">
        <f t="shared" si="19"/>
        <v>10.894415382273351</v>
      </c>
      <c r="R98" s="136">
        <f t="shared" si="19"/>
        <v>10.981570705331542</v>
      </c>
      <c r="S98" s="136">
        <f t="shared" si="19"/>
        <v>10.168121023455129</v>
      </c>
      <c r="T98" s="136">
        <f t="shared" si="19"/>
        <v>9.94707491424958</v>
      </c>
      <c r="U98" s="136">
        <f t="shared" si="19"/>
        <v>10.093355427694432</v>
      </c>
      <c r="V98" s="417">
        <f t="shared" si="19"/>
        <v>9.735435022457036</v>
      </c>
      <c r="W98" s="153">
        <f t="shared" si="19"/>
        <v>10.288402416850534</v>
      </c>
      <c r="X98" s="137">
        <f t="shared" si="19"/>
        <v>0.298705740994129</v>
      </c>
      <c r="Y98" s="516"/>
      <c r="Z98" s="516"/>
      <c r="AA98" s="79">
        <f t="shared" si="16"/>
        <v>68.94999999999999</v>
      </c>
      <c r="AB98" s="60">
        <f t="shared" si="16"/>
        <v>96.53</v>
      </c>
      <c r="AC98" s="137" t="s">
        <v>9</v>
      </c>
      <c r="AD98" s="153">
        <f t="shared" si="20"/>
        <v>10.288402416850534</v>
      </c>
      <c r="AE98" s="137">
        <f t="shared" si="20"/>
        <v>0.298705740994129</v>
      </c>
    </row>
    <row r="99" spans="1:31" s="55" customFormat="1" ht="12.75">
      <c r="A99" s="91">
        <f t="shared" si="17"/>
        <v>68.94999999999999</v>
      </c>
      <c r="B99" s="92">
        <f t="shared" si="17"/>
        <v>96.53</v>
      </c>
      <c r="C99" s="60" t="str">
        <f t="shared" si="18"/>
        <v>B</v>
      </c>
      <c r="D99" s="135">
        <f t="shared" si="19"/>
        <v>11.344597836086312</v>
      </c>
      <c r="E99" s="136">
        <f t="shared" si="19"/>
        <v>10.981570705331542</v>
      </c>
      <c r="F99" s="136">
        <f t="shared" si="19"/>
        <v>10.894415382273364</v>
      </c>
      <c r="G99" s="136">
        <f t="shared" si="19"/>
        <v>10.808632583987745</v>
      </c>
      <c r="H99" s="136">
        <f t="shared" si="19"/>
        <v>11.251609329233142</v>
      </c>
      <c r="I99" s="136">
        <f t="shared" si="19"/>
        <v>11.160132830621484</v>
      </c>
      <c r="J99" s="136">
        <f t="shared" si="19"/>
        <v>11.535263345936494</v>
      </c>
      <c r="K99" s="136">
        <f t="shared" si="19"/>
        <v>11.251609329233142</v>
      </c>
      <c r="L99" s="136">
        <f t="shared" si="19"/>
        <v>10.559202601280338</v>
      </c>
      <c r="M99" s="136">
        <f t="shared" si="19"/>
        <v>10.724190141925344</v>
      </c>
      <c r="N99" s="136">
        <f t="shared" si="19"/>
        <v>10.724190141925337</v>
      </c>
      <c r="O99" s="136">
        <f t="shared" si="19"/>
        <v>10.981570705331542</v>
      </c>
      <c r="P99" s="136">
        <f t="shared" si="19"/>
        <v>10.724190141925337</v>
      </c>
      <c r="Q99" s="136">
        <f t="shared" si="19"/>
        <v>10.98157070533155</v>
      </c>
      <c r="R99" s="136">
        <f t="shared" si="19"/>
        <v>11.160132830621484</v>
      </c>
      <c r="S99" s="136">
        <f t="shared" si="19"/>
        <v>10.98157070533155</v>
      </c>
      <c r="T99" s="136">
        <f t="shared" si="19"/>
        <v>10.808632583987738</v>
      </c>
      <c r="U99" s="136">
        <f t="shared" si="19"/>
        <v>11.439136151387027</v>
      </c>
      <c r="V99" s="417">
        <f t="shared" si="19"/>
        <v>11.439136151387018</v>
      </c>
      <c r="W99" s="153">
        <f t="shared" si="19"/>
        <v>11.039544958059867</v>
      </c>
      <c r="X99" s="137">
        <f t="shared" si="19"/>
        <v>0.28356736860542897</v>
      </c>
      <c r="Y99" s="516"/>
      <c r="Z99" s="516"/>
      <c r="AA99" s="79">
        <f t="shared" si="16"/>
        <v>68.94999999999999</v>
      </c>
      <c r="AB99" s="60">
        <f t="shared" si="16"/>
        <v>96.53</v>
      </c>
      <c r="AC99" s="137" t="s">
        <v>7</v>
      </c>
      <c r="AD99" s="153">
        <f t="shared" si="20"/>
        <v>11.039544958059867</v>
      </c>
      <c r="AE99" s="137">
        <f t="shared" si="20"/>
        <v>0.28356736860542897</v>
      </c>
    </row>
    <row r="100" spans="1:31" s="55" customFormat="1" ht="12.75">
      <c r="A100" s="91"/>
      <c r="B100" s="92"/>
      <c r="C100" s="60" t="s">
        <v>0</v>
      </c>
      <c r="D100" s="135">
        <f>AVERAGE(D92:D97)</f>
        <v>10.714333966081668</v>
      </c>
      <c r="E100" s="136">
        <f aca="true" t="shared" si="21" ref="E100:X100">AVERAGE(E92:E97)</f>
        <v>10.666155718495313</v>
      </c>
      <c r="F100" s="136">
        <f t="shared" si="21"/>
        <v>10.690085629490516</v>
      </c>
      <c r="G100" s="136">
        <f t="shared" si="21"/>
        <v>10.511236608711664</v>
      </c>
      <c r="H100" s="136">
        <f t="shared" si="21"/>
        <v>10.769348346566082</v>
      </c>
      <c r="I100" s="136">
        <f t="shared" si="21"/>
        <v>10.633274017327357</v>
      </c>
      <c r="J100" s="136">
        <f t="shared" si="21"/>
        <v>11.01168767292117</v>
      </c>
      <c r="K100" s="136">
        <f t="shared" si="21"/>
        <v>10.859635266761165</v>
      </c>
      <c r="L100" s="136">
        <f t="shared" si="21"/>
        <v>10.235229525078458</v>
      </c>
      <c r="M100" s="136">
        <f t="shared" si="21"/>
        <v>10.450279244877729</v>
      </c>
      <c r="N100" s="136">
        <f t="shared" si="21"/>
        <v>10.181280583563128</v>
      </c>
      <c r="O100" s="136">
        <f t="shared" si="21"/>
        <v>10.305744799554097</v>
      </c>
      <c r="P100" s="136">
        <f t="shared" si="21"/>
        <v>10.37960344515008</v>
      </c>
      <c r="Q100" s="136">
        <f t="shared" si="21"/>
        <v>10.625389013674123</v>
      </c>
      <c r="R100" s="136">
        <f t="shared" si="21"/>
        <v>10.67577506369487</v>
      </c>
      <c r="S100" s="136">
        <f t="shared" si="21"/>
        <v>10.601179219078999</v>
      </c>
      <c r="T100" s="136">
        <f t="shared" si="21"/>
        <v>10.153211745836302</v>
      </c>
      <c r="U100" s="136">
        <f t="shared" si="21"/>
        <v>10.348559778224038</v>
      </c>
      <c r="V100" s="417">
        <f t="shared" si="21"/>
        <v>10.215874057897228</v>
      </c>
      <c r="W100" s="136">
        <f t="shared" si="21"/>
        <v>10.527783352788632</v>
      </c>
      <c r="X100" s="417">
        <f t="shared" si="21"/>
        <v>0.5154063231284698</v>
      </c>
      <c r="Y100" s="516"/>
      <c r="Z100" s="516"/>
      <c r="AA100" s="79"/>
      <c r="AB100" s="60"/>
      <c r="AC100" s="137"/>
      <c r="AD100" s="153">
        <f>W100</f>
        <v>10.527783352788632</v>
      </c>
      <c r="AE100" s="137">
        <f>X100</f>
        <v>0.5154063231284698</v>
      </c>
    </row>
    <row r="101" spans="1:31" s="55" customFormat="1" ht="12" customHeight="1">
      <c r="A101" s="79"/>
      <c r="B101" s="516"/>
      <c r="C101" s="60"/>
      <c r="D101" s="135"/>
      <c r="E101" s="517"/>
      <c r="F101" s="517"/>
      <c r="G101" s="517"/>
      <c r="H101" s="517"/>
      <c r="I101" s="517"/>
      <c r="J101" s="517"/>
      <c r="K101" s="517"/>
      <c r="L101" s="517"/>
      <c r="M101" s="517"/>
      <c r="N101" s="517"/>
      <c r="O101" s="517"/>
      <c r="P101" s="517"/>
      <c r="Q101" s="517"/>
      <c r="R101" s="517"/>
      <c r="S101" s="517"/>
      <c r="T101" s="517"/>
      <c r="U101" s="517"/>
      <c r="V101" s="518"/>
      <c r="W101" s="517"/>
      <c r="X101" s="137"/>
      <c r="Y101" s="516"/>
      <c r="Z101" s="516"/>
      <c r="AA101" s="79"/>
      <c r="AB101" s="60"/>
      <c r="AC101" s="137"/>
      <c r="AD101" s="153"/>
      <c r="AE101" s="137"/>
    </row>
    <row r="102" spans="1:31" s="90" customFormat="1" ht="12" customHeight="1">
      <c r="A102" s="77" t="s">
        <v>122</v>
      </c>
      <c r="B102" s="59"/>
      <c r="C102" s="60"/>
      <c r="D102" s="135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417"/>
      <c r="W102" s="153"/>
      <c r="X102" s="137"/>
      <c r="Y102" s="516"/>
      <c r="Z102" s="516"/>
      <c r="AA102" s="77" t="str">
        <f>A102</f>
        <v>Coil size at 83 MPa coil pressure [µm]</v>
      </c>
      <c r="AB102" s="163"/>
      <c r="AC102" s="137"/>
      <c r="AD102" s="153"/>
      <c r="AE102" s="137"/>
    </row>
    <row r="103" spans="1:31" s="90" customFormat="1" ht="12" customHeight="1">
      <c r="A103" s="79" t="str">
        <f>$C$3</f>
        <v>O-004 1st sizing</v>
      </c>
      <c r="B103" s="60" t="str">
        <f>$C$4</f>
        <v>outer</v>
      </c>
      <c r="C103" s="92" t="s">
        <v>9</v>
      </c>
      <c r="D103" s="155">
        <f aca="true" t="shared" si="22" ref="D103:V104">D85*1000/39.37</f>
        <v>299.7205994411989</v>
      </c>
      <c r="E103" s="156">
        <f t="shared" si="22"/>
        <v>300.2286004572009</v>
      </c>
      <c r="F103" s="156">
        <f t="shared" si="22"/>
        <v>303.2766065532132</v>
      </c>
      <c r="G103" s="156">
        <f t="shared" si="22"/>
        <v>302.2606045212091</v>
      </c>
      <c r="H103" s="156">
        <f t="shared" si="22"/>
        <v>303.78460756921515</v>
      </c>
      <c r="I103" s="156">
        <f t="shared" si="22"/>
        <v>301.75260350520705</v>
      </c>
      <c r="J103" s="156">
        <f t="shared" si="22"/>
        <v>291.5925831851664</v>
      </c>
      <c r="K103" s="156">
        <f t="shared" si="22"/>
        <v>290.57658115316235</v>
      </c>
      <c r="L103" s="156">
        <f t="shared" si="22"/>
        <v>303.78460756921515</v>
      </c>
      <c r="M103" s="156">
        <f t="shared" si="22"/>
        <v>298.1965963931928</v>
      </c>
      <c r="N103" s="156">
        <f t="shared" si="22"/>
        <v>316.992633985268</v>
      </c>
      <c r="O103" s="156">
        <f t="shared" si="22"/>
        <v>304.2926085852172</v>
      </c>
      <c r="P103" s="156">
        <f t="shared" si="22"/>
        <v>292.6085852171705</v>
      </c>
      <c r="Q103" s="156">
        <f t="shared" si="22"/>
        <v>277.36855473710955</v>
      </c>
      <c r="R103" s="156">
        <f t="shared" si="22"/>
        <v>271.2725425450851</v>
      </c>
      <c r="S103" s="156">
        <f t="shared" si="22"/>
        <v>297.6885953771908</v>
      </c>
      <c r="T103" s="156">
        <f t="shared" si="22"/>
        <v>312.92862585725175</v>
      </c>
      <c r="U103" s="156">
        <f t="shared" si="22"/>
        <v>314.9606299212599</v>
      </c>
      <c r="V103" s="418">
        <f t="shared" si="22"/>
        <v>294.6405892811786</v>
      </c>
      <c r="W103" s="156">
        <f>W85*1000/39.37</f>
        <v>298.8382818870901</v>
      </c>
      <c r="X103" s="418">
        <f>X85*1000/39.37</f>
        <v>11.326185035948564</v>
      </c>
      <c r="Y103" s="516"/>
      <c r="Z103" s="516"/>
      <c r="AA103" s="79" t="str">
        <f>$C$3</f>
        <v>O-004 1st sizing</v>
      </c>
      <c r="AB103" s="60" t="str">
        <f>$C$4</f>
        <v>outer</v>
      </c>
      <c r="AC103" s="76" t="s">
        <v>9</v>
      </c>
      <c r="AD103" s="153">
        <f>W103</f>
        <v>298.8382818870901</v>
      </c>
      <c r="AE103" s="137">
        <f>X103</f>
        <v>11.326185035948564</v>
      </c>
    </row>
    <row r="104" spans="1:31" ht="12.75">
      <c r="A104" s="164" t="str">
        <f>$C$3</f>
        <v>O-004 1st sizing</v>
      </c>
      <c r="B104" s="165" t="str">
        <f>$C$4</f>
        <v>outer</v>
      </c>
      <c r="C104" s="93" t="s">
        <v>7</v>
      </c>
      <c r="D104" s="94">
        <f t="shared" si="22"/>
        <v>283.9725679451359</v>
      </c>
      <c r="E104" s="95">
        <f t="shared" si="22"/>
        <v>282.95656591313184</v>
      </c>
      <c r="F104" s="95">
        <f t="shared" si="22"/>
        <v>288.5445770891542</v>
      </c>
      <c r="G104" s="95">
        <f t="shared" si="22"/>
        <v>286.00457200914406</v>
      </c>
      <c r="H104" s="95">
        <f t="shared" si="22"/>
        <v>281.43256286512576</v>
      </c>
      <c r="I104" s="95">
        <f t="shared" si="22"/>
        <v>282.44856489712987</v>
      </c>
      <c r="J104" s="95">
        <f t="shared" si="22"/>
        <v>275.84455168910347</v>
      </c>
      <c r="K104" s="95">
        <f t="shared" si="22"/>
        <v>280.92456184912373</v>
      </c>
      <c r="L104" s="95">
        <f t="shared" si="22"/>
        <v>316.48463296926593</v>
      </c>
      <c r="M104" s="95">
        <f t="shared" si="22"/>
        <v>303.7846075692151</v>
      </c>
      <c r="N104" s="95">
        <f t="shared" si="22"/>
        <v>315.4686309372619</v>
      </c>
      <c r="O104" s="95">
        <f t="shared" si="22"/>
        <v>326.13665227330455</v>
      </c>
      <c r="P104" s="95">
        <f t="shared" si="22"/>
        <v>332.232664465329</v>
      </c>
      <c r="Q104" s="95">
        <f t="shared" si="22"/>
        <v>322.07264414528834</v>
      </c>
      <c r="R104" s="95">
        <f t="shared" si="22"/>
        <v>317.50063500127004</v>
      </c>
      <c r="S104" s="95">
        <f t="shared" si="22"/>
        <v>296.6725933451867</v>
      </c>
      <c r="T104" s="95">
        <f t="shared" si="22"/>
        <v>306.32461264922534</v>
      </c>
      <c r="U104" s="95">
        <f t="shared" si="22"/>
        <v>324.10464820929644</v>
      </c>
      <c r="V104" s="419">
        <f t="shared" si="22"/>
        <v>330.2006604013209</v>
      </c>
      <c r="W104" s="95">
        <f>W86*1000/39.37</f>
        <v>302.79534243279016</v>
      </c>
      <c r="X104" s="419">
        <f>X86*1000/39.37</f>
        <v>19.59482081027285</v>
      </c>
      <c r="AA104" s="164" t="str">
        <f>$C$3</f>
        <v>O-004 1st sizing</v>
      </c>
      <c r="AB104" s="165" t="str">
        <f>$C$4</f>
        <v>outer</v>
      </c>
      <c r="AC104" s="166" t="s">
        <v>7</v>
      </c>
      <c r="AD104" s="167">
        <f>W104</f>
        <v>302.79534243279016</v>
      </c>
      <c r="AE104" s="168">
        <f>X104</f>
        <v>19.59482081027285</v>
      </c>
    </row>
    <row r="105" spans="4:24" ht="12.75">
      <c r="D105" s="520"/>
      <c r="X105" s="516"/>
    </row>
  </sheetData>
  <printOptions horizontalCentered="1" verticalCentered="1"/>
  <pageMargins left="0" right="0" top="0" bottom="0" header="0.5" footer="0.5"/>
  <pageSetup fitToHeight="1" fitToWidth="1" orientation="portrait" scale="53" r:id="rId2"/>
  <headerFooter alignWithMargins="0">
    <oddHeader>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5"/>
  <sheetViews>
    <sheetView view="pageBreakPreview" zoomScale="60" workbookViewId="0" topLeftCell="A1">
      <selection activeCell="M31" sqref="M31"/>
    </sheetView>
  </sheetViews>
  <sheetFormatPr defaultColWidth="9.00390625" defaultRowHeight="12.75" customHeight="1"/>
  <cols>
    <col min="1" max="3" width="14.00390625" style="516" customWidth="1"/>
    <col min="4" max="4" width="8.875" style="516" customWidth="1"/>
    <col min="5" max="24" width="8.875" style="520" customWidth="1"/>
    <col min="25" max="25" width="7.00390625" style="516" customWidth="1"/>
    <col min="26" max="26" width="8.125" style="516" customWidth="1"/>
    <col min="27" max="27" width="12.00390625" style="516" customWidth="1"/>
    <col min="28" max="29" width="7.00390625" style="516" customWidth="1"/>
    <col min="30" max="30" width="11.00390625" style="516" customWidth="1"/>
    <col min="31" max="16384" width="7.00390625" style="516" customWidth="1"/>
  </cols>
  <sheetData>
    <row r="1" spans="1:25" s="481" customFormat="1" ht="12.75" customHeight="1">
      <c r="A1" s="68" t="s">
        <v>72</v>
      </c>
      <c r="B1" s="22"/>
      <c r="C1" s="22"/>
      <c r="D1" s="22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22"/>
    </row>
    <row r="2" spans="1:22" s="481" customFormat="1" ht="12.75" customHeight="1">
      <c r="A2" s="22"/>
      <c r="B2" s="22"/>
      <c r="C2" s="22"/>
      <c r="D2" s="22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s="481" customFormat="1" ht="12.75" customHeight="1">
      <c r="A3" s="23" t="s">
        <v>73</v>
      </c>
      <c r="B3" s="461" t="s">
        <v>164</v>
      </c>
      <c r="C3" s="24" t="s">
        <v>140</v>
      </c>
      <c r="D3" s="25"/>
      <c r="E3" s="100"/>
      <c r="F3" s="101"/>
      <c r="G3" s="102" t="s">
        <v>19</v>
      </c>
      <c r="H3" s="103"/>
      <c r="I3" s="102" t="s">
        <v>20</v>
      </c>
      <c r="J3" s="103"/>
      <c r="M3" s="462"/>
      <c r="N3" s="96"/>
      <c r="O3" s="96"/>
      <c r="P3" s="96"/>
      <c r="Q3" s="96"/>
      <c r="R3" s="96"/>
      <c r="S3" s="96"/>
      <c r="T3" s="96"/>
      <c r="U3" s="96"/>
      <c r="V3" s="96"/>
    </row>
    <row r="4" spans="1:22" s="481" customFormat="1" ht="12.75" customHeight="1">
      <c r="A4" s="23" t="s">
        <v>74</v>
      </c>
      <c r="B4" s="461" t="s">
        <v>141</v>
      </c>
      <c r="C4" s="24" t="s">
        <v>123</v>
      </c>
      <c r="D4" s="25"/>
      <c r="E4" s="104" t="s">
        <v>76</v>
      </c>
      <c r="F4" s="105"/>
      <c r="G4" s="106">
        <v>34</v>
      </c>
      <c r="H4" s="107"/>
      <c r="I4" s="106">
        <v>24.6</v>
      </c>
      <c r="J4" s="107"/>
      <c r="M4" s="462"/>
      <c r="N4" s="96"/>
      <c r="O4" s="96"/>
      <c r="P4" s="96"/>
      <c r="Q4" s="96"/>
      <c r="R4" s="96"/>
      <c r="S4" s="96"/>
      <c r="T4" s="96"/>
      <c r="U4" s="96"/>
      <c r="V4" s="96"/>
    </row>
    <row r="5" spans="1:22" s="481" customFormat="1" ht="12.75" customHeight="1">
      <c r="A5" s="23" t="s">
        <v>77</v>
      </c>
      <c r="B5" s="461"/>
      <c r="C5" s="24" t="s">
        <v>78</v>
      </c>
      <c r="D5" s="25"/>
      <c r="E5" s="108" t="s">
        <v>79</v>
      </c>
      <c r="F5" s="109"/>
      <c r="G5" s="110">
        <v>1.68515</v>
      </c>
      <c r="H5" s="111"/>
      <c r="I5" s="110">
        <v>2.31845</v>
      </c>
      <c r="J5" s="112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63" s="481" customFormat="1" ht="12.75" customHeight="1">
      <c r="A6" s="23" t="s">
        <v>53</v>
      </c>
      <c r="B6" s="461"/>
      <c r="C6" s="24"/>
      <c r="D6" s="25"/>
      <c r="E6" s="113" t="s">
        <v>80</v>
      </c>
      <c r="F6" s="114"/>
      <c r="G6" s="115">
        <f>G5*G4*PI()/180</f>
        <v>0.9999881402594031</v>
      </c>
      <c r="H6" s="116"/>
      <c r="I6" s="115">
        <f>I5*I4*PI()/180</f>
        <v>0.9954288166544184</v>
      </c>
      <c r="J6" s="117"/>
      <c r="K6" s="96"/>
      <c r="L6" s="96"/>
      <c r="M6" s="462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22"/>
      <c r="BI6" s="9"/>
      <c r="BJ6" s="12"/>
      <c r="BK6" s="12"/>
    </row>
    <row r="7" spans="1:63" s="481" customFormat="1" ht="12.75" customHeight="1">
      <c r="A7" s="96" t="s">
        <v>81</v>
      </c>
      <c r="B7" s="96"/>
      <c r="C7" s="178"/>
      <c r="D7" s="25"/>
      <c r="E7" s="96"/>
      <c r="F7" s="96"/>
      <c r="G7" s="96"/>
      <c r="H7" s="96"/>
      <c r="I7" s="96"/>
      <c r="J7" s="96"/>
      <c r="K7" s="96"/>
      <c r="L7" s="96"/>
      <c r="M7" s="462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22"/>
      <c r="BI7" s="9"/>
      <c r="BJ7" s="12"/>
      <c r="BK7" s="12"/>
    </row>
    <row r="8" spans="1:63" s="481" customFormat="1" ht="12.75" customHeight="1">
      <c r="A8" s="96" t="s">
        <v>82</v>
      </c>
      <c r="B8" s="96"/>
      <c r="C8" s="179" t="s">
        <v>83</v>
      </c>
      <c r="D8" s="25"/>
      <c r="E8" s="96"/>
      <c r="F8" s="96"/>
      <c r="G8" s="96"/>
      <c r="H8" s="96"/>
      <c r="I8" s="96"/>
      <c r="J8" s="96"/>
      <c r="K8" s="96"/>
      <c r="L8" s="96"/>
      <c r="M8" s="462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22"/>
      <c r="BI8" s="9"/>
      <c r="BJ8" s="12"/>
      <c r="BK8" s="12"/>
    </row>
    <row r="9" spans="1:63" s="481" customFormat="1" ht="12.75" customHeight="1">
      <c r="A9" s="23"/>
      <c r="B9" s="461"/>
      <c r="C9" s="47"/>
      <c r="D9" s="47"/>
      <c r="E9" s="96"/>
      <c r="F9" s="96"/>
      <c r="G9" s="96"/>
      <c r="H9" s="96"/>
      <c r="I9" s="96"/>
      <c r="J9" s="96"/>
      <c r="K9" s="96"/>
      <c r="L9" s="96"/>
      <c r="M9" s="462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22"/>
      <c r="BF9" s="9"/>
      <c r="BI9" s="10"/>
      <c r="BJ9" s="12"/>
      <c r="BK9" s="12"/>
    </row>
    <row r="10" spans="1:63" s="481" customFormat="1" ht="12.75" customHeight="1">
      <c r="A10" s="493"/>
      <c r="B10" s="493" t="s">
        <v>84</v>
      </c>
      <c r="C10" s="494"/>
      <c r="D10" s="494"/>
      <c r="E10" s="494"/>
      <c r="F10" s="494"/>
      <c r="G10" s="494"/>
      <c r="H10" s="494"/>
      <c r="I10" s="494"/>
      <c r="J10" s="494"/>
      <c r="K10" s="494"/>
      <c r="L10" s="494"/>
      <c r="N10" s="491"/>
      <c r="O10" s="491" t="s">
        <v>84</v>
      </c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BF10" s="9"/>
      <c r="BI10" s="10"/>
      <c r="BJ10" s="12"/>
      <c r="BK10" s="12"/>
    </row>
    <row r="11" spans="1:63" s="481" customFormat="1" ht="12.75" customHeight="1">
      <c r="A11" s="494"/>
      <c r="B11" s="497" t="s">
        <v>85</v>
      </c>
      <c r="C11" s="498"/>
      <c r="D11" s="497" t="s">
        <v>85</v>
      </c>
      <c r="E11" s="498"/>
      <c r="F11" s="497" t="s">
        <v>85</v>
      </c>
      <c r="G11" s="498"/>
      <c r="H11" s="497" t="s">
        <v>85</v>
      </c>
      <c r="I11" s="498"/>
      <c r="J11" s="497" t="s">
        <v>85</v>
      </c>
      <c r="K11" s="498"/>
      <c r="L11" s="494"/>
      <c r="N11" s="492"/>
      <c r="O11" s="496" t="s">
        <v>85</v>
      </c>
      <c r="P11" s="188"/>
      <c r="Q11" s="496" t="s">
        <v>85</v>
      </c>
      <c r="R11" s="188"/>
      <c r="S11" s="496" t="s">
        <v>85</v>
      </c>
      <c r="T11" s="188"/>
      <c r="U11" s="496" t="s">
        <v>85</v>
      </c>
      <c r="V11" s="188"/>
      <c r="W11" s="496" t="s">
        <v>85</v>
      </c>
      <c r="X11" s="188"/>
      <c r="Y11" s="492"/>
      <c r="BF11" s="9"/>
      <c r="BI11" s="10"/>
      <c r="BJ11" s="12"/>
      <c r="BK11" s="12"/>
    </row>
    <row r="12" spans="1:63" s="481" customFormat="1" ht="12.75" customHeight="1">
      <c r="A12" s="494" t="s">
        <v>86</v>
      </c>
      <c r="B12" s="500"/>
      <c r="C12" s="501"/>
      <c r="D12" s="500">
        <v>3135</v>
      </c>
      <c r="E12" s="501"/>
      <c r="F12" s="500">
        <v>3918</v>
      </c>
      <c r="G12" s="501"/>
      <c r="H12" s="500">
        <v>4703</v>
      </c>
      <c r="I12" s="501"/>
      <c r="J12" s="500">
        <v>5486</v>
      </c>
      <c r="K12" s="501"/>
      <c r="L12" s="494" t="s">
        <v>86</v>
      </c>
      <c r="N12" s="492" t="s">
        <v>86</v>
      </c>
      <c r="O12" s="499"/>
      <c r="P12" s="189"/>
      <c r="Q12" s="499">
        <v>3135</v>
      </c>
      <c r="R12" s="189"/>
      <c r="S12" s="499">
        <v>3918</v>
      </c>
      <c r="T12" s="189"/>
      <c r="U12" s="499">
        <v>4703</v>
      </c>
      <c r="V12" s="189"/>
      <c r="W12" s="499">
        <v>5486</v>
      </c>
      <c r="X12" s="189"/>
      <c r="Y12" s="492" t="s">
        <v>86</v>
      </c>
      <c r="BF12" s="9"/>
      <c r="BI12" s="10"/>
      <c r="BJ12" s="12"/>
      <c r="BK12" s="12"/>
    </row>
    <row r="13" spans="1:63" s="481" customFormat="1" ht="12.75" customHeight="1">
      <c r="A13" s="494" t="s">
        <v>87</v>
      </c>
      <c r="B13" s="503" t="s">
        <v>88</v>
      </c>
      <c r="C13" s="504"/>
      <c r="D13" s="503" t="s">
        <v>89</v>
      </c>
      <c r="E13" s="504"/>
      <c r="F13" s="503" t="s">
        <v>90</v>
      </c>
      <c r="G13" s="504"/>
      <c r="H13" s="503" t="s">
        <v>91</v>
      </c>
      <c r="I13" s="504"/>
      <c r="J13" s="503" t="s">
        <v>92</v>
      </c>
      <c r="K13" s="504"/>
      <c r="L13" s="494" t="s">
        <v>87</v>
      </c>
      <c r="N13" s="492" t="s">
        <v>87</v>
      </c>
      <c r="O13" s="502" t="s">
        <v>88</v>
      </c>
      <c r="P13" s="190"/>
      <c r="Q13" s="502" t="s">
        <v>89</v>
      </c>
      <c r="R13" s="190"/>
      <c r="S13" s="502" t="s">
        <v>90</v>
      </c>
      <c r="T13" s="190"/>
      <c r="U13" s="502" t="s">
        <v>91</v>
      </c>
      <c r="V13" s="190"/>
      <c r="W13" s="502" t="s">
        <v>92</v>
      </c>
      <c r="X13" s="190"/>
      <c r="Y13" s="492" t="s">
        <v>87</v>
      </c>
      <c r="BF13" s="9"/>
      <c r="BI13" s="10"/>
      <c r="BJ13" s="12"/>
      <c r="BK13" s="12"/>
    </row>
    <row r="14" spans="1:63" s="481" customFormat="1" ht="12.75" customHeight="1">
      <c r="A14" s="494" t="s">
        <v>93</v>
      </c>
      <c r="B14" s="494"/>
      <c r="C14" s="494"/>
      <c r="D14" s="494"/>
      <c r="E14" s="494"/>
      <c r="F14" s="494"/>
      <c r="G14" s="494"/>
      <c r="H14" s="494"/>
      <c r="I14" s="494"/>
      <c r="J14" s="494"/>
      <c r="K14" s="494"/>
      <c r="L14" s="494" t="s">
        <v>93</v>
      </c>
      <c r="N14" s="492" t="s">
        <v>93</v>
      </c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 t="s">
        <v>93</v>
      </c>
      <c r="BF14" s="9"/>
      <c r="BI14" s="10"/>
      <c r="BJ14" s="12"/>
      <c r="BK14" s="12"/>
    </row>
    <row r="15" spans="1:63" s="481" customFormat="1" ht="12.75" customHeight="1">
      <c r="A15" s="494" t="s">
        <v>6</v>
      </c>
      <c r="B15" s="494" t="s">
        <v>94</v>
      </c>
      <c r="C15" s="494" t="s">
        <v>95</v>
      </c>
      <c r="D15" s="494" t="s">
        <v>94</v>
      </c>
      <c r="E15" s="494" t="s">
        <v>95</v>
      </c>
      <c r="F15" s="494" t="s">
        <v>94</v>
      </c>
      <c r="G15" s="494" t="s">
        <v>95</v>
      </c>
      <c r="H15" s="494" t="s">
        <v>94</v>
      </c>
      <c r="I15" s="494" t="s">
        <v>95</v>
      </c>
      <c r="J15" s="494" t="s">
        <v>94</v>
      </c>
      <c r="K15" s="494" t="s">
        <v>95</v>
      </c>
      <c r="L15" s="494" t="s">
        <v>8</v>
      </c>
      <c r="N15" s="492" t="s">
        <v>8</v>
      </c>
      <c r="O15" s="492" t="s">
        <v>94</v>
      </c>
      <c r="P15" s="492" t="s">
        <v>95</v>
      </c>
      <c r="Q15" s="492" t="s">
        <v>94</v>
      </c>
      <c r="R15" s="492" t="s">
        <v>95</v>
      </c>
      <c r="S15" s="492" t="s">
        <v>94</v>
      </c>
      <c r="T15" s="492" t="s">
        <v>95</v>
      </c>
      <c r="U15" s="492" t="s">
        <v>94</v>
      </c>
      <c r="V15" s="492" t="s">
        <v>95</v>
      </c>
      <c r="W15" s="492" t="s">
        <v>94</v>
      </c>
      <c r="X15" s="492" t="s">
        <v>95</v>
      </c>
      <c r="Y15" s="492" t="s">
        <v>8</v>
      </c>
      <c r="BF15" s="9"/>
      <c r="BI15" s="10"/>
      <c r="BJ15" s="12"/>
      <c r="BK15" s="12"/>
    </row>
    <row r="16" spans="1:63" s="481" customFormat="1" ht="12.75" customHeight="1">
      <c r="A16" s="494" t="s">
        <v>96</v>
      </c>
      <c r="B16" s="494"/>
      <c r="C16" s="494"/>
      <c r="D16" s="494">
        <v>-0.01344</v>
      </c>
      <c r="E16" s="494">
        <v>0</v>
      </c>
      <c r="F16" s="494">
        <v>-0.01</v>
      </c>
      <c r="G16" s="494">
        <v>0.00188</v>
      </c>
      <c r="H16" s="494">
        <v>-0.0066</v>
      </c>
      <c r="I16" s="494">
        <v>0.00406</v>
      </c>
      <c r="J16" s="494">
        <v>-0.00324</v>
      </c>
      <c r="K16" s="494">
        <v>0.00596</v>
      </c>
      <c r="L16" s="494" t="s">
        <v>96</v>
      </c>
      <c r="N16" s="492" t="s">
        <v>96</v>
      </c>
      <c r="O16" s="492"/>
      <c r="P16" s="492"/>
      <c r="Q16" s="492">
        <v>-0.01332</v>
      </c>
      <c r="R16" s="492">
        <v>0</v>
      </c>
      <c r="S16" s="492">
        <v>-0.00994</v>
      </c>
      <c r="T16" s="492">
        <v>0.0019</v>
      </c>
      <c r="U16" s="492">
        <v>-0.00656</v>
      </c>
      <c r="V16" s="492">
        <v>0.00406</v>
      </c>
      <c r="W16" s="492">
        <v>-0.00322</v>
      </c>
      <c r="X16" s="492">
        <v>0.00606</v>
      </c>
      <c r="Y16" s="492" t="s">
        <v>96</v>
      </c>
      <c r="BF16" s="9"/>
      <c r="BI16" s="10"/>
      <c r="BJ16" s="12"/>
      <c r="BK16" s="12"/>
    </row>
    <row r="17" spans="1:63" s="182" customFormat="1" ht="12.75" customHeight="1" hidden="1">
      <c r="A17" s="494" t="s">
        <v>97</v>
      </c>
      <c r="B17" s="494"/>
      <c r="C17" s="494"/>
      <c r="D17" s="494">
        <v>-0.00878</v>
      </c>
      <c r="E17" s="494">
        <v>0.00192</v>
      </c>
      <c r="F17" s="494">
        <v>-0.00616</v>
      </c>
      <c r="G17" s="494">
        <v>0.00394</v>
      </c>
      <c r="H17" s="494">
        <v>-0.0036</v>
      </c>
      <c r="I17" s="494">
        <v>0.00552</v>
      </c>
      <c r="J17" s="494">
        <v>-0.0031</v>
      </c>
      <c r="K17" s="494">
        <v>0.00596</v>
      </c>
      <c r="L17" s="494" t="s">
        <v>97</v>
      </c>
      <c r="M17" s="481"/>
      <c r="N17" s="492" t="s">
        <v>97</v>
      </c>
      <c r="O17" s="492"/>
      <c r="P17" s="492"/>
      <c r="Q17" s="492">
        <v>-0.00908</v>
      </c>
      <c r="R17" s="492">
        <v>0.00186</v>
      </c>
      <c r="S17" s="492">
        <v>-0.00638</v>
      </c>
      <c r="T17" s="492">
        <v>0.00388</v>
      </c>
      <c r="U17" s="492">
        <v>-0.00384</v>
      </c>
      <c r="V17" s="492">
        <v>0.00544</v>
      </c>
      <c r="W17" s="492">
        <v>-0.00314</v>
      </c>
      <c r="X17" s="492">
        <v>0.00606</v>
      </c>
      <c r="Y17" s="492" t="s">
        <v>97</v>
      </c>
      <c r="BF17" s="68"/>
      <c r="BI17" s="183"/>
      <c r="BJ17" s="184"/>
      <c r="BK17" s="184"/>
    </row>
    <row r="18" spans="1:63" s="481" customFormat="1" ht="12.75" customHeight="1">
      <c r="A18" s="527">
        <v>2</v>
      </c>
      <c r="B18" s="527"/>
      <c r="C18" s="527"/>
      <c r="D18" s="527">
        <v>-0.01352</v>
      </c>
      <c r="E18" s="527"/>
      <c r="F18" s="527">
        <v>-0.01004</v>
      </c>
      <c r="G18" s="527"/>
      <c r="H18" s="527">
        <v>-0.00662</v>
      </c>
      <c r="I18" s="527"/>
      <c r="J18" s="527">
        <v>-0.00322</v>
      </c>
      <c r="K18" s="527"/>
      <c r="L18" s="527">
        <v>2</v>
      </c>
      <c r="M18" s="223"/>
      <c r="N18" s="492">
        <v>2</v>
      </c>
      <c r="O18" s="492"/>
      <c r="P18" s="492"/>
      <c r="Q18" s="492">
        <v>-0.01344</v>
      </c>
      <c r="R18" s="492"/>
      <c r="S18" s="492">
        <v>-0.01</v>
      </c>
      <c r="T18" s="492"/>
      <c r="U18" s="492">
        <v>-0.00656</v>
      </c>
      <c r="V18" s="492"/>
      <c r="W18" s="492">
        <v>-0.00324</v>
      </c>
      <c r="X18" s="492"/>
      <c r="Y18" s="492">
        <v>2</v>
      </c>
      <c r="BF18" s="9"/>
      <c r="BI18" s="10"/>
      <c r="BJ18" s="12"/>
      <c r="BK18" s="12"/>
    </row>
    <row r="19" spans="1:63" s="481" customFormat="1" ht="12.75" customHeight="1">
      <c r="A19" s="494">
        <v>3</v>
      </c>
      <c r="B19" s="494"/>
      <c r="C19" s="494"/>
      <c r="D19" s="494">
        <v>-0.01376</v>
      </c>
      <c r="E19" s="494"/>
      <c r="F19" s="494">
        <v>-0.01026</v>
      </c>
      <c r="G19" s="494"/>
      <c r="H19" s="494">
        <v>-0.00684</v>
      </c>
      <c r="I19" s="494"/>
      <c r="J19" s="494">
        <v>-0.0035</v>
      </c>
      <c r="K19" s="494"/>
      <c r="L19" s="494">
        <v>3</v>
      </c>
      <c r="N19" s="492">
        <v>3</v>
      </c>
      <c r="O19" s="492"/>
      <c r="P19" s="492"/>
      <c r="Q19" s="492">
        <v>-0.0137</v>
      </c>
      <c r="R19" s="492"/>
      <c r="S19" s="492">
        <v>-0.01024</v>
      </c>
      <c r="T19" s="492"/>
      <c r="U19" s="492">
        <v>-0.00676</v>
      </c>
      <c r="V19" s="492"/>
      <c r="W19" s="492">
        <v>-0.00344</v>
      </c>
      <c r="X19" s="492"/>
      <c r="Y19" s="492">
        <v>3</v>
      </c>
      <c r="BF19" s="9"/>
      <c r="BI19" s="10"/>
      <c r="BJ19" s="12"/>
      <c r="BK19" s="12"/>
    </row>
    <row r="20" spans="1:63" s="481" customFormat="1" ht="12.75" customHeight="1">
      <c r="A20" s="494" t="s">
        <v>98</v>
      </c>
      <c r="B20" s="494"/>
      <c r="C20" s="494"/>
      <c r="D20" s="494">
        <v>-0.01366</v>
      </c>
      <c r="E20" s="494"/>
      <c r="F20" s="494">
        <v>-0.01016</v>
      </c>
      <c r="G20" s="494"/>
      <c r="H20" s="494">
        <v>-0.00674</v>
      </c>
      <c r="I20" s="494"/>
      <c r="J20" s="494">
        <v>-0.00336</v>
      </c>
      <c r="K20" s="494"/>
      <c r="L20" s="494" t="s">
        <v>98</v>
      </c>
      <c r="N20" s="492" t="s">
        <v>98</v>
      </c>
      <c r="O20" s="492"/>
      <c r="P20" s="492"/>
      <c r="Q20" s="492">
        <v>-0.01354</v>
      </c>
      <c r="R20" s="492"/>
      <c r="S20" s="492">
        <v>-0.01006</v>
      </c>
      <c r="T20" s="492"/>
      <c r="U20" s="492">
        <v>-0.0067</v>
      </c>
      <c r="V20" s="492"/>
      <c r="W20" s="492">
        <v>-0.00332</v>
      </c>
      <c r="X20" s="492"/>
      <c r="Y20" s="492" t="s">
        <v>98</v>
      </c>
      <c r="BF20" s="9"/>
      <c r="BI20" s="10"/>
      <c r="BJ20" s="12"/>
      <c r="BK20" s="12"/>
    </row>
    <row r="21" spans="1:63" s="182" customFormat="1" ht="12.75" customHeight="1" hidden="1">
      <c r="A21" s="494" t="s">
        <v>99</v>
      </c>
      <c r="B21" s="494"/>
      <c r="C21" s="494"/>
      <c r="D21" s="494">
        <v>-0.00892</v>
      </c>
      <c r="E21" s="494"/>
      <c r="F21" s="494">
        <v>-0.00626</v>
      </c>
      <c r="G21" s="494"/>
      <c r="H21" s="494">
        <v>-0.00376</v>
      </c>
      <c r="I21" s="494"/>
      <c r="J21" s="494">
        <v>-0.00324</v>
      </c>
      <c r="K21" s="494"/>
      <c r="L21" s="494" t="s">
        <v>99</v>
      </c>
      <c r="M21" s="481"/>
      <c r="N21" s="492" t="s">
        <v>99</v>
      </c>
      <c r="O21" s="492"/>
      <c r="P21" s="492"/>
      <c r="Q21" s="492">
        <v>-0.00908</v>
      </c>
      <c r="R21" s="492"/>
      <c r="S21" s="492">
        <v>-0.00636</v>
      </c>
      <c r="T21" s="492"/>
      <c r="U21" s="492">
        <v>-0.0038</v>
      </c>
      <c r="V21" s="492"/>
      <c r="W21" s="492">
        <v>-0.0032</v>
      </c>
      <c r="X21" s="492"/>
      <c r="Y21" s="492" t="s">
        <v>99</v>
      </c>
      <c r="BF21" s="68"/>
      <c r="BI21" s="183"/>
      <c r="BJ21" s="184"/>
      <c r="BK21" s="184"/>
    </row>
    <row r="22" spans="1:63" s="481" customFormat="1" ht="12.75" customHeight="1">
      <c r="A22" s="527">
        <v>5</v>
      </c>
      <c r="B22" s="527"/>
      <c r="C22" s="527"/>
      <c r="D22" s="527">
        <v>-0.0136</v>
      </c>
      <c r="E22" s="527"/>
      <c r="F22" s="527">
        <v>-0.0102</v>
      </c>
      <c r="G22" s="527"/>
      <c r="H22" s="527">
        <v>-0.00682</v>
      </c>
      <c r="I22" s="527"/>
      <c r="J22" s="527">
        <v>-0.00348</v>
      </c>
      <c r="K22" s="527"/>
      <c r="L22" s="527">
        <v>5</v>
      </c>
      <c r="M22" s="223"/>
      <c r="N22" s="492">
        <v>5</v>
      </c>
      <c r="O22" s="492"/>
      <c r="P22" s="492"/>
      <c r="Q22" s="492">
        <v>-0.0133</v>
      </c>
      <c r="R22" s="492"/>
      <c r="S22" s="492">
        <v>-0.00994</v>
      </c>
      <c r="T22" s="492"/>
      <c r="U22" s="492">
        <v>-0.00656</v>
      </c>
      <c r="V22" s="492"/>
      <c r="W22" s="492">
        <v>-0.00316</v>
      </c>
      <c r="X22" s="492"/>
      <c r="Y22" s="492">
        <v>5</v>
      </c>
      <c r="BF22" s="9"/>
      <c r="BI22" s="10"/>
      <c r="BJ22" s="12"/>
      <c r="BK22" s="12"/>
    </row>
    <row r="23" spans="1:63" s="481" customFormat="1" ht="12.75" customHeight="1">
      <c r="A23" s="494">
        <v>6</v>
      </c>
      <c r="B23" s="494"/>
      <c r="C23" s="494"/>
      <c r="D23" s="494">
        <v>-0.01342</v>
      </c>
      <c r="E23" s="494"/>
      <c r="F23" s="494">
        <v>-0.01004</v>
      </c>
      <c r="G23" s="494"/>
      <c r="H23" s="494">
        <v>-0.00666</v>
      </c>
      <c r="I23" s="494"/>
      <c r="J23" s="494">
        <v>-0.003321</v>
      </c>
      <c r="K23" s="494"/>
      <c r="L23" s="494">
        <v>6</v>
      </c>
      <c r="N23" s="492">
        <v>6</v>
      </c>
      <c r="O23" s="492"/>
      <c r="P23" s="492"/>
      <c r="Q23" s="492">
        <v>-0.01338</v>
      </c>
      <c r="R23" s="492"/>
      <c r="S23" s="492">
        <v>-0.01</v>
      </c>
      <c r="T23" s="492"/>
      <c r="U23" s="492">
        <v>-0.0066</v>
      </c>
      <c r="V23" s="492"/>
      <c r="W23" s="492">
        <v>-0.00322</v>
      </c>
      <c r="X23" s="492"/>
      <c r="Y23" s="492">
        <v>6</v>
      </c>
      <c r="BF23" s="9"/>
      <c r="BI23" s="10"/>
      <c r="BJ23" s="12"/>
      <c r="BK23" s="12"/>
    </row>
    <row r="24" spans="1:63" s="481" customFormat="1" ht="12.75" customHeight="1">
      <c r="A24" s="494" t="s">
        <v>100</v>
      </c>
      <c r="B24" s="494"/>
      <c r="C24" s="494"/>
      <c r="D24" s="494">
        <v>-0.0132</v>
      </c>
      <c r="E24" s="494"/>
      <c r="F24" s="494">
        <v>-0.00978</v>
      </c>
      <c r="G24" s="494"/>
      <c r="H24" s="494">
        <v>-0.0064</v>
      </c>
      <c r="I24" s="494"/>
      <c r="J24" s="494">
        <v>-0.003</v>
      </c>
      <c r="K24" s="494"/>
      <c r="L24" s="494" t="s">
        <v>100</v>
      </c>
      <c r="N24" s="492" t="s">
        <v>100</v>
      </c>
      <c r="O24" s="492"/>
      <c r="P24" s="492"/>
      <c r="Q24" s="492">
        <v>-0.01308</v>
      </c>
      <c r="R24" s="492"/>
      <c r="S24" s="492">
        <v>-0.0097</v>
      </c>
      <c r="T24" s="492"/>
      <c r="U24" s="492">
        <v>-0.00632</v>
      </c>
      <c r="V24" s="492"/>
      <c r="W24" s="492">
        <v>-0.003</v>
      </c>
      <c r="X24" s="492"/>
      <c r="Y24" s="492" t="s">
        <v>100</v>
      </c>
      <c r="BF24" s="9"/>
      <c r="BI24" s="10"/>
      <c r="BJ24" s="12"/>
      <c r="BK24" s="12"/>
    </row>
    <row r="25" spans="1:63" s="182" customFormat="1" ht="12.75" customHeight="1" hidden="1">
      <c r="A25" s="494" t="s">
        <v>101</v>
      </c>
      <c r="B25" s="494"/>
      <c r="C25" s="494"/>
      <c r="D25" s="494">
        <v>-0.00848</v>
      </c>
      <c r="E25" s="494"/>
      <c r="F25" s="494">
        <v>-0.00586</v>
      </c>
      <c r="G25" s="494"/>
      <c r="H25" s="494">
        <v>-0.00332</v>
      </c>
      <c r="I25" s="494"/>
      <c r="J25" s="494">
        <v>-0.0029</v>
      </c>
      <c r="K25" s="494"/>
      <c r="L25" s="494" t="s">
        <v>101</v>
      </c>
      <c r="M25" s="481"/>
      <c r="N25" s="492" t="s">
        <v>101</v>
      </c>
      <c r="O25" s="492"/>
      <c r="P25" s="492"/>
      <c r="Q25" s="492">
        <v>-0.0086</v>
      </c>
      <c r="R25" s="492"/>
      <c r="S25" s="492">
        <v>-0.00598</v>
      </c>
      <c r="T25" s="492"/>
      <c r="U25" s="492">
        <v>-0.0034</v>
      </c>
      <c r="V25" s="492"/>
      <c r="W25" s="492">
        <v>-0.00284</v>
      </c>
      <c r="X25" s="492"/>
      <c r="Y25" s="492" t="s">
        <v>101</v>
      </c>
      <c r="BF25" s="68"/>
      <c r="BI25" s="183"/>
      <c r="BJ25" s="184"/>
      <c r="BK25" s="184"/>
    </row>
    <row r="26" spans="1:63" s="481" customFormat="1" ht="12.75" customHeight="1">
      <c r="A26" s="527">
        <v>8</v>
      </c>
      <c r="B26" s="527"/>
      <c r="C26" s="527"/>
      <c r="D26" s="527">
        <v>-0.01324</v>
      </c>
      <c r="E26" s="527"/>
      <c r="F26" s="527">
        <v>-0.00982</v>
      </c>
      <c r="G26" s="527"/>
      <c r="H26" s="527">
        <v>-0.00646</v>
      </c>
      <c r="I26" s="527"/>
      <c r="J26" s="527">
        <v>-0.00302</v>
      </c>
      <c r="K26" s="527"/>
      <c r="L26" s="527">
        <v>8</v>
      </c>
      <c r="M26" s="223"/>
      <c r="N26" s="492">
        <v>8</v>
      </c>
      <c r="O26" s="492"/>
      <c r="P26" s="492"/>
      <c r="Q26" s="492">
        <v>-0.01312</v>
      </c>
      <c r="R26" s="492"/>
      <c r="S26" s="492">
        <v>-0.00976</v>
      </c>
      <c r="T26" s="492"/>
      <c r="U26" s="492">
        <v>-0.00638</v>
      </c>
      <c r="V26" s="492"/>
      <c r="W26" s="492">
        <v>-0.00304</v>
      </c>
      <c r="X26" s="492"/>
      <c r="Y26" s="492">
        <v>8</v>
      </c>
      <c r="BF26" s="9"/>
      <c r="BI26" s="10"/>
      <c r="BJ26" s="12"/>
      <c r="BK26" s="12"/>
    </row>
    <row r="27" spans="1:63" s="481" customFormat="1" ht="12.75" customHeight="1">
      <c r="A27" s="494">
        <v>9</v>
      </c>
      <c r="B27" s="494"/>
      <c r="C27" s="494"/>
      <c r="D27" s="494">
        <v>-0.01354</v>
      </c>
      <c r="E27" s="494"/>
      <c r="F27" s="494">
        <v>-0.01012</v>
      </c>
      <c r="G27" s="494"/>
      <c r="H27" s="494">
        <v>-0.00672</v>
      </c>
      <c r="I27" s="494"/>
      <c r="J27" s="494">
        <v>-0.00344</v>
      </c>
      <c r="K27" s="494"/>
      <c r="L27" s="494">
        <v>9</v>
      </c>
      <c r="N27" s="492">
        <v>9</v>
      </c>
      <c r="O27" s="492"/>
      <c r="P27" s="492"/>
      <c r="Q27" s="492">
        <v>-0.01448</v>
      </c>
      <c r="R27" s="492"/>
      <c r="S27" s="492">
        <v>-0.0106</v>
      </c>
      <c r="T27" s="492"/>
      <c r="U27" s="492">
        <v>-0.0077</v>
      </c>
      <c r="V27" s="492"/>
      <c r="W27" s="492">
        <v>-0.0044</v>
      </c>
      <c r="X27" s="492"/>
      <c r="Y27" s="492">
        <v>9</v>
      </c>
      <c r="BF27" s="9"/>
      <c r="BI27" s="10"/>
      <c r="BJ27" s="12"/>
      <c r="BK27" s="12"/>
    </row>
    <row r="28" spans="1:63" s="481" customFormat="1" ht="12.75" customHeight="1">
      <c r="A28" s="494" t="s">
        <v>102</v>
      </c>
      <c r="B28" s="494"/>
      <c r="C28" s="494"/>
      <c r="D28" s="494">
        <v>-0.01318</v>
      </c>
      <c r="E28" s="494"/>
      <c r="F28" s="494">
        <v>-0.00984</v>
      </c>
      <c r="G28" s="494"/>
      <c r="H28" s="494">
        <v>-0.00642</v>
      </c>
      <c r="I28" s="494"/>
      <c r="J28" s="494">
        <v>-0.00312</v>
      </c>
      <c r="K28" s="494"/>
      <c r="L28" s="494" t="s">
        <v>102</v>
      </c>
      <c r="N28" s="492" t="s">
        <v>102</v>
      </c>
      <c r="O28" s="492"/>
      <c r="P28" s="492"/>
      <c r="Q28" s="492">
        <v>-0.01408</v>
      </c>
      <c r="R28" s="492"/>
      <c r="S28" s="492">
        <v>-0.01062</v>
      </c>
      <c r="T28" s="492"/>
      <c r="U28" s="492">
        <v>-0.00724</v>
      </c>
      <c r="V28" s="492"/>
      <c r="W28" s="492">
        <v>-0.00396</v>
      </c>
      <c r="X28" s="492"/>
      <c r="Y28" s="492" t="s">
        <v>102</v>
      </c>
      <c r="BF28" s="9"/>
      <c r="BI28" s="10"/>
      <c r="BJ28" s="12"/>
      <c r="BK28" s="12"/>
    </row>
    <row r="29" spans="1:63" s="182" customFormat="1" ht="12.75" customHeight="1" hidden="1">
      <c r="A29" s="494" t="s">
        <v>103</v>
      </c>
      <c r="B29" s="494"/>
      <c r="C29" s="494"/>
      <c r="D29" s="494">
        <v>-0.00866</v>
      </c>
      <c r="E29" s="494"/>
      <c r="F29" s="494">
        <v>-0.00602</v>
      </c>
      <c r="G29" s="494"/>
      <c r="H29" s="494">
        <v>-0.00346</v>
      </c>
      <c r="I29" s="494"/>
      <c r="J29" s="494">
        <v>-0.00298</v>
      </c>
      <c r="K29" s="494"/>
      <c r="L29" s="494" t="s">
        <v>103</v>
      </c>
      <c r="M29" s="481"/>
      <c r="N29" s="492" t="s">
        <v>103</v>
      </c>
      <c r="O29" s="492"/>
      <c r="P29" s="492"/>
      <c r="Q29" s="492">
        <v>-0.00972</v>
      </c>
      <c r="R29" s="492"/>
      <c r="S29" s="492">
        <v>-0.00688</v>
      </c>
      <c r="T29" s="492"/>
      <c r="U29" s="492">
        <v>-0.00446</v>
      </c>
      <c r="V29" s="492"/>
      <c r="W29" s="492">
        <v>-0.00384</v>
      </c>
      <c r="X29" s="492"/>
      <c r="Y29" s="492" t="s">
        <v>103</v>
      </c>
      <c r="BF29" s="68"/>
      <c r="BI29" s="183"/>
      <c r="BJ29" s="184"/>
      <c r="BK29" s="184"/>
    </row>
    <row r="30" spans="1:63" s="481" customFormat="1" ht="12.75" customHeight="1">
      <c r="A30" s="527">
        <v>11</v>
      </c>
      <c r="B30" s="527"/>
      <c r="C30" s="527"/>
      <c r="D30" s="527">
        <v>-0.01408</v>
      </c>
      <c r="E30" s="527"/>
      <c r="F30" s="527">
        <v>-0.01066</v>
      </c>
      <c r="G30" s="527"/>
      <c r="H30" s="527">
        <v>-0.00726</v>
      </c>
      <c r="I30" s="527"/>
      <c r="J30" s="527">
        <v>-0.0039</v>
      </c>
      <c r="K30" s="527"/>
      <c r="L30" s="527">
        <v>11</v>
      </c>
      <c r="M30" s="223"/>
      <c r="N30" s="492">
        <v>11</v>
      </c>
      <c r="O30" s="492"/>
      <c r="P30" s="492"/>
      <c r="Q30" s="492">
        <v>-0.01474</v>
      </c>
      <c r="R30" s="492"/>
      <c r="S30" s="492">
        <v>-0.0113</v>
      </c>
      <c r="T30" s="492"/>
      <c r="U30" s="492">
        <v>-0.00792</v>
      </c>
      <c r="V30" s="492"/>
      <c r="W30" s="492">
        <v>-0.00452</v>
      </c>
      <c r="X30" s="492"/>
      <c r="Y30" s="492">
        <v>11</v>
      </c>
      <c r="BF30" s="9"/>
      <c r="BI30" s="10"/>
      <c r="BJ30" s="12"/>
      <c r="BK30" s="12"/>
    </row>
    <row r="31" spans="1:63" s="481" customFormat="1" ht="12.75" customHeight="1">
      <c r="A31" s="494">
        <v>12</v>
      </c>
      <c r="B31" s="494"/>
      <c r="C31" s="494"/>
      <c r="D31" s="494">
        <v>-0.01346</v>
      </c>
      <c r="E31" s="494"/>
      <c r="F31" s="494">
        <v>-0.01004</v>
      </c>
      <c r="G31" s="494"/>
      <c r="H31" s="494">
        <v>-0.00666</v>
      </c>
      <c r="I31" s="494"/>
      <c r="J31" s="494">
        <v>-0.00328</v>
      </c>
      <c r="K31" s="494"/>
      <c r="L31" s="494">
        <v>12</v>
      </c>
      <c r="N31" s="492">
        <v>12</v>
      </c>
      <c r="O31" s="492"/>
      <c r="P31" s="492"/>
      <c r="Q31" s="492">
        <v>-0.01494</v>
      </c>
      <c r="R31" s="492"/>
      <c r="S31" s="492">
        <v>-0.01156</v>
      </c>
      <c r="T31" s="492"/>
      <c r="U31" s="492">
        <v>-0.00818</v>
      </c>
      <c r="V31" s="492"/>
      <c r="W31" s="492">
        <v>-0.00492</v>
      </c>
      <c r="X31" s="492"/>
      <c r="Y31" s="492">
        <v>12</v>
      </c>
      <c r="BF31" s="9"/>
      <c r="BI31" s="10"/>
      <c r="BJ31" s="12"/>
      <c r="BK31" s="12"/>
    </row>
    <row r="32" spans="1:63" s="481" customFormat="1" ht="12.75" customHeight="1">
      <c r="A32" s="494" t="s">
        <v>104</v>
      </c>
      <c r="B32" s="494"/>
      <c r="C32" s="494"/>
      <c r="D32" s="494">
        <v>-0.013</v>
      </c>
      <c r="E32" s="494"/>
      <c r="F32" s="494">
        <v>-0.00964</v>
      </c>
      <c r="G32" s="494"/>
      <c r="H32" s="494">
        <v>-0.00628</v>
      </c>
      <c r="I32" s="494"/>
      <c r="J32" s="494">
        <v>-0.003</v>
      </c>
      <c r="K32" s="494"/>
      <c r="L32" s="494" t="s">
        <v>104</v>
      </c>
      <c r="N32" s="492" t="s">
        <v>104</v>
      </c>
      <c r="O32" s="492"/>
      <c r="P32" s="492"/>
      <c r="Q32" s="492">
        <v>-0.0151</v>
      </c>
      <c r="R32" s="492"/>
      <c r="S32" s="492">
        <v>-0.0117</v>
      </c>
      <c r="T32" s="492"/>
      <c r="U32" s="492">
        <v>-0.00838</v>
      </c>
      <c r="V32" s="492"/>
      <c r="W32" s="492">
        <v>-0.005</v>
      </c>
      <c r="X32" s="492"/>
      <c r="Y32" s="492" t="s">
        <v>104</v>
      </c>
      <c r="BF32" s="9"/>
      <c r="BI32" s="10"/>
      <c r="BJ32" s="12"/>
      <c r="BK32" s="12"/>
    </row>
    <row r="33" spans="1:63" s="182" customFormat="1" ht="12.75" customHeight="1" hidden="1" thickBot="1">
      <c r="A33" s="494" t="s">
        <v>105</v>
      </c>
      <c r="B33" s="494"/>
      <c r="C33" s="494"/>
      <c r="D33" s="494">
        <v>0.00848</v>
      </c>
      <c r="E33" s="494"/>
      <c r="F33" s="494">
        <v>-0.00594</v>
      </c>
      <c r="G33" s="494"/>
      <c r="H33" s="494">
        <v>-0.00336</v>
      </c>
      <c r="I33" s="494"/>
      <c r="J33" s="494">
        <v>-0.0028</v>
      </c>
      <c r="K33" s="494"/>
      <c r="L33" s="494" t="s">
        <v>105</v>
      </c>
      <c r="M33" s="481"/>
      <c r="N33" s="492" t="s">
        <v>105</v>
      </c>
      <c r="O33" s="492"/>
      <c r="P33" s="492"/>
      <c r="Q33" s="492">
        <v>-0.01056</v>
      </c>
      <c r="R33" s="492"/>
      <c r="S33" s="492">
        <v>-0.00774</v>
      </c>
      <c r="T33" s="492"/>
      <c r="U33" s="492">
        <v>-0.00548</v>
      </c>
      <c r="V33" s="492"/>
      <c r="W33" s="492">
        <v>-0.00488</v>
      </c>
      <c r="X33" s="492"/>
      <c r="Y33" s="492" t="s">
        <v>105</v>
      </c>
      <c r="BF33" s="68"/>
      <c r="BI33" s="183"/>
      <c r="BJ33" s="184"/>
      <c r="BK33" s="184"/>
    </row>
    <row r="34" spans="1:63" s="481" customFormat="1" ht="12.75" customHeight="1">
      <c r="A34" s="527">
        <v>14</v>
      </c>
      <c r="B34" s="527"/>
      <c r="C34" s="527"/>
      <c r="D34" s="527">
        <v>-0.0125</v>
      </c>
      <c r="E34" s="527"/>
      <c r="F34" s="527">
        <v>-0.00906</v>
      </c>
      <c r="G34" s="527"/>
      <c r="H34" s="527">
        <v>-0.0059</v>
      </c>
      <c r="I34" s="527"/>
      <c r="J34" s="527">
        <v>-0.00254</v>
      </c>
      <c r="K34" s="527"/>
      <c r="L34" s="527">
        <v>14</v>
      </c>
      <c r="M34" s="223"/>
      <c r="N34" s="492">
        <v>14</v>
      </c>
      <c r="O34" s="492"/>
      <c r="P34" s="492"/>
      <c r="Q34" s="492">
        <v>-0.01478</v>
      </c>
      <c r="R34" s="492"/>
      <c r="S34" s="492">
        <v>-0.01138</v>
      </c>
      <c r="T34" s="492"/>
      <c r="U34" s="492">
        <v>-0.008</v>
      </c>
      <c r="V34" s="492"/>
      <c r="W34" s="492">
        <v>-0.00478</v>
      </c>
      <c r="X34" s="492"/>
      <c r="Y34" s="492">
        <v>14</v>
      </c>
      <c r="BF34" s="9"/>
      <c r="BI34" s="10"/>
      <c r="BJ34" s="12"/>
      <c r="BK34" s="12"/>
    </row>
    <row r="35" spans="1:63" s="481" customFormat="1" ht="12.75" customHeight="1">
      <c r="A35" s="494">
        <v>15</v>
      </c>
      <c r="B35" s="494"/>
      <c r="C35" s="494"/>
      <c r="D35" s="494">
        <v>-0.01206</v>
      </c>
      <c r="E35" s="494"/>
      <c r="F35" s="494">
        <v>-0.00872</v>
      </c>
      <c r="G35" s="494"/>
      <c r="H35" s="494">
        <v>-0.0055</v>
      </c>
      <c r="I35" s="494"/>
      <c r="J35" s="494">
        <v>-0.00224</v>
      </c>
      <c r="K35" s="494"/>
      <c r="L35" s="494">
        <v>15</v>
      </c>
      <c r="N35" s="492">
        <v>15</v>
      </c>
      <c r="O35" s="492"/>
      <c r="P35" s="492"/>
      <c r="Q35" s="492">
        <v>-0.01464</v>
      </c>
      <c r="R35" s="492"/>
      <c r="S35" s="492">
        <v>-0.01126</v>
      </c>
      <c r="T35" s="492"/>
      <c r="U35" s="492">
        <v>-0.0079</v>
      </c>
      <c r="V35" s="492"/>
      <c r="W35" s="492">
        <v>-0.00468</v>
      </c>
      <c r="X35" s="492"/>
      <c r="Y35" s="492">
        <v>15</v>
      </c>
      <c r="BF35" s="9"/>
      <c r="BI35" s="10"/>
      <c r="BJ35" s="12"/>
      <c r="BK35" s="12"/>
    </row>
    <row r="36" spans="1:63" s="481" customFormat="1" ht="12.75" customHeight="1">
      <c r="A36" s="494" t="s">
        <v>106</v>
      </c>
      <c r="B36" s="494"/>
      <c r="C36" s="494"/>
      <c r="D36" s="494">
        <v>-0.01312</v>
      </c>
      <c r="E36" s="494"/>
      <c r="F36" s="494">
        <v>-0.0097</v>
      </c>
      <c r="G36" s="494"/>
      <c r="H36" s="494">
        <v>-0.00632</v>
      </c>
      <c r="I36" s="494"/>
      <c r="J36" s="494">
        <v>-0.003</v>
      </c>
      <c r="K36" s="494"/>
      <c r="L36" s="494" t="s">
        <v>106</v>
      </c>
      <c r="N36" s="492" t="s">
        <v>106</v>
      </c>
      <c r="O36" s="492"/>
      <c r="P36" s="492"/>
      <c r="Q36" s="492">
        <v>-0.0139</v>
      </c>
      <c r="R36" s="492"/>
      <c r="S36" s="492">
        <v>-0.01046</v>
      </c>
      <c r="T36" s="492"/>
      <c r="U36" s="492">
        <v>-0.00704</v>
      </c>
      <c r="V36" s="492"/>
      <c r="W36" s="492">
        <v>-0.00372</v>
      </c>
      <c r="X36" s="492"/>
      <c r="Y36" s="492" t="s">
        <v>106</v>
      </c>
      <c r="BF36" s="9"/>
      <c r="BI36" s="10"/>
      <c r="BJ36" s="12"/>
      <c r="BK36" s="12"/>
    </row>
    <row r="37" spans="1:63" s="182" customFormat="1" ht="12.75" customHeight="1" hidden="1">
      <c r="A37" s="494" t="s">
        <v>107</v>
      </c>
      <c r="B37" s="494"/>
      <c r="C37" s="494"/>
      <c r="D37" s="494">
        <v>-0.00858</v>
      </c>
      <c r="E37" s="494"/>
      <c r="F37" s="494">
        <v>-0.00604</v>
      </c>
      <c r="G37" s="494"/>
      <c r="H37" s="494">
        <v>-0.00344</v>
      </c>
      <c r="I37" s="494"/>
      <c r="J37" s="494">
        <v>-0.0029</v>
      </c>
      <c r="K37" s="494"/>
      <c r="L37" s="494" t="s">
        <v>107</v>
      </c>
      <c r="M37" s="481"/>
      <c r="N37" s="492" t="s">
        <v>107</v>
      </c>
      <c r="O37" s="492"/>
      <c r="P37" s="492"/>
      <c r="Q37" s="492">
        <v>-0.00932</v>
      </c>
      <c r="R37" s="492"/>
      <c r="S37" s="492">
        <v>-0.00666</v>
      </c>
      <c r="T37" s="492"/>
      <c r="U37" s="492">
        <v>-0.00416</v>
      </c>
      <c r="V37" s="492"/>
      <c r="W37" s="492">
        <v>-0.0036</v>
      </c>
      <c r="X37" s="492"/>
      <c r="Y37" s="492" t="s">
        <v>107</v>
      </c>
      <c r="BF37" s="68"/>
      <c r="BI37" s="183"/>
      <c r="BJ37" s="184"/>
      <c r="BK37" s="184"/>
    </row>
    <row r="38" spans="1:63" s="481" customFormat="1" ht="12.75" customHeight="1">
      <c r="A38" s="527">
        <v>17</v>
      </c>
      <c r="B38" s="527"/>
      <c r="C38" s="527"/>
      <c r="D38" s="527">
        <v>-0.01394</v>
      </c>
      <c r="E38" s="527"/>
      <c r="F38" s="527">
        <v>-0.01046</v>
      </c>
      <c r="G38" s="527"/>
      <c r="H38" s="527">
        <v>-0.00704</v>
      </c>
      <c r="I38" s="527"/>
      <c r="J38" s="527">
        <v>-0.0036</v>
      </c>
      <c r="K38" s="527"/>
      <c r="L38" s="527">
        <v>17</v>
      </c>
      <c r="M38" s="223"/>
      <c r="N38" s="492">
        <v>17</v>
      </c>
      <c r="O38" s="492"/>
      <c r="P38" s="492"/>
      <c r="Q38" s="492">
        <v>-0.01424</v>
      </c>
      <c r="R38" s="492"/>
      <c r="S38" s="492">
        <v>-0.0108</v>
      </c>
      <c r="T38" s="492"/>
      <c r="U38" s="492">
        <v>-0.0074</v>
      </c>
      <c r="V38" s="492"/>
      <c r="W38" s="492">
        <v>-0.0041</v>
      </c>
      <c r="X38" s="492"/>
      <c r="Y38" s="492">
        <v>17</v>
      </c>
      <c r="BF38" s="9"/>
      <c r="BI38" s="10"/>
      <c r="BJ38" s="12"/>
      <c r="BK38" s="12"/>
    </row>
    <row r="39" spans="1:63" s="481" customFormat="1" ht="12.75" customHeight="1">
      <c r="A39" s="494">
        <v>18</v>
      </c>
      <c r="B39" s="494"/>
      <c r="C39" s="494"/>
      <c r="D39" s="494">
        <v>-0.01404</v>
      </c>
      <c r="E39" s="494"/>
      <c r="F39" s="494">
        <v>-0.01052</v>
      </c>
      <c r="G39" s="494"/>
      <c r="H39" s="494">
        <v>-0.00708</v>
      </c>
      <c r="I39" s="494"/>
      <c r="J39" s="494">
        <v>-0.0037</v>
      </c>
      <c r="K39" s="494"/>
      <c r="L39" s="494">
        <v>18</v>
      </c>
      <c r="N39" s="492">
        <v>18</v>
      </c>
      <c r="O39" s="492"/>
      <c r="P39" s="492"/>
      <c r="Q39" s="492">
        <v>-0.01492</v>
      </c>
      <c r="R39" s="492"/>
      <c r="S39" s="492">
        <v>-0.01152</v>
      </c>
      <c r="T39" s="492"/>
      <c r="U39" s="492">
        <v>-0.00814</v>
      </c>
      <c r="V39" s="492"/>
      <c r="W39" s="492">
        <v>-0.00488</v>
      </c>
      <c r="X39" s="492"/>
      <c r="Y39" s="492">
        <v>18</v>
      </c>
      <c r="BF39" s="9"/>
      <c r="BI39" s="10"/>
      <c r="BJ39" s="12"/>
      <c r="BK39" s="12"/>
    </row>
    <row r="40" spans="1:63" s="481" customFormat="1" ht="12.75" customHeight="1">
      <c r="A40" s="494" t="s">
        <v>108</v>
      </c>
      <c r="B40" s="494"/>
      <c r="C40" s="494"/>
      <c r="D40" s="494">
        <v>-0.01308</v>
      </c>
      <c r="E40" s="494">
        <v>-2E-05</v>
      </c>
      <c r="F40" s="494">
        <v>-0.00964</v>
      </c>
      <c r="G40" s="494">
        <v>0.0019</v>
      </c>
      <c r="H40" s="494">
        <v>-0.00626</v>
      </c>
      <c r="I40" s="494">
        <v>0.00404</v>
      </c>
      <c r="J40" s="494">
        <v>-0.00282</v>
      </c>
      <c r="K40" s="494">
        <v>0.00596</v>
      </c>
      <c r="L40" s="494" t="s">
        <v>108</v>
      </c>
      <c r="N40" s="492" t="s">
        <v>108</v>
      </c>
      <c r="O40" s="492"/>
      <c r="P40" s="492"/>
      <c r="Q40" s="492">
        <v>-0.0153</v>
      </c>
      <c r="R40" s="492">
        <v>6E-05</v>
      </c>
      <c r="S40" s="492">
        <v>-0.01188</v>
      </c>
      <c r="T40" s="492">
        <v>0.00194</v>
      </c>
      <c r="U40" s="492">
        <v>-0.0085</v>
      </c>
      <c r="V40" s="492">
        <v>0.00414</v>
      </c>
      <c r="W40" s="492">
        <v>-0.0051</v>
      </c>
      <c r="X40" s="492">
        <v>0.00604</v>
      </c>
      <c r="Y40" s="492" t="s">
        <v>108</v>
      </c>
      <c r="BF40" s="9"/>
      <c r="BI40" s="10"/>
      <c r="BJ40" s="12"/>
      <c r="BK40" s="12"/>
    </row>
    <row r="41" spans="1:63" s="182" customFormat="1" ht="12.75" customHeight="1" hidden="1">
      <c r="A41" s="494" t="s">
        <v>109</v>
      </c>
      <c r="B41" s="494"/>
      <c r="C41" s="494"/>
      <c r="D41" s="494">
        <v>-0.01464</v>
      </c>
      <c r="E41" s="494">
        <v>0.00192</v>
      </c>
      <c r="F41" s="494">
        <v>-0.01154</v>
      </c>
      <c r="G41" s="494">
        <v>0.00412</v>
      </c>
      <c r="H41" s="494">
        <v>-0.0091</v>
      </c>
      <c r="I41" s="494">
        <v>0.00578</v>
      </c>
      <c r="J41" s="494">
        <v>-0.00836</v>
      </c>
      <c r="K41" s="494">
        <v>0.00646</v>
      </c>
      <c r="L41" s="494" t="s">
        <v>109</v>
      </c>
      <c r="M41" s="481"/>
      <c r="N41" s="492" t="s">
        <v>109</v>
      </c>
      <c r="O41" s="492"/>
      <c r="P41" s="492"/>
      <c r="Q41" s="492">
        <v>-0.01454</v>
      </c>
      <c r="R41" s="492">
        <v>0.00218</v>
      </c>
      <c r="S41" s="492">
        <v>-0.01148</v>
      </c>
      <c r="T41" s="492">
        <v>0.00434</v>
      </c>
      <c r="U41" s="492">
        <v>-0.00906</v>
      </c>
      <c r="V41" s="492">
        <v>0.00602</v>
      </c>
      <c r="W41" s="492">
        <v>-0.00836</v>
      </c>
      <c r="X41" s="492">
        <v>0.0067</v>
      </c>
      <c r="Y41" s="492" t="s">
        <v>109</v>
      </c>
      <c r="BF41" s="68"/>
      <c r="BI41" s="183"/>
      <c r="BJ41" s="184"/>
      <c r="BK41" s="184"/>
    </row>
    <row r="42" spans="1:63" s="481" customFormat="1" ht="12.75" customHeight="1">
      <c r="A42" s="23"/>
      <c r="B42" s="461"/>
      <c r="C42" s="47"/>
      <c r="D42" s="495">
        <f>AVERAGE(D16,D18:D20,D22:D24,D26:D28,D30:D32,D34:D36,D38:D40)</f>
        <v>-0.01336</v>
      </c>
      <c r="E42" s="180">
        <f>STDEV(D16,D18:D20,D22:D24,D26:D28,D30:D32,D34:D36,D38:D40)</f>
        <v>0.0004983528424274893</v>
      </c>
      <c r="F42" s="495">
        <f>AVERAGE(F16,F18:F20,F22:F24,F26:F28,F30:F32,F34:F36,F38:F40)</f>
        <v>-0.009931578947368425</v>
      </c>
      <c r="G42" s="180">
        <f>STDEV(F16,F18:F20,F22:F24,F26:F28,F30:F32,F34:F36,F38:F40)</f>
        <v>0.00046896177477354496</v>
      </c>
      <c r="H42" s="495">
        <f>AVERAGE(H16,H18:H20,H22:H24,H26:H28,H30:H32,H34:H36,H38:H40)</f>
        <v>-0.006556842105263159</v>
      </c>
      <c r="I42" s="180">
        <f>STDEV(H16,H18:H20,H22:H24,H26:H28,H30:H32,H34:H36,H38:H40)</f>
        <v>0.00041232474568770255</v>
      </c>
      <c r="J42" s="495">
        <f>AVERAGE(J16,J18:J20,J22:J24,J26:J28,J30:J32,J34:J36,J38:J40)</f>
        <v>-0.003199</v>
      </c>
      <c r="K42" s="180">
        <f>STDEV(J16,J18:J20,J22:J24,J26:J28,J30:J32,J34:J36,J38:J40)</f>
        <v>0.00039686423651196277</v>
      </c>
      <c r="L42" s="96"/>
      <c r="M42" s="462"/>
      <c r="N42" s="96"/>
      <c r="O42" s="96"/>
      <c r="P42" s="96"/>
      <c r="Q42" s="495">
        <f>AVERAGE(Q16,Q18:Q20,Q22:Q24,Q26:Q28,Q30:Q32,Q34:Q36,Q38:Q40)</f>
        <v>-0.014105263157894735</v>
      </c>
      <c r="R42" s="180">
        <f>STDEV(Q16,Q18:Q20,Q22:Q24,Q26:Q28,Q30:Q32,Q34:Q36,Q38:Q40)</f>
        <v>0.0007402054401092302</v>
      </c>
      <c r="S42" s="495">
        <f>AVERAGE(S16,S18:S20,S22:S24,S26:S28,S30:S32,S34:S36,S38:S40)</f>
        <v>-0.010669473684210527</v>
      </c>
      <c r="T42" s="180">
        <f>STDEV(S16,S18:S20,S22:S24,S26:S28,S30:S32,S34:S36,S38:S40)</f>
        <v>0.0007320706833223792</v>
      </c>
      <c r="U42" s="495">
        <f>AVERAGE(U16,U18:U20,U22:U24,U26:U28,U30:U32,U34:U36,U38:U40)</f>
        <v>-0.007307368421052633</v>
      </c>
      <c r="V42" s="180">
        <f>STDEV(U16,U18:U20,U22:U24,U26:U28,U30:U32,U34:U36,U38:U40)</f>
        <v>0.0007510055637111835</v>
      </c>
      <c r="W42" s="495">
        <f>AVERAGE(W16,W18:W20,W22:W24,W26:W28,W30:W32,W34:W36,W38:W40)</f>
        <v>-0.003984210526315789</v>
      </c>
      <c r="X42" s="180">
        <f>STDEV(W16,W18:W20,W22:W24,W26:W28,W30:W32,W34:W36,W38:W40)</f>
        <v>0.0007679287856846155</v>
      </c>
      <c r="Y42" s="22"/>
      <c r="BF42" s="9"/>
      <c r="BI42" s="10"/>
      <c r="BJ42" s="12"/>
      <c r="BK42" s="12"/>
    </row>
    <row r="43" spans="1:63" s="481" customFormat="1" ht="12.75" customHeight="1">
      <c r="A43" s="23" t="s">
        <v>150</v>
      </c>
      <c r="B43" s="461"/>
      <c r="C43" s="47"/>
      <c r="D43" s="180">
        <f>AVERAGE(E16,E18:E20,E22:E24,E26:E28,E30:E32,E34:E36,E38:E40)</f>
        <v>-1E-05</v>
      </c>
      <c r="E43" s="180"/>
      <c r="F43" s="180">
        <f>AVERAGE(G16,G18:G20,G22:G24,G26:G28,G30:G32,G34:G36,G38:G40)</f>
        <v>0.00189</v>
      </c>
      <c r="G43" s="180"/>
      <c r="H43" s="180">
        <f>AVERAGE(I16,I18:I20,I22:I24,I26:I28,I30:I32,I34:I36,I38:I40)</f>
        <v>0.00405</v>
      </c>
      <c r="I43" s="180"/>
      <c r="J43" s="180">
        <f>AVERAGE(K16,K18:K20,K22:K24,K26:K28,K30:K32,K34:K36,K38:K40)</f>
        <v>0.00596</v>
      </c>
      <c r="L43" s="96"/>
      <c r="M43" s="462"/>
      <c r="N43" s="96"/>
      <c r="O43" s="96"/>
      <c r="P43" s="96"/>
      <c r="Q43" s="180">
        <f>AVERAGE(R16,R18:R20,R22:R24,R26:R28,R30:R32,R34:R36,R38:R40)</f>
        <v>3E-05</v>
      </c>
      <c r="R43" s="180"/>
      <c r="S43" s="180">
        <f>AVERAGE(T16,T18:T20,T22:T24,T26:T28,T30:T32,T34:T36,T38:T40)</f>
        <v>0.00192</v>
      </c>
      <c r="T43" s="180"/>
      <c r="U43" s="180">
        <f>AVERAGE(V16,V18:V20,V22:V24,V26:V28,V30:V32,V34:V36,V38:V40)</f>
        <v>0.0040999999999999995</v>
      </c>
      <c r="V43" s="180"/>
      <c r="W43" s="180">
        <f>AVERAGE(X16,X18:X20,X22:X24,X26:X28,X30:X32,X34:X36,X38:X40)</f>
        <v>0.00605</v>
      </c>
      <c r="X43" s="96"/>
      <c r="Y43" s="22"/>
      <c r="BF43" s="9"/>
      <c r="BI43" s="10"/>
      <c r="BJ43" s="12"/>
      <c r="BK43" s="12"/>
    </row>
    <row r="44" spans="1:25" s="481" customFormat="1" ht="12.75" customHeight="1">
      <c r="A44" s="25"/>
      <c r="B44" s="25"/>
      <c r="C44" s="25"/>
      <c r="D44" s="25"/>
      <c r="E44" s="97"/>
      <c r="F44" s="509">
        <f>F42-D42</f>
        <v>0.0034284210526315754</v>
      </c>
      <c r="G44" s="97"/>
      <c r="H44" s="509">
        <f>H42-F42</f>
        <v>0.0033747368421052663</v>
      </c>
      <c r="I44" s="97"/>
      <c r="J44" s="509">
        <f>J42-H42</f>
        <v>0.0033578421052631586</v>
      </c>
      <c r="K44" s="97"/>
      <c r="L44" s="97"/>
      <c r="M44" s="97"/>
      <c r="N44" s="97"/>
      <c r="O44" s="97"/>
      <c r="P44" s="97"/>
      <c r="Q44" s="97"/>
      <c r="R44" s="99"/>
      <c r="S44" s="509">
        <f>S42-Q42</f>
        <v>0.003435789473684208</v>
      </c>
      <c r="T44" s="98"/>
      <c r="U44" s="509">
        <f>U42-S42</f>
        <v>0.0033621052631578946</v>
      </c>
      <c r="V44" s="98"/>
      <c r="W44" s="509">
        <f>W42-U42</f>
        <v>0.003323157894736844</v>
      </c>
      <c r="X44" s="98"/>
      <c r="Y44" s="26"/>
    </row>
    <row r="45" spans="1:24" s="481" customFormat="1" ht="12.75" customHeight="1">
      <c r="A45" s="68" t="s">
        <v>110</v>
      </c>
      <c r="B45" s="48"/>
      <c r="C45" s="25"/>
      <c r="D45" s="25"/>
      <c r="E45" s="462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9"/>
    </row>
    <row r="46" spans="1:25" s="173" customFormat="1" ht="12.75" customHeight="1">
      <c r="A46" s="140" t="s">
        <v>111</v>
      </c>
      <c r="B46" s="141"/>
      <c r="C46" s="142"/>
      <c r="D46" s="170">
        <v>1</v>
      </c>
      <c r="E46" s="171">
        <f aca="true" t="shared" si="0" ref="E46:N46">D46+1</f>
        <v>2</v>
      </c>
      <c r="F46" s="171">
        <f t="shared" si="0"/>
        <v>3</v>
      </c>
      <c r="G46" s="171">
        <f t="shared" si="0"/>
        <v>4</v>
      </c>
      <c r="H46" s="171">
        <f t="shared" si="0"/>
        <v>5</v>
      </c>
      <c r="I46" s="171">
        <f t="shared" si="0"/>
        <v>6</v>
      </c>
      <c r="J46" s="171">
        <f t="shared" si="0"/>
        <v>7</v>
      </c>
      <c r="K46" s="171">
        <f t="shared" si="0"/>
        <v>8</v>
      </c>
      <c r="L46" s="171">
        <f t="shared" si="0"/>
        <v>9</v>
      </c>
      <c r="M46" s="171">
        <f t="shared" si="0"/>
        <v>10</v>
      </c>
      <c r="N46" s="171">
        <f t="shared" si="0"/>
        <v>11</v>
      </c>
      <c r="O46" s="171">
        <f aca="true" t="shared" si="1" ref="O46:V46">N46+1</f>
        <v>12</v>
      </c>
      <c r="P46" s="171">
        <f t="shared" si="1"/>
        <v>13</v>
      </c>
      <c r="Q46" s="171">
        <f t="shared" si="1"/>
        <v>14</v>
      </c>
      <c r="R46" s="171">
        <f t="shared" si="1"/>
        <v>15</v>
      </c>
      <c r="S46" s="171">
        <f t="shared" si="1"/>
        <v>16</v>
      </c>
      <c r="T46" s="171">
        <f t="shared" si="1"/>
        <v>17</v>
      </c>
      <c r="U46" s="171">
        <f t="shared" si="1"/>
        <v>18</v>
      </c>
      <c r="V46" s="171">
        <f t="shared" si="1"/>
        <v>19</v>
      </c>
      <c r="W46" s="422" t="s">
        <v>0</v>
      </c>
      <c r="X46" s="530" t="s">
        <v>68</v>
      </c>
      <c r="Y46" s="481"/>
    </row>
    <row r="47" spans="1:24" s="481" customFormat="1" ht="12.75" customHeight="1">
      <c r="A47" s="45" t="s">
        <v>112</v>
      </c>
      <c r="B47" s="46" t="s">
        <v>113</v>
      </c>
      <c r="C47" s="420" t="s">
        <v>35</v>
      </c>
      <c r="D47" s="120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2"/>
      <c r="W47" s="121"/>
      <c r="X47" s="463"/>
    </row>
    <row r="48" spans="1:24" s="481" customFormat="1" ht="12.75" customHeight="1">
      <c r="A48" s="456">
        <v>1111</v>
      </c>
      <c r="B48" s="25">
        <v>8000</v>
      </c>
      <c r="C48" s="25" t="s">
        <v>9</v>
      </c>
      <c r="D48" s="458">
        <f>-D16+$D$43</f>
        <v>0.013430000000000001</v>
      </c>
      <c r="E48" s="459">
        <f>-D18+$D$43</f>
        <v>0.013510000000000001</v>
      </c>
      <c r="F48" s="459">
        <f>-D19+$D$43</f>
        <v>0.01375</v>
      </c>
      <c r="G48" s="459">
        <f>-D20+$D$43</f>
        <v>0.01365</v>
      </c>
      <c r="H48" s="459">
        <f>-D22+$D$43</f>
        <v>0.01359</v>
      </c>
      <c r="I48" s="459">
        <f>-D23+$D$43</f>
        <v>0.01341</v>
      </c>
      <c r="J48" s="459">
        <f>-D24+$D$43</f>
        <v>0.01319</v>
      </c>
      <c r="K48" s="459">
        <f>-D26+$D$43</f>
        <v>0.01323</v>
      </c>
      <c r="L48" s="459">
        <f>-D27+$D$43</f>
        <v>0.01353</v>
      </c>
      <c r="M48" s="459">
        <f>-D28+$D$43</f>
        <v>0.013170000000000001</v>
      </c>
      <c r="N48" s="459">
        <f>-D30+$D$43</f>
        <v>0.014070000000000001</v>
      </c>
      <c r="O48" s="459">
        <f>-D31+$D$43</f>
        <v>0.01345</v>
      </c>
      <c r="P48" s="459">
        <f>-D32+$D$43</f>
        <v>0.01299</v>
      </c>
      <c r="Q48" s="459">
        <f>-D34+$D$43</f>
        <v>0.012490000000000001</v>
      </c>
      <c r="R48" s="459">
        <f>-D35+$D$43</f>
        <v>0.01205</v>
      </c>
      <c r="S48" s="459">
        <f>-D36+$D$43</f>
        <v>0.01311</v>
      </c>
      <c r="T48" s="459">
        <f>-D38+$D$43</f>
        <v>0.01393</v>
      </c>
      <c r="U48" s="459">
        <f>-D39+$D$43</f>
        <v>0.01403</v>
      </c>
      <c r="V48" s="511">
        <f>-D40+$D$43</f>
        <v>0.01307</v>
      </c>
      <c r="W48" s="570">
        <f>AVERAGE(D48:V48)</f>
        <v>0.013350000000000002</v>
      </c>
      <c r="X48" s="593">
        <f>STDEV(D48:V48)</f>
        <v>0.0004983528424274169</v>
      </c>
    </row>
    <row r="49" spans="1:24" s="481" customFormat="1" ht="12.75" customHeight="1">
      <c r="A49" s="456">
        <v>1111</v>
      </c>
      <c r="B49" s="25">
        <v>8000</v>
      </c>
      <c r="C49" s="25" t="s">
        <v>7</v>
      </c>
      <c r="D49" s="466">
        <f>-Q16+$Q$43</f>
        <v>0.01335</v>
      </c>
      <c r="E49" s="467">
        <f>-Q18+$Q$43</f>
        <v>0.013470000000000001</v>
      </c>
      <c r="F49" s="467">
        <f>-Q19+$Q$43</f>
        <v>0.013730000000000001</v>
      </c>
      <c r="G49" s="467">
        <f>-Q20+$Q$43</f>
        <v>0.01357</v>
      </c>
      <c r="H49" s="467">
        <f>-Q22+$Q$43</f>
        <v>0.01333</v>
      </c>
      <c r="I49" s="467">
        <f>-Q23+$Q$43</f>
        <v>0.01341</v>
      </c>
      <c r="J49" s="467">
        <f>-Q24+$Q$43</f>
        <v>0.01311</v>
      </c>
      <c r="K49" s="467">
        <f>-Q26+$Q$43</f>
        <v>0.01315</v>
      </c>
      <c r="L49" s="467">
        <f>-Q27+$Q$43</f>
        <v>0.01451</v>
      </c>
      <c r="M49" s="467">
        <f>-Q28+$Q$43</f>
        <v>0.014110000000000001</v>
      </c>
      <c r="N49" s="467">
        <f>-Q30+$Q$43</f>
        <v>0.01477</v>
      </c>
      <c r="O49" s="467">
        <f>-Q31+$Q$43</f>
        <v>0.01497</v>
      </c>
      <c r="P49" s="467">
        <f>-Q32+$Q$43</f>
        <v>0.015130000000000001</v>
      </c>
      <c r="Q49" s="467">
        <f>-Q34+$Q$43</f>
        <v>0.01481</v>
      </c>
      <c r="R49" s="467">
        <f>-Q35+$Q$43</f>
        <v>0.01467</v>
      </c>
      <c r="S49" s="467">
        <f>-Q36+$Q$43</f>
        <v>0.01393</v>
      </c>
      <c r="T49" s="467">
        <f>-Q38+$Q$43</f>
        <v>0.01427</v>
      </c>
      <c r="U49" s="467">
        <f>-Q39+$Q$43</f>
        <v>0.01495</v>
      </c>
      <c r="V49" s="589">
        <f>-Q40+$Q$43</f>
        <v>0.01533</v>
      </c>
      <c r="W49" s="570">
        <f aca="true" t="shared" si="2" ref="W49:W55">AVERAGE(D49:V49)</f>
        <v>0.01413526315789474</v>
      </c>
      <c r="X49" s="593">
        <f aca="true" t="shared" si="3" ref="X49:X55">STDEV(D49:V49)</f>
        <v>0.000740205440109165</v>
      </c>
    </row>
    <row r="50" spans="1:24" s="481" customFormat="1" ht="12.75" customHeight="1">
      <c r="A50" s="456">
        <v>2222</v>
      </c>
      <c r="B50" s="25">
        <v>10000</v>
      </c>
      <c r="C50" s="25" t="s">
        <v>9</v>
      </c>
      <c r="D50" s="458">
        <f>-F16+$F$43</f>
        <v>0.01189</v>
      </c>
      <c r="E50" s="459">
        <f>-F18+$F$43</f>
        <v>0.01193</v>
      </c>
      <c r="F50" s="459">
        <f>-F19+$F$43</f>
        <v>0.01215</v>
      </c>
      <c r="G50" s="459">
        <f>-F20+$F$43</f>
        <v>0.01205</v>
      </c>
      <c r="H50" s="459">
        <f>-F22+$F$43</f>
        <v>0.01209</v>
      </c>
      <c r="I50" s="459">
        <f>-F23+$F$43</f>
        <v>0.01193</v>
      </c>
      <c r="J50" s="459">
        <f>-F24+$F$43</f>
        <v>0.01167</v>
      </c>
      <c r="K50" s="459">
        <f>-F26+$F$43</f>
        <v>0.01171</v>
      </c>
      <c r="L50" s="459">
        <f>-F27+$F$43</f>
        <v>0.01201</v>
      </c>
      <c r="M50" s="459">
        <f>-F28+$F$43</f>
        <v>0.011729999999999999</v>
      </c>
      <c r="N50" s="459">
        <f>-F30+$F$43</f>
        <v>0.012549999999999999</v>
      </c>
      <c r="O50" s="459">
        <f>-F31+$F$43</f>
        <v>0.01193</v>
      </c>
      <c r="P50" s="459">
        <f>-F32+$F$43</f>
        <v>0.011529999999999999</v>
      </c>
      <c r="Q50" s="459">
        <f>-F34+$F$43</f>
        <v>0.01095</v>
      </c>
      <c r="R50" s="459">
        <f>-F35+$F$43</f>
        <v>0.01061</v>
      </c>
      <c r="S50" s="459">
        <f>-F36+$F$43</f>
        <v>0.01159</v>
      </c>
      <c r="T50" s="459">
        <f>-F38+$F$43</f>
        <v>0.01235</v>
      </c>
      <c r="U50" s="459">
        <f>-F39+$F$43</f>
        <v>0.01241</v>
      </c>
      <c r="V50" s="511">
        <f>-F40+$F$43</f>
        <v>0.011529999999999999</v>
      </c>
      <c r="W50" s="570">
        <f t="shared" si="2"/>
        <v>0.011821578947368419</v>
      </c>
      <c r="X50" s="593">
        <f t="shared" si="3"/>
        <v>0.00046896177477360915</v>
      </c>
    </row>
    <row r="51" spans="1:24" s="481" customFormat="1" ht="12.75" customHeight="1">
      <c r="A51" s="456">
        <v>2222</v>
      </c>
      <c r="B51" s="25">
        <v>10000</v>
      </c>
      <c r="C51" s="25" t="s">
        <v>7</v>
      </c>
      <c r="D51" s="466">
        <f>-S16+$S$43</f>
        <v>0.011859999999999999</v>
      </c>
      <c r="E51" s="467">
        <f>-S18+$S$43</f>
        <v>0.01192</v>
      </c>
      <c r="F51" s="467">
        <f>-S19+$S$43</f>
        <v>0.01216</v>
      </c>
      <c r="G51" s="467">
        <f>-S20+$S$43</f>
        <v>0.01198</v>
      </c>
      <c r="H51" s="467">
        <f>-S22+$S$43</f>
        <v>0.011859999999999999</v>
      </c>
      <c r="I51" s="467">
        <f>-S23+$S$43</f>
        <v>0.01192</v>
      </c>
      <c r="J51" s="467">
        <f>-S24+$S$43</f>
        <v>0.01162</v>
      </c>
      <c r="K51" s="467">
        <f>-S26+$S$43</f>
        <v>0.01168</v>
      </c>
      <c r="L51" s="467">
        <f>-S27+$S$43</f>
        <v>0.01252</v>
      </c>
      <c r="M51" s="467">
        <f>-S28+$S$43</f>
        <v>0.012539999999999999</v>
      </c>
      <c r="N51" s="467">
        <f>-S30+$S$43</f>
        <v>0.013219999999999999</v>
      </c>
      <c r="O51" s="467">
        <f>-S31+$S$43</f>
        <v>0.01348</v>
      </c>
      <c r="P51" s="467">
        <f>-S32+$S$43</f>
        <v>0.01362</v>
      </c>
      <c r="Q51" s="467">
        <f>-S34+$S$43</f>
        <v>0.0133</v>
      </c>
      <c r="R51" s="467">
        <f>-S35+$S$43</f>
        <v>0.013179999999999999</v>
      </c>
      <c r="S51" s="467">
        <f>-S36+$S$43</f>
        <v>0.01238</v>
      </c>
      <c r="T51" s="467">
        <f>-S38+$S$43</f>
        <v>0.01272</v>
      </c>
      <c r="U51" s="467">
        <f>-S39+$S$43</f>
        <v>0.01344</v>
      </c>
      <c r="V51" s="589">
        <f>-S40+$S$43</f>
        <v>0.0138</v>
      </c>
      <c r="W51" s="570">
        <f t="shared" si="2"/>
        <v>0.012589473684210527</v>
      </c>
      <c r="X51" s="593">
        <f t="shared" si="3"/>
        <v>0.0007320706833223463</v>
      </c>
    </row>
    <row r="52" spans="1:24" s="481" customFormat="1" ht="12.75" customHeight="1">
      <c r="A52" s="456">
        <v>3333</v>
      </c>
      <c r="B52" s="25">
        <v>12000</v>
      </c>
      <c r="C52" s="25" t="s">
        <v>9</v>
      </c>
      <c r="D52" s="458">
        <f>-H16+$H$43</f>
        <v>0.01065</v>
      </c>
      <c r="E52" s="459">
        <f>-H18+$H$43</f>
        <v>0.010669999999999999</v>
      </c>
      <c r="F52" s="459">
        <f>-H19+$H$43</f>
        <v>0.01089</v>
      </c>
      <c r="G52" s="459">
        <f>-H20+$H$43</f>
        <v>0.010790000000000001</v>
      </c>
      <c r="H52" s="459">
        <f>-H22+$H$43</f>
        <v>0.01087</v>
      </c>
      <c r="I52" s="459">
        <f>-H23+$H$43</f>
        <v>0.01071</v>
      </c>
      <c r="J52" s="459">
        <f>-H24+$H$43</f>
        <v>0.010450000000000001</v>
      </c>
      <c r="K52" s="459">
        <f>-H26+$H$43</f>
        <v>0.010509999999999999</v>
      </c>
      <c r="L52" s="459">
        <f>-H27+$H$43</f>
        <v>0.01077</v>
      </c>
      <c r="M52" s="459">
        <f>-H28+$H$43</f>
        <v>0.01047</v>
      </c>
      <c r="N52" s="459">
        <f>-H30+$H$43</f>
        <v>0.01131</v>
      </c>
      <c r="O52" s="459">
        <f>-H31+$H$43</f>
        <v>0.01071</v>
      </c>
      <c r="P52" s="459">
        <f>-H32+$H$43</f>
        <v>0.010329999999999999</v>
      </c>
      <c r="Q52" s="459">
        <f>-H34+$H$43</f>
        <v>0.00995</v>
      </c>
      <c r="R52" s="459">
        <f>-H35+$H$43</f>
        <v>0.00955</v>
      </c>
      <c r="S52" s="459">
        <f>-H36+$H$43</f>
        <v>0.01037</v>
      </c>
      <c r="T52" s="459">
        <f>-H38+$H$43</f>
        <v>0.01109</v>
      </c>
      <c r="U52" s="459">
        <f>-H39+$H$43</f>
        <v>0.011130000000000001</v>
      </c>
      <c r="V52" s="511">
        <f>-H40+$H$43</f>
        <v>0.01031</v>
      </c>
      <c r="W52" s="570">
        <f t="shared" si="2"/>
        <v>0.01060684210526316</v>
      </c>
      <c r="X52" s="593">
        <f t="shared" si="3"/>
        <v>0.00041232474568763685</v>
      </c>
    </row>
    <row r="53" spans="1:24" s="481" customFormat="1" ht="12.75" customHeight="1">
      <c r="A53" s="456">
        <v>3333</v>
      </c>
      <c r="B53" s="25">
        <v>12000</v>
      </c>
      <c r="C53" s="25" t="s">
        <v>7</v>
      </c>
      <c r="D53" s="466">
        <f>-U16+$U$43</f>
        <v>0.01066</v>
      </c>
      <c r="E53" s="467">
        <f>-U18+$U$43</f>
        <v>0.01066</v>
      </c>
      <c r="F53" s="467">
        <f>-U19+$U$43</f>
        <v>0.01086</v>
      </c>
      <c r="G53" s="467">
        <f>-U20+$U$43</f>
        <v>0.0108</v>
      </c>
      <c r="H53" s="467">
        <f>-U22+$U$43</f>
        <v>0.01066</v>
      </c>
      <c r="I53" s="467">
        <f>-U23+$U$43</f>
        <v>0.0107</v>
      </c>
      <c r="J53" s="467">
        <f>-U24+$U$43</f>
        <v>0.010419999999999999</v>
      </c>
      <c r="K53" s="467">
        <f>-U26+$U$43</f>
        <v>0.01048</v>
      </c>
      <c r="L53" s="467">
        <f>-U27+$U$43</f>
        <v>0.0118</v>
      </c>
      <c r="M53" s="467">
        <f>-U28+$U$43</f>
        <v>0.01134</v>
      </c>
      <c r="N53" s="467">
        <f>-U30+$U$43</f>
        <v>0.01202</v>
      </c>
      <c r="O53" s="467">
        <f>-U31+$U$43</f>
        <v>0.01228</v>
      </c>
      <c r="P53" s="467">
        <f>-U32+$U$43</f>
        <v>0.01248</v>
      </c>
      <c r="Q53" s="467">
        <f>-U34+$U$43</f>
        <v>0.0121</v>
      </c>
      <c r="R53" s="467">
        <f>-U35+$U$43</f>
        <v>0.012</v>
      </c>
      <c r="S53" s="467">
        <f>-U36+$U$43</f>
        <v>0.01114</v>
      </c>
      <c r="T53" s="467">
        <f>-U38+$U$43</f>
        <v>0.0115</v>
      </c>
      <c r="U53" s="467">
        <f>-U39+$U$43</f>
        <v>0.01224</v>
      </c>
      <c r="V53" s="589">
        <f>-U40+$U$43</f>
        <v>0.0126</v>
      </c>
      <c r="W53" s="570">
        <f t="shared" si="2"/>
        <v>0.011407368421052633</v>
      </c>
      <c r="X53" s="593">
        <f t="shared" si="3"/>
        <v>0.0007510055637111274</v>
      </c>
    </row>
    <row r="54" spans="1:24" s="481" customFormat="1" ht="12.75" customHeight="1">
      <c r="A54" s="456">
        <v>4444</v>
      </c>
      <c r="B54" s="25">
        <v>14000</v>
      </c>
      <c r="C54" s="25" t="s">
        <v>9</v>
      </c>
      <c r="D54" s="458">
        <f>-J16+$J$43</f>
        <v>0.0092</v>
      </c>
      <c r="E54" s="459">
        <f>-J18+$J$43</f>
        <v>0.00918</v>
      </c>
      <c r="F54" s="459">
        <f>-J19+$J$43</f>
        <v>0.00946</v>
      </c>
      <c r="G54" s="459">
        <f>-J20+$J$43</f>
        <v>0.00932</v>
      </c>
      <c r="H54" s="459">
        <f>-J22+$J$43</f>
        <v>0.00944</v>
      </c>
      <c r="I54" s="459">
        <f>-J23+$J$43</f>
        <v>0.009281000000000001</v>
      </c>
      <c r="J54" s="459">
        <f>-J24+$J$43</f>
        <v>0.00896</v>
      </c>
      <c r="K54" s="459">
        <f>-J26+$J$43</f>
        <v>0.00898</v>
      </c>
      <c r="L54" s="459">
        <f>-J27+$J$43</f>
        <v>0.0094</v>
      </c>
      <c r="M54" s="459">
        <f>-J28+$J$43</f>
        <v>0.00908</v>
      </c>
      <c r="N54" s="459">
        <f>-J30+$J$43</f>
        <v>0.00986</v>
      </c>
      <c r="O54" s="459">
        <f>-J31+$J$43</f>
        <v>0.00924</v>
      </c>
      <c r="P54" s="459">
        <f>-J32+$J$43</f>
        <v>0.00896</v>
      </c>
      <c r="Q54" s="459">
        <f>-J34+$J$43</f>
        <v>0.0085</v>
      </c>
      <c r="R54" s="459">
        <f>-J35+$J$43</f>
        <v>0.008199999999999999</v>
      </c>
      <c r="S54" s="459">
        <f>-J36+$J$43</f>
        <v>0.00896</v>
      </c>
      <c r="T54" s="459">
        <f>-J38+$J$43</f>
        <v>0.009559999999999999</v>
      </c>
      <c r="U54" s="459">
        <f>-J39+$J$43</f>
        <v>0.00966</v>
      </c>
      <c r="V54" s="511">
        <f>-J40+$J$43</f>
        <v>0.00878</v>
      </c>
      <c r="W54" s="570">
        <f t="shared" si="2"/>
        <v>0.009158999999999999</v>
      </c>
      <c r="X54" s="593">
        <f t="shared" si="3"/>
        <v>0.0003968642365119912</v>
      </c>
    </row>
    <row r="55" spans="1:24" s="481" customFormat="1" ht="12.75" customHeight="1">
      <c r="A55" s="468">
        <v>4444</v>
      </c>
      <c r="B55" s="24">
        <v>14000</v>
      </c>
      <c r="C55" s="24" t="s">
        <v>7</v>
      </c>
      <c r="D55" s="470">
        <f>-W16+$W$43</f>
        <v>0.00927</v>
      </c>
      <c r="E55" s="471">
        <f>-W18+$W$43</f>
        <v>0.00929</v>
      </c>
      <c r="F55" s="471">
        <f>-W19+$W$43</f>
        <v>0.00949</v>
      </c>
      <c r="G55" s="471">
        <f>-W20+$W$43</f>
        <v>0.00937</v>
      </c>
      <c r="H55" s="471">
        <f>-W22+$W$43</f>
        <v>0.00921</v>
      </c>
      <c r="I55" s="471">
        <f>-W23+$W$43</f>
        <v>0.00927</v>
      </c>
      <c r="J55" s="471">
        <f>-W24+$W$43</f>
        <v>0.009049999999999999</v>
      </c>
      <c r="K55" s="471">
        <f>-W26+$W$43</f>
        <v>0.00909</v>
      </c>
      <c r="L55" s="471">
        <f>-W27+$W$43</f>
        <v>0.010450000000000001</v>
      </c>
      <c r="M55" s="471">
        <f>-W28+$W$43</f>
        <v>0.01001</v>
      </c>
      <c r="N55" s="471">
        <f>-W30+$W$43</f>
        <v>0.01057</v>
      </c>
      <c r="O55" s="471">
        <f>-W31+$W$43</f>
        <v>0.01097</v>
      </c>
      <c r="P55" s="471">
        <f>-W32+$W$43</f>
        <v>0.01105</v>
      </c>
      <c r="Q55" s="471">
        <f>-W34+$W$43</f>
        <v>0.01083</v>
      </c>
      <c r="R55" s="471">
        <f>-W35+$W$43</f>
        <v>0.01073</v>
      </c>
      <c r="S55" s="471">
        <f>-W36+$W$43</f>
        <v>0.009770000000000001</v>
      </c>
      <c r="T55" s="471">
        <f>-W38+$W$43</f>
        <v>0.01015</v>
      </c>
      <c r="U55" s="471">
        <f>-W39+$W$43</f>
        <v>0.010929999999999999</v>
      </c>
      <c r="V55" s="590">
        <f>-W40+$W$43</f>
        <v>0.01115</v>
      </c>
      <c r="W55" s="571">
        <f t="shared" si="2"/>
        <v>0.01003421052631579</v>
      </c>
      <c r="X55" s="594">
        <f t="shared" si="3"/>
        <v>0.0007679287856846175</v>
      </c>
    </row>
    <row r="56" spans="1:24" s="481" customFormat="1" ht="12.75" customHeight="1">
      <c r="A56" s="25"/>
      <c r="B56" s="25"/>
      <c r="C56" s="25"/>
      <c r="D56" s="512"/>
      <c r="E56" s="512"/>
      <c r="F56" s="512"/>
      <c r="G56" s="512"/>
      <c r="H56" s="512"/>
      <c r="I56" s="512"/>
      <c r="J56" s="512"/>
      <c r="K56" s="512"/>
      <c r="L56" s="512"/>
      <c r="M56" s="512"/>
      <c r="N56" s="512"/>
      <c r="O56" s="512"/>
      <c r="P56" s="512"/>
      <c r="Q56" s="512"/>
      <c r="R56" s="512"/>
      <c r="S56" s="512"/>
      <c r="T56" s="512"/>
      <c r="U56" s="512"/>
      <c r="V56" s="512"/>
      <c r="W56" s="512"/>
      <c r="X56" s="595"/>
    </row>
    <row r="57" spans="1:24" s="481" customFormat="1" ht="12.75" customHeight="1">
      <c r="A57" s="25"/>
      <c r="B57" s="25"/>
      <c r="C57" s="25"/>
      <c r="D57" s="512"/>
      <c r="E57" s="512"/>
      <c r="F57" s="512"/>
      <c r="G57" s="512"/>
      <c r="H57" s="512"/>
      <c r="I57" s="512"/>
      <c r="J57" s="512"/>
      <c r="K57" s="512"/>
      <c r="L57" s="512"/>
      <c r="M57" s="512"/>
      <c r="N57" s="512"/>
      <c r="O57" s="512"/>
      <c r="P57" s="512"/>
      <c r="Q57" s="512"/>
      <c r="R57" s="512"/>
      <c r="S57" s="512"/>
      <c r="T57" s="512"/>
      <c r="U57" s="512"/>
      <c r="V57" s="512"/>
      <c r="W57" s="512"/>
      <c r="X57" s="595"/>
    </row>
    <row r="58" spans="1:24" s="481" customFormat="1" ht="12.75" customHeight="1">
      <c r="A58" s="67" t="s">
        <v>66</v>
      </c>
      <c r="B58" s="2"/>
      <c r="C58" s="2"/>
      <c r="D58" s="512"/>
      <c r="E58" s="512"/>
      <c r="F58" s="512"/>
      <c r="G58" s="512"/>
      <c r="H58" s="512"/>
      <c r="I58" s="512"/>
      <c r="J58" s="512"/>
      <c r="K58" s="512"/>
      <c r="L58" s="512"/>
      <c r="M58" s="512"/>
      <c r="N58" s="512"/>
      <c r="O58" s="512"/>
      <c r="P58" s="512"/>
      <c r="Q58" s="512"/>
      <c r="R58" s="512"/>
      <c r="S58" s="512"/>
      <c r="T58" s="512"/>
      <c r="U58" s="512"/>
      <c r="V58" s="512"/>
      <c r="W58" s="512"/>
      <c r="X58" s="595"/>
    </row>
    <row r="59" spans="1:26" s="143" customFormat="1" ht="12.75" customHeight="1">
      <c r="A59" s="144" t="s">
        <v>111</v>
      </c>
      <c r="B59" s="145"/>
      <c r="C59" s="146"/>
      <c r="D59" s="513">
        <v>1</v>
      </c>
      <c r="E59" s="514">
        <f aca="true" t="shared" si="4" ref="E59:N59">D59+1</f>
        <v>2</v>
      </c>
      <c r="F59" s="514">
        <f t="shared" si="4"/>
        <v>3</v>
      </c>
      <c r="G59" s="514">
        <f t="shared" si="4"/>
        <v>4</v>
      </c>
      <c r="H59" s="514">
        <f t="shared" si="4"/>
        <v>5</v>
      </c>
      <c r="I59" s="514">
        <f t="shared" si="4"/>
        <v>6</v>
      </c>
      <c r="J59" s="514">
        <f t="shared" si="4"/>
        <v>7</v>
      </c>
      <c r="K59" s="514">
        <f t="shared" si="4"/>
        <v>8</v>
      </c>
      <c r="L59" s="514">
        <f t="shared" si="4"/>
        <v>9</v>
      </c>
      <c r="M59" s="514">
        <f t="shared" si="4"/>
        <v>10</v>
      </c>
      <c r="N59" s="514">
        <f t="shared" si="4"/>
        <v>11</v>
      </c>
      <c r="O59" s="514">
        <f aca="true" t="shared" si="5" ref="O59:V59">N59+1</f>
        <v>12</v>
      </c>
      <c r="P59" s="514">
        <f t="shared" si="5"/>
        <v>13</v>
      </c>
      <c r="Q59" s="514">
        <f t="shared" si="5"/>
        <v>14</v>
      </c>
      <c r="R59" s="514">
        <f t="shared" si="5"/>
        <v>15</v>
      </c>
      <c r="S59" s="514">
        <f t="shared" si="5"/>
        <v>16</v>
      </c>
      <c r="T59" s="514">
        <f t="shared" si="5"/>
        <v>17</v>
      </c>
      <c r="U59" s="514">
        <f t="shared" si="5"/>
        <v>18</v>
      </c>
      <c r="V59" s="514">
        <f t="shared" si="5"/>
        <v>19</v>
      </c>
      <c r="W59" s="422" t="s">
        <v>0</v>
      </c>
      <c r="X59" s="530" t="s">
        <v>68</v>
      </c>
      <c r="Y59" s="481"/>
      <c r="Z59" s="145"/>
    </row>
    <row r="60" spans="1:26" s="49" customFormat="1" ht="12.75" customHeight="1">
      <c r="A60" s="82" t="s">
        <v>114</v>
      </c>
      <c r="B60" s="83"/>
      <c r="C60" s="421" t="s">
        <v>35</v>
      </c>
      <c r="D60" s="124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6"/>
      <c r="W60" s="121"/>
      <c r="X60" s="463"/>
      <c r="Y60" s="481"/>
      <c r="Z60" s="154"/>
    </row>
    <row r="61" spans="1:26" s="51" customFormat="1" ht="12.75" customHeight="1">
      <c r="A61" s="85">
        <v>8</v>
      </c>
      <c r="B61" s="86">
        <v>10</v>
      </c>
      <c r="C61" s="86" t="s">
        <v>9</v>
      </c>
      <c r="D61" s="85">
        <f aca="true" t="shared" si="6" ref="D61:M66">IF($C$4="inner",(-0.000001*($B50-$B48)/((D50-D48)/($G$6))),(-0.000001*($B50-$B48)/((D50-D48)/($I$6))))</f>
        <v>1.292764696953789</v>
      </c>
      <c r="E61" s="86">
        <f t="shared" si="6"/>
        <v>1.2600364767777437</v>
      </c>
      <c r="F61" s="86">
        <f t="shared" si="6"/>
        <v>1.2442860208180224</v>
      </c>
      <c r="G61" s="86">
        <f t="shared" si="6"/>
        <v>1.2442860208180224</v>
      </c>
      <c r="H61" s="86">
        <f t="shared" si="6"/>
        <v>1.3272384222058915</v>
      </c>
      <c r="I61" s="86">
        <f t="shared" si="6"/>
        <v>1.3451740765600246</v>
      </c>
      <c r="J61" s="86">
        <f t="shared" si="6"/>
        <v>1.3097747587558133</v>
      </c>
      <c r="K61" s="86">
        <f t="shared" si="6"/>
        <v>1.3097747587558133</v>
      </c>
      <c r="L61" s="86">
        <f t="shared" si="6"/>
        <v>1.3097747587558133</v>
      </c>
      <c r="M61" s="86">
        <f t="shared" si="6"/>
        <v>1.3825400231311347</v>
      </c>
      <c r="N61" s="86">
        <f aca="true" t="shared" si="7" ref="N61:V66">IF($C$4="inner",(-0.000001*($B50-$B48)/((N50-N48)/($G$6))),(-0.000001*($B50-$B48)/((N50-N48)/($I$6))))</f>
        <v>1.3097747587558117</v>
      </c>
      <c r="O61" s="86">
        <f t="shared" si="7"/>
        <v>1.3097747587558133</v>
      </c>
      <c r="P61" s="86">
        <f t="shared" si="7"/>
        <v>1.3636011187046815</v>
      </c>
      <c r="Q61" s="86">
        <f t="shared" si="7"/>
        <v>1.292764696953789</v>
      </c>
      <c r="R61" s="86">
        <f t="shared" si="7"/>
        <v>1.3825400231311364</v>
      </c>
      <c r="S61" s="86">
        <f t="shared" si="7"/>
        <v>1.3097747587558133</v>
      </c>
      <c r="T61" s="86">
        <f t="shared" si="7"/>
        <v>1.260036476777745</v>
      </c>
      <c r="U61" s="86">
        <f t="shared" si="7"/>
        <v>1.2289244650054536</v>
      </c>
      <c r="V61" s="72">
        <f t="shared" si="7"/>
        <v>1.292764696953789</v>
      </c>
      <c r="W61" s="572">
        <f>AVERAGE(D61:V61)</f>
        <v>1.3039792509119</v>
      </c>
      <c r="X61" s="478">
        <f>STDEV(D61:V61)</f>
        <v>0.044307577069049975</v>
      </c>
      <c r="Y61" s="177">
        <v>0.6592380291799633</v>
      </c>
      <c r="Z61" s="86"/>
    </row>
    <row r="62" spans="1:26" s="51" customFormat="1" ht="12.75" customHeight="1">
      <c r="A62" s="85">
        <v>8</v>
      </c>
      <c r="B62" s="86">
        <v>10</v>
      </c>
      <c r="C62" s="86" t="s">
        <v>7</v>
      </c>
      <c r="D62" s="85">
        <f t="shared" si="6"/>
        <v>1.3361460626233788</v>
      </c>
      <c r="E62" s="86">
        <f t="shared" si="6"/>
        <v>1.2844242795540874</v>
      </c>
      <c r="F62" s="86">
        <f t="shared" si="6"/>
        <v>1.2680621868209152</v>
      </c>
      <c r="G62" s="86">
        <f t="shared" si="6"/>
        <v>1.2521117190621607</v>
      </c>
      <c r="H62" s="86">
        <f t="shared" si="6"/>
        <v>1.3543249206182557</v>
      </c>
      <c r="I62" s="86">
        <f t="shared" si="6"/>
        <v>1.3361460626233803</v>
      </c>
      <c r="J62" s="86">
        <f t="shared" si="6"/>
        <v>1.3361460626233803</v>
      </c>
      <c r="K62" s="86">
        <f t="shared" si="6"/>
        <v>1.3543249206182557</v>
      </c>
      <c r="L62" s="86">
        <f t="shared" si="6"/>
        <v>1.000430971511978</v>
      </c>
      <c r="M62" s="86">
        <f t="shared" si="6"/>
        <v>1.2680621868209134</v>
      </c>
      <c r="N62" s="86">
        <f t="shared" si="7"/>
        <v>1.2844242795540874</v>
      </c>
      <c r="O62" s="86">
        <f t="shared" si="7"/>
        <v>1.3361460626233803</v>
      </c>
      <c r="P62" s="86">
        <f t="shared" si="7"/>
        <v>1.3184487637806859</v>
      </c>
      <c r="Q62" s="86">
        <f t="shared" si="7"/>
        <v>1.3184487637806859</v>
      </c>
      <c r="R62" s="86">
        <f t="shared" si="7"/>
        <v>1.3361460626233788</v>
      </c>
      <c r="S62" s="86">
        <f t="shared" si="7"/>
        <v>1.2844242795540888</v>
      </c>
      <c r="T62" s="86">
        <f t="shared" si="7"/>
        <v>1.2844242795540888</v>
      </c>
      <c r="U62" s="86">
        <f t="shared" si="7"/>
        <v>1.3184487637806874</v>
      </c>
      <c r="V62" s="72">
        <f t="shared" si="7"/>
        <v>1.3012141394175403</v>
      </c>
      <c r="W62" s="572">
        <f aca="true" t="shared" si="8" ref="W62:W68">AVERAGE(D62:V62)</f>
        <v>1.2932791982918592</v>
      </c>
      <c r="X62" s="478">
        <f aca="true" t="shared" si="9" ref="X62:X68">STDEV(D62:V62)</f>
        <v>0.07733217098295786</v>
      </c>
      <c r="Y62" s="177">
        <v>0.5497688153224163</v>
      </c>
      <c r="Z62" s="86"/>
    </row>
    <row r="63" spans="1:26" s="51" customFormat="1" ht="12.75" customHeight="1">
      <c r="A63" s="85">
        <v>10</v>
      </c>
      <c r="B63" s="86">
        <v>12</v>
      </c>
      <c r="C63" s="86" t="s">
        <v>9</v>
      </c>
      <c r="D63" s="85">
        <f t="shared" si="6"/>
        <v>1.6055303494426107</v>
      </c>
      <c r="E63" s="86">
        <f t="shared" si="6"/>
        <v>1.5800457407212982</v>
      </c>
      <c r="F63" s="86">
        <f t="shared" si="6"/>
        <v>1.5800457407213002</v>
      </c>
      <c r="G63" s="86">
        <f t="shared" si="6"/>
        <v>1.5800457407213002</v>
      </c>
      <c r="H63" s="86">
        <f t="shared" si="6"/>
        <v>1.6318505191056032</v>
      </c>
      <c r="I63" s="86">
        <f t="shared" si="6"/>
        <v>1.6318505191056056</v>
      </c>
      <c r="J63" s="86">
        <f t="shared" si="6"/>
        <v>1.6318505191056056</v>
      </c>
      <c r="K63" s="86">
        <f t="shared" si="6"/>
        <v>1.659048027757362</v>
      </c>
      <c r="L63" s="86">
        <f t="shared" si="6"/>
        <v>1.6055303494426107</v>
      </c>
      <c r="M63" s="86">
        <f t="shared" si="6"/>
        <v>1.5800457407213002</v>
      </c>
      <c r="N63" s="86">
        <f t="shared" si="7"/>
        <v>1.605530349442613</v>
      </c>
      <c r="O63" s="86">
        <f t="shared" si="7"/>
        <v>1.6318505191056056</v>
      </c>
      <c r="P63" s="86">
        <f t="shared" si="7"/>
        <v>1.6590480277573645</v>
      </c>
      <c r="Q63" s="86">
        <f t="shared" si="7"/>
        <v>1.9908576333088384</v>
      </c>
      <c r="R63" s="86">
        <f t="shared" si="7"/>
        <v>1.878167578593242</v>
      </c>
      <c r="S63" s="86">
        <f t="shared" si="7"/>
        <v>1.6318505191056056</v>
      </c>
      <c r="T63" s="86">
        <f t="shared" si="7"/>
        <v>1.5800457407212982</v>
      </c>
      <c r="U63" s="86">
        <f t="shared" si="7"/>
        <v>1.5553575260225312</v>
      </c>
      <c r="V63" s="72">
        <f t="shared" si="7"/>
        <v>1.6318505191056056</v>
      </c>
      <c r="W63" s="572">
        <f t="shared" si="8"/>
        <v>1.6447579821056473</v>
      </c>
      <c r="X63" s="478">
        <f t="shared" si="9"/>
        <v>0.107811633230619</v>
      </c>
      <c r="Y63" s="177">
        <v>0.7566214107974003</v>
      </c>
      <c r="Z63" s="86"/>
    </row>
    <row r="64" spans="1:26" s="51" customFormat="1" ht="12.75" customHeight="1">
      <c r="A64" s="85">
        <v>10</v>
      </c>
      <c r="B64" s="86">
        <v>12</v>
      </c>
      <c r="C64" s="86" t="s">
        <v>7</v>
      </c>
      <c r="D64" s="85">
        <f t="shared" si="6"/>
        <v>1.6590480277573645</v>
      </c>
      <c r="E64" s="86">
        <f t="shared" si="6"/>
        <v>1.5800457407212982</v>
      </c>
      <c r="F64" s="86">
        <f t="shared" si="6"/>
        <v>1.5314289486991044</v>
      </c>
      <c r="G64" s="86">
        <f t="shared" si="6"/>
        <v>1.6871674858549481</v>
      </c>
      <c r="H64" s="86">
        <f t="shared" si="6"/>
        <v>1.6590480277573645</v>
      </c>
      <c r="I64" s="86">
        <f t="shared" si="6"/>
        <v>1.6318505191056032</v>
      </c>
      <c r="J64" s="86">
        <f t="shared" si="6"/>
        <v>1.659048027757362</v>
      </c>
      <c r="K64" s="86">
        <f t="shared" si="6"/>
        <v>1.6590480277573645</v>
      </c>
      <c r="L64" s="86">
        <f t="shared" si="6"/>
        <v>2.765080046262273</v>
      </c>
      <c r="M64" s="86">
        <f t="shared" si="6"/>
        <v>1.6590480277573645</v>
      </c>
      <c r="N64" s="86">
        <f t="shared" si="7"/>
        <v>1.6590480277573645</v>
      </c>
      <c r="O64" s="86">
        <f t="shared" si="7"/>
        <v>1.659048027757362</v>
      </c>
      <c r="P64" s="86">
        <f t="shared" si="7"/>
        <v>1.746366345007751</v>
      </c>
      <c r="Q64" s="86">
        <f t="shared" si="7"/>
        <v>1.6590480277573645</v>
      </c>
      <c r="R64" s="86">
        <f t="shared" si="7"/>
        <v>1.6871674858549481</v>
      </c>
      <c r="S64" s="86">
        <f t="shared" si="7"/>
        <v>1.6055303494426107</v>
      </c>
      <c r="T64" s="86">
        <f t="shared" si="7"/>
        <v>1.6318505191056032</v>
      </c>
      <c r="U64" s="86">
        <f t="shared" si="7"/>
        <v>1.659048027757362</v>
      </c>
      <c r="V64" s="72">
        <f t="shared" si="7"/>
        <v>1.6590480277573645</v>
      </c>
      <c r="W64" s="572">
        <f t="shared" si="8"/>
        <v>1.7082614588225145</v>
      </c>
      <c r="X64" s="478">
        <f t="shared" si="9"/>
        <v>0.25963296633351707</v>
      </c>
      <c r="Y64" s="177">
        <v>0.6417410813310411</v>
      </c>
      <c r="Z64" s="86"/>
    </row>
    <row r="65" spans="1:26" s="51" customFormat="1" ht="12.75" customHeight="1">
      <c r="A65" s="85">
        <v>12</v>
      </c>
      <c r="B65" s="86">
        <v>14</v>
      </c>
      <c r="C65" s="86" t="s">
        <v>9</v>
      </c>
      <c r="D65" s="85">
        <f t="shared" si="6"/>
        <v>1.373005264350922</v>
      </c>
      <c r="E65" s="86">
        <f t="shared" si="6"/>
        <v>1.3361460626233819</v>
      </c>
      <c r="F65" s="86">
        <f t="shared" si="6"/>
        <v>1.392208135181004</v>
      </c>
      <c r="G65" s="86">
        <f t="shared" si="6"/>
        <v>1.3543249206182557</v>
      </c>
      <c r="H65" s="86">
        <f t="shared" si="6"/>
        <v>1.3922081351810056</v>
      </c>
      <c r="I65" s="86">
        <f t="shared" si="6"/>
        <v>1.3931823885996062</v>
      </c>
      <c r="J65" s="86">
        <f t="shared" si="6"/>
        <v>1.3361460626233788</v>
      </c>
      <c r="K65" s="86">
        <f t="shared" si="6"/>
        <v>1.3012141394175418</v>
      </c>
      <c r="L65" s="86">
        <f t="shared" si="6"/>
        <v>1.453180754240027</v>
      </c>
      <c r="M65" s="86">
        <f t="shared" si="6"/>
        <v>1.4322716786394505</v>
      </c>
      <c r="N65" s="86">
        <f t="shared" si="7"/>
        <v>1.373005264350922</v>
      </c>
      <c r="O65" s="86">
        <f t="shared" si="7"/>
        <v>1.3543249206182557</v>
      </c>
      <c r="P65" s="86">
        <f t="shared" si="7"/>
        <v>1.453180754240027</v>
      </c>
      <c r="Q65" s="86">
        <f t="shared" si="7"/>
        <v>1.373005264350922</v>
      </c>
      <c r="R65" s="86">
        <f t="shared" si="7"/>
        <v>1.4747093580065451</v>
      </c>
      <c r="S65" s="86">
        <f t="shared" si="7"/>
        <v>1.4119557683041382</v>
      </c>
      <c r="T65" s="86">
        <f t="shared" si="7"/>
        <v>1.3012141394175403</v>
      </c>
      <c r="U65" s="86">
        <f t="shared" si="7"/>
        <v>1.3543249206182557</v>
      </c>
      <c r="V65" s="72">
        <f t="shared" si="7"/>
        <v>1.3012141394175403</v>
      </c>
      <c r="W65" s="572">
        <f t="shared" si="8"/>
        <v>1.3768853721473011</v>
      </c>
      <c r="X65" s="478">
        <f t="shared" si="9"/>
        <v>0.05180847317981143</v>
      </c>
      <c r="Y65" s="177">
        <v>0.5705052406586181</v>
      </c>
      <c r="Z65" s="86"/>
    </row>
    <row r="66" spans="1:26" s="51" customFormat="1" ht="12.75" customHeight="1">
      <c r="A66" s="85">
        <v>12</v>
      </c>
      <c r="B66" s="86">
        <v>14</v>
      </c>
      <c r="C66" s="86" t="s">
        <v>7</v>
      </c>
      <c r="D66" s="85">
        <f t="shared" si="6"/>
        <v>1.4322716786394523</v>
      </c>
      <c r="E66" s="86">
        <f t="shared" si="6"/>
        <v>1.453180754240027</v>
      </c>
      <c r="F66" s="86">
        <f t="shared" si="6"/>
        <v>1.453180754240027</v>
      </c>
      <c r="G66" s="86">
        <f t="shared" si="6"/>
        <v>1.392208135181004</v>
      </c>
      <c r="H66" s="86">
        <f t="shared" si="6"/>
        <v>1.373005264350922</v>
      </c>
      <c r="I66" s="86">
        <f t="shared" si="6"/>
        <v>1.3922081351810056</v>
      </c>
      <c r="J66" s="86">
        <f t="shared" si="6"/>
        <v>1.453180754240027</v>
      </c>
      <c r="K66" s="86">
        <f t="shared" si="6"/>
        <v>1.4322716786394523</v>
      </c>
      <c r="L66" s="86">
        <f t="shared" si="6"/>
        <v>1.4747093580065471</v>
      </c>
      <c r="M66" s="86">
        <f t="shared" si="6"/>
        <v>1.4968854385780732</v>
      </c>
      <c r="N66" s="86">
        <f t="shared" si="7"/>
        <v>1.373005264350922</v>
      </c>
      <c r="O66" s="86">
        <f t="shared" si="7"/>
        <v>1.5197386513807931</v>
      </c>
      <c r="P66" s="86">
        <f t="shared" si="7"/>
        <v>1.3922081351810056</v>
      </c>
      <c r="Q66" s="86">
        <f t="shared" si="7"/>
        <v>1.567604435676249</v>
      </c>
      <c r="R66" s="86">
        <f t="shared" si="7"/>
        <v>1.567604435676249</v>
      </c>
      <c r="S66" s="86">
        <f t="shared" si="7"/>
        <v>1.453180754240027</v>
      </c>
      <c r="T66" s="86">
        <f t="shared" si="7"/>
        <v>1.4747093580065451</v>
      </c>
      <c r="U66" s="86">
        <f t="shared" si="7"/>
        <v>1.5197386513807911</v>
      </c>
      <c r="V66" s="72">
        <f t="shared" si="7"/>
        <v>1.373005264350922</v>
      </c>
      <c r="W66" s="572">
        <f t="shared" si="8"/>
        <v>1.4523103632389494</v>
      </c>
      <c r="X66" s="478">
        <f t="shared" si="9"/>
        <v>0.061994542457364375</v>
      </c>
      <c r="Y66" s="177">
        <v>0.6714426174840732</v>
      </c>
      <c r="Z66" s="86"/>
    </row>
    <row r="67" spans="1:26" s="51" customFormat="1" ht="12.75" customHeight="1">
      <c r="A67" s="85">
        <v>10</v>
      </c>
      <c r="B67" s="86">
        <v>14</v>
      </c>
      <c r="C67" s="86" t="s">
        <v>9</v>
      </c>
      <c r="D67" s="85">
        <f aca="true" t="shared" si="10" ref="D67:M68">IF($C$4="inner",(-0.000001*($B54-$B50)/((D54-D50)/($G$6))),(-0.000001*($B54-$B50)/((D54-D50)/($I$6))))</f>
        <v>1.4801915489285034</v>
      </c>
      <c r="E67" s="86">
        <f t="shared" si="10"/>
        <v>1.4478964605882454</v>
      </c>
      <c r="F67" s="86">
        <f t="shared" si="10"/>
        <v>1.4801915489285034</v>
      </c>
      <c r="G67" s="86">
        <f t="shared" si="10"/>
        <v>1.4585037606658147</v>
      </c>
      <c r="H67" s="86">
        <f t="shared" si="10"/>
        <v>1.502534062874594</v>
      </c>
      <c r="I67" s="86">
        <f t="shared" si="10"/>
        <v>1.5031012709013498</v>
      </c>
      <c r="J67" s="86">
        <f t="shared" si="10"/>
        <v>1.4692676260581818</v>
      </c>
      <c r="K67" s="86">
        <f t="shared" si="10"/>
        <v>1.4585037606658147</v>
      </c>
      <c r="L67" s="86">
        <f t="shared" si="10"/>
        <v>1.5255614048343582</v>
      </c>
      <c r="M67" s="86">
        <f t="shared" si="10"/>
        <v>1.502534062874594</v>
      </c>
      <c r="N67" s="86">
        <f aca="true" t="shared" si="11" ref="N67:V68">IF($C$4="inner",(-0.000001*($B54-$B50)/((N54-N50)/($G$6))),(-0.000001*($B54-$B50)/((N54-N50)/($I$6))))</f>
        <v>1.4801915489285042</v>
      </c>
      <c r="O67" s="86">
        <f t="shared" si="11"/>
        <v>1.4801915489285034</v>
      </c>
      <c r="P67" s="86">
        <f t="shared" si="11"/>
        <v>1.5493055512131029</v>
      </c>
      <c r="Q67" s="86">
        <f t="shared" si="11"/>
        <v>1.6251899047419085</v>
      </c>
      <c r="R67" s="86">
        <f t="shared" si="11"/>
        <v>1.6521640110446774</v>
      </c>
      <c r="S67" s="86">
        <f t="shared" si="11"/>
        <v>1.5139601774211684</v>
      </c>
      <c r="T67" s="86">
        <f t="shared" si="11"/>
        <v>1.427138088393431</v>
      </c>
      <c r="U67" s="86">
        <f t="shared" si="11"/>
        <v>1.4478964605882454</v>
      </c>
      <c r="V67" s="72">
        <f t="shared" si="11"/>
        <v>1.4478964605882454</v>
      </c>
      <c r="W67" s="572">
        <f t="shared" si="8"/>
        <v>1.4974852241667236</v>
      </c>
      <c r="X67" s="478">
        <f t="shared" si="9"/>
        <v>0.058413782124568964</v>
      </c>
      <c r="Y67" s="177">
        <v>0.6503348931170524</v>
      </c>
      <c r="Z67" s="86"/>
    </row>
    <row r="68" spans="1:26" s="51" customFormat="1" ht="12.75" customHeight="1">
      <c r="A68" s="87">
        <v>10</v>
      </c>
      <c r="B68" s="88">
        <v>14</v>
      </c>
      <c r="C68" s="88" t="s">
        <v>7</v>
      </c>
      <c r="D68" s="87">
        <f t="shared" si="10"/>
        <v>1.5373418017828864</v>
      </c>
      <c r="E68" s="88">
        <f t="shared" si="10"/>
        <v>1.5139601774211684</v>
      </c>
      <c r="F68" s="88">
        <f t="shared" si="10"/>
        <v>1.4912791260740348</v>
      </c>
      <c r="G68" s="88">
        <f t="shared" si="10"/>
        <v>1.5255614048343582</v>
      </c>
      <c r="H68" s="88">
        <f t="shared" si="10"/>
        <v>1.502534062874594</v>
      </c>
      <c r="I68" s="88">
        <f t="shared" si="10"/>
        <v>1.502534062874594</v>
      </c>
      <c r="J68" s="88">
        <f t="shared" si="10"/>
        <v>1.5493055512131018</v>
      </c>
      <c r="K68" s="88">
        <f t="shared" si="10"/>
        <v>1.5373418017828864</v>
      </c>
      <c r="L68" s="88">
        <f t="shared" si="10"/>
        <v>1.9235339452259304</v>
      </c>
      <c r="M68" s="88">
        <f t="shared" si="10"/>
        <v>1.5738005006393971</v>
      </c>
      <c r="N68" s="88">
        <f t="shared" si="11"/>
        <v>1.502534062874594</v>
      </c>
      <c r="O68" s="88">
        <f t="shared" si="11"/>
        <v>1.5863407436723798</v>
      </c>
      <c r="P68" s="88">
        <f t="shared" si="11"/>
        <v>1.5493055512131029</v>
      </c>
      <c r="Q68" s="88">
        <f t="shared" si="11"/>
        <v>1.6120304723148475</v>
      </c>
      <c r="R68" s="88">
        <f t="shared" si="11"/>
        <v>1.6251899047419085</v>
      </c>
      <c r="S68" s="88">
        <f t="shared" si="11"/>
        <v>1.5255614048343582</v>
      </c>
      <c r="T68" s="88">
        <f t="shared" si="11"/>
        <v>1.5493055512131018</v>
      </c>
      <c r="U68" s="88">
        <f t="shared" si="11"/>
        <v>1.5863407436723787</v>
      </c>
      <c r="V68" s="89">
        <f t="shared" si="11"/>
        <v>1.502534062874594</v>
      </c>
      <c r="W68" s="574">
        <f t="shared" si="8"/>
        <v>1.562964996428117</v>
      </c>
      <c r="X68" s="483">
        <f t="shared" si="9"/>
        <v>0.09554475633245813</v>
      </c>
      <c r="Y68" s="177">
        <v>0.655979508273607</v>
      </c>
      <c r="Z68" s="88"/>
    </row>
    <row r="69" spans="1:26" s="49" customFormat="1" ht="12.75" customHeight="1">
      <c r="A69" s="3"/>
      <c r="B69" s="3"/>
      <c r="C69" s="3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127"/>
      <c r="Y69" s="481"/>
      <c r="Z69" s="3"/>
    </row>
    <row r="70" spans="1:31" s="49" customFormat="1" ht="12.75" customHeight="1">
      <c r="A70" s="67" t="s">
        <v>69</v>
      </c>
      <c r="D70" s="596" t="str">
        <f>$C$3</f>
        <v>O-004 2nd sizing</v>
      </c>
      <c r="E70" s="596"/>
      <c r="F70" s="596" t="str">
        <f>$C$4</f>
        <v>outer</v>
      </c>
      <c r="G70" s="596" t="s">
        <v>115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127"/>
      <c r="Y70" s="481"/>
      <c r="AA70" s="67" t="s">
        <v>69</v>
      </c>
      <c r="AD70" s="51" t="str">
        <f>D70</f>
        <v>O-004 2nd sizing</v>
      </c>
      <c r="AE70" s="51" t="str">
        <f>F70</f>
        <v>outer</v>
      </c>
    </row>
    <row r="71" spans="1:31" s="173" customFormat="1" ht="12.75" customHeight="1">
      <c r="A71" s="144" t="s">
        <v>116</v>
      </c>
      <c r="B71" s="141"/>
      <c r="C71" s="141"/>
      <c r="D71" s="422">
        <v>1</v>
      </c>
      <c r="E71" s="423">
        <f aca="true" t="shared" si="12" ref="E71:N71">D71+1</f>
        <v>2</v>
      </c>
      <c r="F71" s="423">
        <f t="shared" si="12"/>
        <v>3</v>
      </c>
      <c r="G71" s="423">
        <f t="shared" si="12"/>
        <v>4</v>
      </c>
      <c r="H71" s="423">
        <f t="shared" si="12"/>
        <v>5</v>
      </c>
      <c r="I71" s="423">
        <f t="shared" si="12"/>
        <v>6</v>
      </c>
      <c r="J71" s="423">
        <f t="shared" si="12"/>
        <v>7</v>
      </c>
      <c r="K71" s="423">
        <f t="shared" si="12"/>
        <v>8</v>
      </c>
      <c r="L71" s="423">
        <f t="shared" si="12"/>
        <v>9</v>
      </c>
      <c r="M71" s="423">
        <f t="shared" si="12"/>
        <v>10</v>
      </c>
      <c r="N71" s="423">
        <f t="shared" si="12"/>
        <v>11</v>
      </c>
      <c r="O71" s="423">
        <f aca="true" t="shared" si="13" ref="O71:V71">N71+1</f>
        <v>12</v>
      </c>
      <c r="P71" s="423">
        <f t="shared" si="13"/>
        <v>13</v>
      </c>
      <c r="Q71" s="423">
        <f t="shared" si="13"/>
        <v>14</v>
      </c>
      <c r="R71" s="423">
        <f t="shared" si="13"/>
        <v>15</v>
      </c>
      <c r="S71" s="423">
        <f t="shared" si="13"/>
        <v>16</v>
      </c>
      <c r="T71" s="423">
        <f t="shared" si="13"/>
        <v>17</v>
      </c>
      <c r="U71" s="423">
        <f t="shared" si="13"/>
        <v>18</v>
      </c>
      <c r="V71" s="429">
        <f t="shared" si="13"/>
        <v>19</v>
      </c>
      <c r="W71" s="171" t="s">
        <v>0</v>
      </c>
      <c r="X71" s="172" t="s">
        <v>117</v>
      </c>
      <c r="Y71" s="481"/>
      <c r="Z71" s="148"/>
      <c r="AA71" s="144" t="s">
        <v>116</v>
      </c>
      <c r="AB71" s="141"/>
      <c r="AC71" s="142"/>
      <c r="AD71" s="171" t="s">
        <v>0</v>
      </c>
      <c r="AE71" s="172" t="s">
        <v>117</v>
      </c>
    </row>
    <row r="72" spans="1:31" s="173" customFormat="1" ht="12.75" customHeight="1">
      <c r="A72" s="144" t="s">
        <v>118</v>
      </c>
      <c r="B72" s="141"/>
      <c r="C72" s="141"/>
      <c r="D72" s="170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2"/>
      <c r="W72" s="170"/>
      <c r="X72" s="172"/>
      <c r="Y72" s="481"/>
      <c r="Z72" s="148"/>
      <c r="AA72" s="144" t="s">
        <v>118</v>
      </c>
      <c r="AB72" s="141"/>
      <c r="AC72" s="142"/>
      <c r="AD72" s="171"/>
      <c r="AE72" s="172"/>
    </row>
    <row r="73" spans="1:31" s="49" customFormat="1" ht="12.75" customHeight="1">
      <c r="A73" s="82" t="s">
        <v>114</v>
      </c>
      <c r="B73" s="83"/>
      <c r="C73" s="421" t="s">
        <v>35</v>
      </c>
      <c r="D73" s="80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413"/>
      <c r="W73" s="85"/>
      <c r="X73" s="72"/>
      <c r="Y73" s="481"/>
      <c r="Z73" s="154"/>
      <c r="AA73" s="82" t="s">
        <v>114</v>
      </c>
      <c r="AB73" s="83"/>
      <c r="AC73" s="84" t="s">
        <v>35</v>
      </c>
      <c r="AD73" s="151"/>
      <c r="AE73" s="129"/>
    </row>
    <row r="74" spans="1:31" s="51" customFormat="1" ht="12.75" customHeight="1">
      <c r="A74" s="71">
        <f aca="true" t="shared" si="14" ref="A74:B81">A61</f>
        <v>8</v>
      </c>
      <c r="B74" s="56">
        <f t="shared" si="14"/>
        <v>10</v>
      </c>
      <c r="C74" s="86" t="s">
        <v>6</v>
      </c>
      <c r="D74" s="80">
        <f aca="true" t="shared" si="15" ref="D74:X74">D61</f>
        <v>1.292764696953789</v>
      </c>
      <c r="E74" s="81">
        <f t="shared" si="15"/>
        <v>1.2600364767777437</v>
      </c>
      <c r="F74" s="81">
        <f t="shared" si="15"/>
        <v>1.2442860208180224</v>
      </c>
      <c r="G74" s="81">
        <f t="shared" si="15"/>
        <v>1.2442860208180224</v>
      </c>
      <c r="H74" s="81">
        <f t="shared" si="15"/>
        <v>1.3272384222058915</v>
      </c>
      <c r="I74" s="81">
        <f t="shared" si="15"/>
        <v>1.3451740765600246</v>
      </c>
      <c r="J74" s="81">
        <f t="shared" si="15"/>
        <v>1.3097747587558133</v>
      </c>
      <c r="K74" s="81">
        <f t="shared" si="15"/>
        <v>1.3097747587558133</v>
      </c>
      <c r="L74" s="81">
        <f t="shared" si="15"/>
        <v>1.3097747587558133</v>
      </c>
      <c r="M74" s="81">
        <f t="shared" si="15"/>
        <v>1.3825400231311347</v>
      </c>
      <c r="N74" s="81">
        <f t="shared" si="15"/>
        <v>1.3097747587558117</v>
      </c>
      <c r="O74" s="81">
        <f t="shared" si="15"/>
        <v>1.3097747587558133</v>
      </c>
      <c r="P74" s="81">
        <f t="shared" si="15"/>
        <v>1.3636011187046815</v>
      </c>
      <c r="Q74" s="81">
        <f t="shared" si="15"/>
        <v>1.292764696953789</v>
      </c>
      <c r="R74" s="81">
        <f t="shared" si="15"/>
        <v>1.3825400231311364</v>
      </c>
      <c r="S74" s="81">
        <f t="shared" si="15"/>
        <v>1.3097747587558133</v>
      </c>
      <c r="T74" s="81">
        <f t="shared" si="15"/>
        <v>1.260036476777745</v>
      </c>
      <c r="U74" s="81">
        <f t="shared" si="15"/>
        <v>1.2289244650054536</v>
      </c>
      <c r="V74" s="413">
        <f t="shared" si="15"/>
        <v>1.292764696953789</v>
      </c>
      <c r="W74" s="80">
        <f t="shared" si="15"/>
        <v>1.3039792509119</v>
      </c>
      <c r="X74" s="413">
        <f t="shared" si="15"/>
        <v>0.044307577069049975</v>
      </c>
      <c r="Y74" s="481"/>
      <c r="Z74" s="86"/>
      <c r="AA74" s="71">
        <f aca="true" t="shared" si="16" ref="AA74:AB81">A74</f>
        <v>8</v>
      </c>
      <c r="AB74" s="56">
        <f t="shared" si="16"/>
        <v>10</v>
      </c>
      <c r="AC74" s="72" t="s">
        <v>9</v>
      </c>
      <c r="AD74" s="86">
        <f aca="true" t="shared" si="17" ref="AD74:AE81">W74</f>
        <v>1.3039792509119</v>
      </c>
      <c r="AE74" s="72">
        <f t="shared" si="17"/>
        <v>0.044307577069049975</v>
      </c>
    </row>
    <row r="75" spans="1:31" s="51" customFormat="1" ht="12.75" customHeight="1">
      <c r="A75" s="71">
        <f t="shared" si="14"/>
        <v>8</v>
      </c>
      <c r="B75" s="56">
        <f t="shared" si="14"/>
        <v>10</v>
      </c>
      <c r="C75" s="86" t="s">
        <v>8</v>
      </c>
      <c r="D75" s="80">
        <f aca="true" t="shared" si="18" ref="D75:V75">D62</f>
        <v>1.3361460626233788</v>
      </c>
      <c r="E75" s="81">
        <f t="shared" si="18"/>
        <v>1.2844242795540874</v>
      </c>
      <c r="F75" s="81">
        <f t="shared" si="18"/>
        <v>1.2680621868209152</v>
      </c>
      <c r="G75" s="81">
        <f t="shared" si="18"/>
        <v>1.2521117190621607</v>
      </c>
      <c r="H75" s="81">
        <f t="shared" si="18"/>
        <v>1.3543249206182557</v>
      </c>
      <c r="I75" s="81">
        <f t="shared" si="18"/>
        <v>1.3361460626233803</v>
      </c>
      <c r="J75" s="81">
        <f t="shared" si="18"/>
        <v>1.3361460626233803</v>
      </c>
      <c r="K75" s="81">
        <f t="shared" si="18"/>
        <v>1.3543249206182557</v>
      </c>
      <c r="L75" s="81">
        <f t="shared" si="18"/>
        <v>1.000430971511978</v>
      </c>
      <c r="M75" s="81">
        <f t="shared" si="18"/>
        <v>1.2680621868209134</v>
      </c>
      <c r="N75" s="81">
        <f t="shared" si="18"/>
        <v>1.2844242795540874</v>
      </c>
      <c r="O75" s="81">
        <f t="shared" si="18"/>
        <v>1.3361460626233803</v>
      </c>
      <c r="P75" s="81">
        <f t="shared" si="18"/>
        <v>1.3184487637806859</v>
      </c>
      <c r="Q75" s="81">
        <f t="shared" si="18"/>
        <v>1.3184487637806859</v>
      </c>
      <c r="R75" s="81">
        <f t="shared" si="18"/>
        <v>1.3361460626233788</v>
      </c>
      <c r="S75" s="81">
        <f t="shared" si="18"/>
        <v>1.2844242795540888</v>
      </c>
      <c r="T75" s="81">
        <f t="shared" si="18"/>
        <v>1.2844242795540888</v>
      </c>
      <c r="U75" s="81">
        <f t="shared" si="18"/>
        <v>1.3184487637806874</v>
      </c>
      <c r="V75" s="413">
        <f t="shared" si="18"/>
        <v>1.3012141394175403</v>
      </c>
      <c r="W75" s="80">
        <f aca="true" t="shared" si="19" ref="W75:X81">W62</f>
        <v>1.2932791982918592</v>
      </c>
      <c r="X75" s="413">
        <f t="shared" si="19"/>
        <v>0.07733217098295786</v>
      </c>
      <c r="Y75" s="481"/>
      <c r="Z75" s="86"/>
      <c r="AA75" s="71">
        <f t="shared" si="16"/>
        <v>8</v>
      </c>
      <c r="AB75" s="56">
        <f t="shared" si="16"/>
        <v>10</v>
      </c>
      <c r="AC75" s="72" t="s">
        <v>7</v>
      </c>
      <c r="AD75" s="86">
        <f t="shared" si="17"/>
        <v>1.2932791982918592</v>
      </c>
      <c r="AE75" s="72">
        <f t="shared" si="17"/>
        <v>0.07733217098295786</v>
      </c>
    </row>
    <row r="76" spans="1:31" s="51" customFormat="1" ht="12.75" customHeight="1">
      <c r="A76" s="71">
        <f t="shared" si="14"/>
        <v>10</v>
      </c>
      <c r="B76" s="56">
        <f t="shared" si="14"/>
        <v>12</v>
      </c>
      <c r="C76" s="86" t="s">
        <v>6</v>
      </c>
      <c r="D76" s="80">
        <f aca="true" t="shared" si="20" ref="D76:V76">D63</f>
        <v>1.6055303494426107</v>
      </c>
      <c r="E76" s="81">
        <f t="shared" si="20"/>
        <v>1.5800457407212982</v>
      </c>
      <c r="F76" s="81">
        <f t="shared" si="20"/>
        <v>1.5800457407213002</v>
      </c>
      <c r="G76" s="81">
        <f t="shared" si="20"/>
        <v>1.5800457407213002</v>
      </c>
      <c r="H76" s="81">
        <f t="shared" si="20"/>
        <v>1.6318505191056032</v>
      </c>
      <c r="I76" s="81">
        <f t="shared" si="20"/>
        <v>1.6318505191056056</v>
      </c>
      <c r="J76" s="81">
        <f t="shared" si="20"/>
        <v>1.6318505191056056</v>
      </c>
      <c r="K76" s="81">
        <f t="shared" si="20"/>
        <v>1.659048027757362</v>
      </c>
      <c r="L76" s="81">
        <f t="shared" si="20"/>
        <v>1.6055303494426107</v>
      </c>
      <c r="M76" s="81">
        <f t="shared" si="20"/>
        <v>1.5800457407213002</v>
      </c>
      <c r="N76" s="81">
        <f t="shared" si="20"/>
        <v>1.605530349442613</v>
      </c>
      <c r="O76" s="81">
        <f t="shared" si="20"/>
        <v>1.6318505191056056</v>
      </c>
      <c r="P76" s="81">
        <f t="shared" si="20"/>
        <v>1.6590480277573645</v>
      </c>
      <c r="Q76" s="81">
        <f t="shared" si="20"/>
        <v>1.9908576333088384</v>
      </c>
      <c r="R76" s="81">
        <f t="shared" si="20"/>
        <v>1.878167578593242</v>
      </c>
      <c r="S76" s="81">
        <f t="shared" si="20"/>
        <v>1.6318505191056056</v>
      </c>
      <c r="T76" s="81">
        <f t="shared" si="20"/>
        <v>1.5800457407212982</v>
      </c>
      <c r="U76" s="81">
        <f t="shared" si="20"/>
        <v>1.5553575260225312</v>
      </c>
      <c r="V76" s="413">
        <f t="shared" si="20"/>
        <v>1.6318505191056056</v>
      </c>
      <c r="W76" s="80">
        <f t="shared" si="19"/>
        <v>1.6447579821056473</v>
      </c>
      <c r="X76" s="413">
        <f t="shared" si="19"/>
        <v>0.107811633230619</v>
      </c>
      <c r="Y76" s="481"/>
      <c r="Z76" s="86"/>
      <c r="AA76" s="71">
        <f t="shared" si="16"/>
        <v>10</v>
      </c>
      <c r="AB76" s="56">
        <f t="shared" si="16"/>
        <v>12</v>
      </c>
      <c r="AC76" s="72" t="s">
        <v>9</v>
      </c>
      <c r="AD76" s="86">
        <f t="shared" si="17"/>
        <v>1.6447579821056473</v>
      </c>
      <c r="AE76" s="72">
        <f t="shared" si="17"/>
        <v>0.107811633230619</v>
      </c>
    </row>
    <row r="77" spans="1:31" s="51" customFormat="1" ht="12.75" customHeight="1">
      <c r="A77" s="71">
        <f t="shared" si="14"/>
        <v>10</v>
      </c>
      <c r="B77" s="56">
        <f t="shared" si="14"/>
        <v>12</v>
      </c>
      <c r="C77" s="86" t="s">
        <v>8</v>
      </c>
      <c r="D77" s="80">
        <f aca="true" t="shared" si="21" ref="D77:V77">D64</f>
        <v>1.6590480277573645</v>
      </c>
      <c r="E77" s="81">
        <f t="shared" si="21"/>
        <v>1.5800457407212982</v>
      </c>
      <c r="F77" s="81">
        <f t="shared" si="21"/>
        <v>1.5314289486991044</v>
      </c>
      <c r="G77" s="81">
        <f t="shared" si="21"/>
        <v>1.6871674858549481</v>
      </c>
      <c r="H77" s="81">
        <f t="shared" si="21"/>
        <v>1.6590480277573645</v>
      </c>
      <c r="I77" s="81">
        <f t="shared" si="21"/>
        <v>1.6318505191056032</v>
      </c>
      <c r="J77" s="81">
        <f t="shared" si="21"/>
        <v>1.659048027757362</v>
      </c>
      <c r="K77" s="81">
        <f t="shared" si="21"/>
        <v>1.6590480277573645</v>
      </c>
      <c r="L77" s="81">
        <f t="shared" si="21"/>
        <v>2.765080046262273</v>
      </c>
      <c r="M77" s="81">
        <f t="shared" si="21"/>
        <v>1.6590480277573645</v>
      </c>
      <c r="N77" s="81">
        <f t="shared" si="21"/>
        <v>1.6590480277573645</v>
      </c>
      <c r="O77" s="81">
        <f t="shared" si="21"/>
        <v>1.659048027757362</v>
      </c>
      <c r="P77" s="81">
        <f t="shared" si="21"/>
        <v>1.746366345007751</v>
      </c>
      <c r="Q77" s="81">
        <f t="shared" si="21"/>
        <v>1.6590480277573645</v>
      </c>
      <c r="R77" s="81">
        <f t="shared" si="21"/>
        <v>1.6871674858549481</v>
      </c>
      <c r="S77" s="81">
        <f t="shared" si="21"/>
        <v>1.6055303494426107</v>
      </c>
      <c r="T77" s="81">
        <f t="shared" si="21"/>
        <v>1.6318505191056032</v>
      </c>
      <c r="U77" s="81">
        <f t="shared" si="21"/>
        <v>1.659048027757362</v>
      </c>
      <c r="V77" s="413">
        <f t="shared" si="21"/>
        <v>1.6590480277573645</v>
      </c>
      <c r="W77" s="80">
        <f t="shared" si="19"/>
        <v>1.7082614588225145</v>
      </c>
      <c r="X77" s="413">
        <f t="shared" si="19"/>
        <v>0.25963296633351707</v>
      </c>
      <c r="Y77" s="481"/>
      <c r="Z77" s="86"/>
      <c r="AA77" s="71">
        <f t="shared" si="16"/>
        <v>10</v>
      </c>
      <c r="AB77" s="56">
        <f t="shared" si="16"/>
        <v>12</v>
      </c>
      <c r="AC77" s="72" t="s">
        <v>7</v>
      </c>
      <c r="AD77" s="86">
        <f t="shared" si="17"/>
        <v>1.7082614588225145</v>
      </c>
      <c r="AE77" s="72">
        <f t="shared" si="17"/>
        <v>0.25963296633351707</v>
      </c>
    </row>
    <row r="78" spans="1:31" s="51" customFormat="1" ht="12.75" customHeight="1">
      <c r="A78" s="71">
        <f t="shared" si="14"/>
        <v>12</v>
      </c>
      <c r="B78" s="56">
        <f t="shared" si="14"/>
        <v>14</v>
      </c>
      <c r="C78" s="86" t="s">
        <v>6</v>
      </c>
      <c r="D78" s="80">
        <f aca="true" t="shared" si="22" ref="D78:V78">D65</f>
        <v>1.373005264350922</v>
      </c>
      <c r="E78" s="81">
        <f t="shared" si="22"/>
        <v>1.3361460626233819</v>
      </c>
      <c r="F78" s="81">
        <f t="shared" si="22"/>
        <v>1.392208135181004</v>
      </c>
      <c r="G78" s="81">
        <f t="shared" si="22"/>
        <v>1.3543249206182557</v>
      </c>
      <c r="H78" s="81">
        <f t="shared" si="22"/>
        <v>1.3922081351810056</v>
      </c>
      <c r="I78" s="81">
        <f t="shared" si="22"/>
        <v>1.3931823885996062</v>
      </c>
      <c r="J78" s="81">
        <f t="shared" si="22"/>
        <v>1.3361460626233788</v>
      </c>
      <c r="K78" s="81">
        <f t="shared" si="22"/>
        <v>1.3012141394175418</v>
      </c>
      <c r="L78" s="81">
        <f t="shared" si="22"/>
        <v>1.453180754240027</v>
      </c>
      <c r="M78" s="81">
        <f t="shared" si="22"/>
        <v>1.4322716786394505</v>
      </c>
      <c r="N78" s="81">
        <f t="shared" si="22"/>
        <v>1.373005264350922</v>
      </c>
      <c r="O78" s="81">
        <f t="shared" si="22"/>
        <v>1.3543249206182557</v>
      </c>
      <c r="P78" s="81">
        <f t="shared" si="22"/>
        <v>1.453180754240027</v>
      </c>
      <c r="Q78" s="81">
        <f t="shared" si="22"/>
        <v>1.373005264350922</v>
      </c>
      <c r="R78" s="81">
        <f t="shared" si="22"/>
        <v>1.4747093580065451</v>
      </c>
      <c r="S78" s="81">
        <f t="shared" si="22"/>
        <v>1.4119557683041382</v>
      </c>
      <c r="T78" s="81">
        <f t="shared" si="22"/>
        <v>1.3012141394175403</v>
      </c>
      <c r="U78" s="81">
        <f t="shared" si="22"/>
        <v>1.3543249206182557</v>
      </c>
      <c r="V78" s="413">
        <f t="shared" si="22"/>
        <v>1.3012141394175403</v>
      </c>
      <c r="W78" s="80">
        <f t="shared" si="19"/>
        <v>1.3768853721473011</v>
      </c>
      <c r="X78" s="413">
        <f t="shared" si="19"/>
        <v>0.05180847317981143</v>
      </c>
      <c r="Y78" s="481"/>
      <c r="Z78" s="86"/>
      <c r="AA78" s="71">
        <f t="shared" si="16"/>
        <v>12</v>
      </c>
      <c r="AB78" s="56">
        <f t="shared" si="16"/>
        <v>14</v>
      </c>
      <c r="AC78" s="72" t="s">
        <v>9</v>
      </c>
      <c r="AD78" s="86">
        <f t="shared" si="17"/>
        <v>1.3768853721473011</v>
      </c>
      <c r="AE78" s="72">
        <f t="shared" si="17"/>
        <v>0.05180847317981143</v>
      </c>
    </row>
    <row r="79" spans="1:31" s="51" customFormat="1" ht="12.75" customHeight="1">
      <c r="A79" s="71">
        <f t="shared" si="14"/>
        <v>12</v>
      </c>
      <c r="B79" s="56">
        <f t="shared" si="14"/>
        <v>14</v>
      </c>
      <c r="C79" s="86" t="s">
        <v>8</v>
      </c>
      <c r="D79" s="80">
        <f aca="true" t="shared" si="23" ref="D79:V79">D66</f>
        <v>1.4322716786394523</v>
      </c>
      <c r="E79" s="81">
        <f t="shared" si="23"/>
        <v>1.453180754240027</v>
      </c>
      <c r="F79" s="81">
        <f t="shared" si="23"/>
        <v>1.453180754240027</v>
      </c>
      <c r="G79" s="81">
        <f t="shared" si="23"/>
        <v>1.392208135181004</v>
      </c>
      <c r="H79" s="81">
        <f t="shared" si="23"/>
        <v>1.373005264350922</v>
      </c>
      <c r="I79" s="81">
        <f t="shared" si="23"/>
        <v>1.3922081351810056</v>
      </c>
      <c r="J79" s="81">
        <f t="shared" si="23"/>
        <v>1.453180754240027</v>
      </c>
      <c r="K79" s="81">
        <f t="shared" si="23"/>
        <v>1.4322716786394523</v>
      </c>
      <c r="L79" s="81">
        <f t="shared" si="23"/>
        <v>1.4747093580065471</v>
      </c>
      <c r="M79" s="81">
        <f t="shared" si="23"/>
        <v>1.4968854385780732</v>
      </c>
      <c r="N79" s="81">
        <f t="shared" si="23"/>
        <v>1.373005264350922</v>
      </c>
      <c r="O79" s="81">
        <f t="shared" si="23"/>
        <v>1.5197386513807931</v>
      </c>
      <c r="P79" s="81">
        <f t="shared" si="23"/>
        <v>1.3922081351810056</v>
      </c>
      <c r="Q79" s="81">
        <f t="shared" si="23"/>
        <v>1.567604435676249</v>
      </c>
      <c r="R79" s="81">
        <f t="shared" si="23"/>
        <v>1.567604435676249</v>
      </c>
      <c r="S79" s="81">
        <f t="shared" si="23"/>
        <v>1.453180754240027</v>
      </c>
      <c r="T79" s="81">
        <f t="shared" si="23"/>
        <v>1.4747093580065451</v>
      </c>
      <c r="U79" s="81">
        <f t="shared" si="23"/>
        <v>1.5197386513807911</v>
      </c>
      <c r="V79" s="413">
        <f t="shared" si="23"/>
        <v>1.373005264350922</v>
      </c>
      <c r="W79" s="80">
        <f t="shared" si="19"/>
        <v>1.4523103632389494</v>
      </c>
      <c r="X79" s="413">
        <f t="shared" si="19"/>
        <v>0.061994542457364375</v>
      </c>
      <c r="Y79" s="481"/>
      <c r="Z79" s="86"/>
      <c r="AA79" s="71">
        <f t="shared" si="16"/>
        <v>12</v>
      </c>
      <c r="AB79" s="56">
        <f t="shared" si="16"/>
        <v>14</v>
      </c>
      <c r="AC79" s="72" t="s">
        <v>7</v>
      </c>
      <c r="AD79" s="86">
        <f t="shared" si="17"/>
        <v>1.4523103632389494</v>
      </c>
      <c r="AE79" s="72">
        <f t="shared" si="17"/>
        <v>0.061994542457364375</v>
      </c>
    </row>
    <row r="80" spans="1:31" s="51" customFormat="1" ht="12.75" customHeight="1">
      <c r="A80" s="71">
        <f t="shared" si="14"/>
        <v>10</v>
      </c>
      <c r="B80" s="56">
        <f t="shared" si="14"/>
        <v>14</v>
      </c>
      <c r="C80" s="86" t="s">
        <v>6</v>
      </c>
      <c r="D80" s="80">
        <f aca="true" t="shared" si="24" ref="D80:V80">D67</f>
        <v>1.4801915489285034</v>
      </c>
      <c r="E80" s="81">
        <f t="shared" si="24"/>
        <v>1.4478964605882454</v>
      </c>
      <c r="F80" s="81">
        <f t="shared" si="24"/>
        <v>1.4801915489285034</v>
      </c>
      <c r="G80" s="81">
        <f t="shared" si="24"/>
        <v>1.4585037606658147</v>
      </c>
      <c r="H80" s="81">
        <f t="shared" si="24"/>
        <v>1.502534062874594</v>
      </c>
      <c r="I80" s="81">
        <f t="shared" si="24"/>
        <v>1.5031012709013498</v>
      </c>
      <c r="J80" s="81">
        <f t="shared" si="24"/>
        <v>1.4692676260581818</v>
      </c>
      <c r="K80" s="81">
        <f t="shared" si="24"/>
        <v>1.4585037606658147</v>
      </c>
      <c r="L80" s="81">
        <f t="shared" si="24"/>
        <v>1.5255614048343582</v>
      </c>
      <c r="M80" s="81">
        <f t="shared" si="24"/>
        <v>1.502534062874594</v>
      </c>
      <c r="N80" s="81">
        <f t="shared" si="24"/>
        <v>1.4801915489285042</v>
      </c>
      <c r="O80" s="81">
        <f t="shared" si="24"/>
        <v>1.4801915489285034</v>
      </c>
      <c r="P80" s="81">
        <f t="shared" si="24"/>
        <v>1.5493055512131029</v>
      </c>
      <c r="Q80" s="81">
        <f t="shared" si="24"/>
        <v>1.6251899047419085</v>
      </c>
      <c r="R80" s="81">
        <f t="shared" si="24"/>
        <v>1.6521640110446774</v>
      </c>
      <c r="S80" s="81">
        <f t="shared" si="24"/>
        <v>1.5139601774211684</v>
      </c>
      <c r="T80" s="81">
        <f t="shared" si="24"/>
        <v>1.427138088393431</v>
      </c>
      <c r="U80" s="81">
        <f t="shared" si="24"/>
        <v>1.4478964605882454</v>
      </c>
      <c r="V80" s="413">
        <f t="shared" si="24"/>
        <v>1.4478964605882454</v>
      </c>
      <c r="W80" s="80">
        <f t="shared" si="19"/>
        <v>1.4974852241667236</v>
      </c>
      <c r="X80" s="413">
        <f t="shared" si="19"/>
        <v>0.058413782124568964</v>
      </c>
      <c r="Y80" s="481"/>
      <c r="Z80" s="86"/>
      <c r="AA80" s="71">
        <f t="shared" si="16"/>
        <v>10</v>
      </c>
      <c r="AB80" s="56">
        <f t="shared" si="16"/>
        <v>14</v>
      </c>
      <c r="AC80" s="72" t="s">
        <v>9</v>
      </c>
      <c r="AD80" s="86">
        <f t="shared" si="17"/>
        <v>1.4974852241667236</v>
      </c>
      <c r="AE80" s="72">
        <f t="shared" si="17"/>
        <v>0.058413782124568964</v>
      </c>
    </row>
    <row r="81" spans="1:31" s="51" customFormat="1" ht="12.75" customHeight="1">
      <c r="A81" s="71">
        <f t="shared" si="14"/>
        <v>10</v>
      </c>
      <c r="B81" s="56">
        <f t="shared" si="14"/>
        <v>14</v>
      </c>
      <c r="C81" s="86" t="s">
        <v>8</v>
      </c>
      <c r="D81" s="80">
        <f aca="true" t="shared" si="25" ref="D81:V81">D68</f>
        <v>1.5373418017828864</v>
      </c>
      <c r="E81" s="81">
        <f t="shared" si="25"/>
        <v>1.5139601774211684</v>
      </c>
      <c r="F81" s="81">
        <f t="shared" si="25"/>
        <v>1.4912791260740348</v>
      </c>
      <c r="G81" s="81">
        <f t="shared" si="25"/>
        <v>1.5255614048343582</v>
      </c>
      <c r="H81" s="81">
        <f t="shared" si="25"/>
        <v>1.502534062874594</v>
      </c>
      <c r="I81" s="81">
        <f t="shared" si="25"/>
        <v>1.502534062874594</v>
      </c>
      <c r="J81" s="81">
        <f t="shared" si="25"/>
        <v>1.5493055512131018</v>
      </c>
      <c r="K81" s="81">
        <f t="shared" si="25"/>
        <v>1.5373418017828864</v>
      </c>
      <c r="L81" s="81">
        <f t="shared" si="25"/>
        <v>1.9235339452259304</v>
      </c>
      <c r="M81" s="81">
        <f t="shared" si="25"/>
        <v>1.5738005006393971</v>
      </c>
      <c r="N81" s="81">
        <f t="shared" si="25"/>
        <v>1.502534062874594</v>
      </c>
      <c r="O81" s="81">
        <f t="shared" si="25"/>
        <v>1.5863407436723798</v>
      </c>
      <c r="P81" s="81">
        <f t="shared" si="25"/>
        <v>1.5493055512131029</v>
      </c>
      <c r="Q81" s="81">
        <f t="shared" si="25"/>
        <v>1.6120304723148475</v>
      </c>
      <c r="R81" s="81">
        <f t="shared" si="25"/>
        <v>1.6251899047419085</v>
      </c>
      <c r="S81" s="81">
        <f t="shared" si="25"/>
        <v>1.5255614048343582</v>
      </c>
      <c r="T81" s="81">
        <f t="shared" si="25"/>
        <v>1.5493055512131018</v>
      </c>
      <c r="U81" s="81">
        <f t="shared" si="25"/>
        <v>1.5863407436723787</v>
      </c>
      <c r="V81" s="413">
        <f t="shared" si="25"/>
        <v>1.502534062874594</v>
      </c>
      <c r="W81" s="80">
        <f t="shared" si="19"/>
        <v>1.562964996428117</v>
      </c>
      <c r="X81" s="413">
        <f t="shared" si="19"/>
        <v>0.09554475633245813</v>
      </c>
      <c r="Y81" s="481"/>
      <c r="Z81" s="86"/>
      <c r="AA81" s="71">
        <f t="shared" si="16"/>
        <v>10</v>
      </c>
      <c r="AB81" s="56">
        <f t="shared" si="16"/>
        <v>14</v>
      </c>
      <c r="AC81" s="72" t="s">
        <v>7</v>
      </c>
      <c r="AD81" s="86">
        <f t="shared" si="17"/>
        <v>1.562964996428117</v>
      </c>
      <c r="AE81" s="72">
        <f t="shared" si="17"/>
        <v>0.09554475633245813</v>
      </c>
    </row>
    <row r="82" spans="1:31" s="51" customFormat="1" ht="12.75" customHeight="1">
      <c r="A82" s="71"/>
      <c r="B82" s="56"/>
      <c r="C82" s="86"/>
      <c r="D82" s="80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413"/>
      <c r="W82" s="85"/>
      <c r="X82" s="72"/>
      <c r="Y82" s="481"/>
      <c r="Z82" s="86"/>
      <c r="AA82" s="71"/>
      <c r="AB82" s="56"/>
      <c r="AC82" s="72"/>
      <c r="AD82" s="86"/>
      <c r="AE82" s="72"/>
    </row>
    <row r="83" spans="1:31" s="51" customFormat="1" ht="12.75" customHeight="1">
      <c r="A83" s="71"/>
      <c r="B83" s="56"/>
      <c r="C83" s="86"/>
      <c r="D83" s="80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413"/>
      <c r="W83" s="85"/>
      <c r="X83" s="72"/>
      <c r="Y83" s="481"/>
      <c r="Z83" s="86"/>
      <c r="AA83" s="71"/>
      <c r="AB83" s="56"/>
      <c r="AC83" s="72"/>
      <c r="AD83" s="86"/>
      <c r="AE83" s="72"/>
    </row>
    <row r="84" spans="1:31" s="51" customFormat="1" ht="12.75" customHeight="1">
      <c r="A84" s="73" t="s">
        <v>119</v>
      </c>
      <c r="B84" s="58"/>
      <c r="C84" s="86"/>
      <c r="D84" s="80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413"/>
      <c r="W84" s="85"/>
      <c r="X84" s="72"/>
      <c r="Y84" s="481"/>
      <c r="Z84" s="86"/>
      <c r="AA84" s="73" t="s">
        <v>119</v>
      </c>
      <c r="AB84" s="58"/>
      <c r="AC84" s="72"/>
      <c r="AD84" s="86"/>
      <c r="AE84" s="72"/>
    </row>
    <row r="85" spans="1:31" s="49" customFormat="1" ht="12.75" customHeight="1">
      <c r="A85" s="71" t="str">
        <f>$C$3</f>
        <v>O-004 2nd sizing</v>
      </c>
      <c r="B85" s="56" t="str">
        <f>$C$4</f>
        <v>outer</v>
      </c>
      <c r="C85" s="56" t="s">
        <v>9</v>
      </c>
      <c r="D85" s="80">
        <f>D50*1000</f>
        <v>11.889999999999999</v>
      </c>
      <c r="E85" s="81">
        <f aca="true" t="shared" si="26" ref="E85:X86">E50*1000</f>
        <v>11.93</v>
      </c>
      <c r="F85" s="81">
        <f t="shared" si="26"/>
        <v>12.149999999999999</v>
      </c>
      <c r="G85" s="81">
        <f t="shared" si="26"/>
        <v>12.05</v>
      </c>
      <c r="H85" s="81">
        <f t="shared" si="26"/>
        <v>12.09</v>
      </c>
      <c r="I85" s="81">
        <f t="shared" si="26"/>
        <v>11.93</v>
      </c>
      <c r="J85" s="81">
        <f t="shared" si="26"/>
        <v>11.67</v>
      </c>
      <c r="K85" s="81">
        <f t="shared" si="26"/>
        <v>11.709999999999999</v>
      </c>
      <c r="L85" s="81">
        <f t="shared" si="26"/>
        <v>12.01</v>
      </c>
      <c r="M85" s="81">
        <f t="shared" si="26"/>
        <v>11.729999999999999</v>
      </c>
      <c r="N85" s="81">
        <f t="shared" si="26"/>
        <v>12.549999999999999</v>
      </c>
      <c r="O85" s="81">
        <f t="shared" si="26"/>
        <v>11.93</v>
      </c>
      <c r="P85" s="81">
        <f t="shared" si="26"/>
        <v>11.53</v>
      </c>
      <c r="Q85" s="81">
        <f t="shared" si="26"/>
        <v>10.95</v>
      </c>
      <c r="R85" s="81">
        <f t="shared" si="26"/>
        <v>10.61</v>
      </c>
      <c r="S85" s="81">
        <f t="shared" si="26"/>
        <v>11.59</v>
      </c>
      <c r="T85" s="81">
        <f t="shared" si="26"/>
        <v>12.35</v>
      </c>
      <c r="U85" s="81">
        <f t="shared" si="26"/>
        <v>12.409999999999998</v>
      </c>
      <c r="V85" s="413">
        <f t="shared" si="26"/>
        <v>11.53</v>
      </c>
      <c r="W85" s="80">
        <f t="shared" si="26"/>
        <v>11.821578947368419</v>
      </c>
      <c r="X85" s="413">
        <f t="shared" si="26"/>
        <v>0.4689617747736091</v>
      </c>
      <c r="Y85" s="481"/>
      <c r="Z85" s="56"/>
      <c r="AA85" s="71" t="str">
        <f>$C$3</f>
        <v>O-004 2nd sizing</v>
      </c>
      <c r="AB85" s="56" t="str">
        <f>$C$4</f>
        <v>outer</v>
      </c>
      <c r="AC85" s="69" t="s">
        <v>9</v>
      </c>
      <c r="AD85" s="86">
        <f>W85</f>
        <v>11.821578947368419</v>
      </c>
      <c r="AE85" s="72">
        <f>X85</f>
        <v>0.4689617747736091</v>
      </c>
    </row>
    <row r="86" spans="1:31" s="49" customFormat="1" ht="12.75" customHeight="1">
      <c r="A86" s="74" t="str">
        <f>$C$3</f>
        <v>O-004 2nd sizing</v>
      </c>
      <c r="B86" s="52" t="str">
        <f>$C$4</f>
        <v>outer</v>
      </c>
      <c r="C86" s="52" t="s">
        <v>7</v>
      </c>
      <c r="D86" s="130">
        <f>D51*1000</f>
        <v>11.86</v>
      </c>
      <c r="E86" s="131">
        <f aca="true" t="shared" si="27" ref="E86:V86">E51*1000</f>
        <v>11.92</v>
      </c>
      <c r="F86" s="131">
        <f t="shared" si="27"/>
        <v>12.16</v>
      </c>
      <c r="G86" s="131">
        <f t="shared" si="27"/>
        <v>11.979999999999999</v>
      </c>
      <c r="H86" s="131">
        <f t="shared" si="27"/>
        <v>11.86</v>
      </c>
      <c r="I86" s="131">
        <f t="shared" si="27"/>
        <v>11.92</v>
      </c>
      <c r="J86" s="131">
        <f t="shared" si="27"/>
        <v>11.620000000000001</v>
      </c>
      <c r="K86" s="131">
        <f t="shared" si="27"/>
        <v>11.68</v>
      </c>
      <c r="L86" s="131">
        <f t="shared" si="27"/>
        <v>12.52</v>
      </c>
      <c r="M86" s="131">
        <f t="shared" si="27"/>
        <v>12.54</v>
      </c>
      <c r="N86" s="131">
        <f t="shared" si="27"/>
        <v>13.219999999999999</v>
      </c>
      <c r="O86" s="131">
        <f t="shared" si="27"/>
        <v>13.48</v>
      </c>
      <c r="P86" s="131">
        <f t="shared" si="27"/>
        <v>13.620000000000001</v>
      </c>
      <c r="Q86" s="131">
        <f t="shared" si="27"/>
        <v>13.299999999999999</v>
      </c>
      <c r="R86" s="131">
        <f t="shared" si="27"/>
        <v>13.18</v>
      </c>
      <c r="S86" s="131">
        <f t="shared" si="27"/>
        <v>12.38</v>
      </c>
      <c r="T86" s="131">
        <f t="shared" si="27"/>
        <v>12.72</v>
      </c>
      <c r="U86" s="131">
        <f t="shared" si="27"/>
        <v>13.440000000000001</v>
      </c>
      <c r="V86" s="414">
        <f t="shared" si="27"/>
        <v>13.799999999999999</v>
      </c>
      <c r="W86" s="130">
        <f t="shared" si="26"/>
        <v>12.589473684210526</v>
      </c>
      <c r="X86" s="414">
        <f t="shared" si="26"/>
        <v>0.7320706833223464</v>
      </c>
      <c r="Y86" s="481"/>
      <c r="Z86" s="52"/>
      <c r="AA86" s="74" t="str">
        <f>$C$3</f>
        <v>O-004 2nd sizing</v>
      </c>
      <c r="AB86" s="52" t="str">
        <f>$C$4</f>
        <v>outer</v>
      </c>
      <c r="AC86" s="70" t="s">
        <v>7</v>
      </c>
      <c r="AD86" s="88">
        <f>W86</f>
        <v>12.589473684210526</v>
      </c>
      <c r="AE86" s="89">
        <f>X86</f>
        <v>0.7320706833223464</v>
      </c>
    </row>
    <row r="87" spans="1:26" s="49" customFormat="1" ht="12.75" customHeight="1">
      <c r="A87" s="53"/>
      <c r="B87" s="56"/>
      <c r="C87" s="3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86"/>
      <c r="X87" s="127"/>
      <c r="Y87" s="481"/>
      <c r="Z87" s="3"/>
    </row>
    <row r="88" spans="1:31" s="49" customFormat="1" ht="12.75" customHeight="1">
      <c r="A88" s="66" t="s">
        <v>69</v>
      </c>
      <c r="B88" s="57"/>
      <c r="C88" s="3"/>
      <c r="D88" s="462" t="str">
        <f>$C$3</f>
        <v>O-004 2nd sizing</v>
      </c>
      <c r="E88" s="462"/>
      <c r="F88" s="462" t="str">
        <f>$C$4</f>
        <v>outer</v>
      </c>
      <c r="G88" s="462" t="s">
        <v>115</v>
      </c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86"/>
      <c r="X88" s="127"/>
      <c r="Y88" s="481"/>
      <c r="Z88" s="3"/>
      <c r="AA88" s="66" t="s">
        <v>69</v>
      </c>
      <c r="AB88" s="54"/>
      <c r="AC88" s="54"/>
      <c r="AD88" s="169" t="str">
        <f>D88</f>
        <v>O-004 2nd sizing</v>
      </c>
      <c r="AE88" s="185" t="str">
        <f>F88</f>
        <v>outer</v>
      </c>
    </row>
    <row r="89" spans="1:31" s="176" customFormat="1" ht="12.75" customHeight="1">
      <c r="A89" s="147" t="s">
        <v>116</v>
      </c>
      <c r="B89" s="148"/>
      <c r="C89" s="149"/>
      <c r="D89" s="170">
        <v>1</v>
      </c>
      <c r="E89" s="171">
        <f aca="true" t="shared" si="28" ref="E89:N89">D89+1</f>
        <v>2</v>
      </c>
      <c r="F89" s="171">
        <f t="shared" si="28"/>
        <v>3</v>
      </c>
      <c r="G89" s="171">
        <f t="shared" si="28"/>
        <v>4</v>
      </c>
      <c r="H89" s="171">
        <f t="shared" si="28"/>
        <v>5</v>
      </c>
      <c r="I89" s="171">
        <f t="shared" si="28"/>
        <v>6</v>
      </c>
      <c r="J89" s="171">
        <f t="shared" si="28"/>
        <v>7</v>
      </c>
      <c r="K89" s="171">
        <f t="shared" si="28"/>
        <v>8</v>
      </c>
      <c r="L89" s="171">
        <f t="shared" si="28"/>
        <v>9</v>
      </c>
      <c r="M89" s="171">
        <f t="shared" si="28"/>
        <v>10</v>
      </c>
      <c r="N89" s="171">
        <f t="shared" si="28"/>
        <v>11</v>
      </c>
      <c r="O89" s="171">
        <f aca="true" t="shared" si="29" ref="O89:V89">N89+1</f>
        <v>12</v>
      </c>
      <c r="P89" s="171">
        <f t="shared" si="29"/>
        <v>13</v>
      </c>
      <c r="Q89" s="171">
        <f t="shared" si="29"/>
        <v>14</v>
      </c>
      <c r="R89" s="171">
        <f t="shared" si="29"/>
        <v>15</v>
      </c>
      <c r="S89" s="171">
        <f t="shared" si="29"/>
        <v>16</v>
      </c>
      <c r="T89" s="171">
        <f t="shared" si="29"/>
        <v>17</v>
      </c>
      <c r="U89" s="171">
        <f t="shared" si="29"/>
        <v>18</v>
      </c>
      <c r="V89" s="171">
        <f t="shared" si="29"/>
        <v>19</v>
      </c>
      <c r="W89" s="422" t="s">
        <v>0</v>
      </c>
      <c r="X89" s="429" t="s">
        <v>117</v>
      </c>
      <c r="Y89" s="481"/>
      <c r="Z89" s="481"/>
      <c r="AA89" s="157" t="str">
        <f aca="true" t="shared" si="30" ref="AA89:AA99">A89</f>
        <v>Axial location from lead end </v>
      </c>
      <c r="AB89" s="158"/>
      <c r="AC89" s="159"/>
      <c r="AD89" s="174" t="s">
        <v>0</v>
      </c>
      <c r="AE89" s="175" t="s">
        <v>117</v>
      </c>
    </row>
    <row r="90" spans="1:31" s="54" customFormat="1" ht="12.75" customHeight="1">
      <c r="A90" s="78" t="s">
        <v>120</v>
      </c>
      <c r="B90" s="75"/>
      <c r="C90" s="415"/>
      <c r="D90" s="132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424"/>
      <c r="W90" s="427"/>
      <c r="X90" s="134"/>
      <c r="Y90" s="516"/>
      <c r="Z90" s="516"/>
      <c r="AA90" s="157" t="str">
        <f t="shared" si="30"/>
        <v>Coil modulus [GPa]</v>
      </c>
      <c r="AB90" s="158"/>
      <c r="AC90" s="159"/>
      <c r="AD90" s="174"/>
      <c r="AE90" s="175"/>
    </row>
    <row r="91" spans="1:31" s="55" customFormat="1" ht="12.75" customHeight="1">
      <c r="A91" s="160" t="s">
        <v>121</v>
      </c>
      <c r="B91" s="161"/>
      <c r="C91" s="416" t="s">
        <v>35</v>
      </c>
      <c r="D91" s="135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417"/>
      <c r="W91" s="428"/>
      <c r="X91" s="137"/>
      <c r="Y91" s="516"/>
      <c r="Z91" s="516"/>
      <c r="AA91" s="160" t="str">
        <f t="shared" si="30"/>
        <v>Pressure range [MPa]</v>
      </c>
      <c r="AB91" s="161"/>
      <c r="AC91" s="162" t="s">
        <v>35</v>
      </c>
      <c r="AD91" s="152"/>
      <c r="AE91" s="134"/>
    </row>
    <row r="92" spans="1:31" s="55" customFormat="1" ht="12.75" customHeight="1">
      <c r="A92" s="91">
        <f aca="true" t="shared" si="31" ref="A92:B99">A74*6.895</f>
        <v>55.16</v>
      </c>
      <c r="B92" s="92">
        <f t="shared" si="31"/>
        <v>68.94999999999999</v>
      </c>
      <c r="C92" s="60" t="str">
        <f aca="true" t="shared" si="32" ref="C92:C99">C74</f>
        <v>A</v>
      </c>
      <c r="D92" s="135">
        <f aca="true" t="shared" si="33" ref="D92:M99">D74*6.895</f>
        <v>8.913612585496374</v>
      </c>
      <c r="E92" s="136">
        <f t="shared" si="33"/>
        <v>8.687951507382541</v>
      </c>
      <c r="F92" s="136">
        <f t="shared" si="33"/>
        <v>8.579352113540264</v>
      </c>
      <c r="G92" s="136">
        <f t="shared" si="33"/>
        <v>8.579352113540264</v>
      </c>
      <c r="H92" s="136">
        <f t="shared" si="33"/>
        <v>9.15130892110962</v>
      </c>
      <c r="I92" s="136">
        <f t="shared" si="33"/>
        <v>9.27497525788137</v>
      </c>
      <c r="J92" s="136">
        <f t="shared" si="33"/>
        <v>9.030896961621332</v>
      </c>
      <c r="K92" s="136">
        <f t="shared" si="33"/>
        <v>9.030896961621332</v>
      </c>
      <c r="L92" s="136">
        <f t="shared" si="33"/>
        <v>9.030896961621332</v>
      </c>
      <c r="M92" s="136">
        <f t="shared" si="33"/>
        <v>9.532613459489173</v>
      </c>
      <c r="N92" s="136">
        <f aca="true" t="shared" si="34" ref="N92:X99">N74*6.895</f>
        <v>9.030896961621321</v>
      </c>
      <c r="O92" s="136">
        <f t="shared" si="34"/>
        <v>9.030896961621332</v>
      </c>
      <c r="P92" s="136">
        <f t="shared" si="34"/>
        <v>9.402029713468778</v>
      </c>
      <c r="Q92" s="136">
        <f t="shared" si="34"/>
        <v>8.913612585496374</v>
      </c>
      <c r="R92" s="136">
        <f t="shared" si="34"/>
        <v>9.532613459489186</v>
      </c>
      <c r="S92" s="136">
        <f t="shared" si="34"/>
        <v>9.030896961621332</v>
      </c>
      <c r="T92" s="136">
        <f t="shared" si="34"/>
        <v>8.687951507382552</v>
      </c>
      <c r="U92" s="136">
        <f t="shared" si="34"/>
        <v>8.473434186212602</v>
      </c>
      <c r="V92" s="417">
        <f t="shared" si="34"/>
        <v>8.913612585496374</v>
      </c>
      <c r="W92" s="428">
        <f t="shared" si="34"/>
        <v>8.99093693503755</v>
      </c>
      <c r="X92" s="137">
        <f t="shared" si="34"/>
        <v>0.30550074389109955</v>
      </c>
      <c r="Y92" s="516"/>
      <c r="Z92" s="516"/>
      <c r="AA92" s="79">
        <f t="shared" si="30"/>
        <v>55.16</v>
      </c>
      <c r="AB92" s="60">
        <f aca="true" t="shared" si="35" ref="AB92:AB99">B92</f>
        <v>68.94999999999999</v>
      </c>
      <c r="AC92" s="137" t="s">
        <v>9</v>
      </c>
      <c r="AD92" s="153">
        <f aca="true" t="shared" si="36" ref="AD92:AE99">W92</f>
        <v>8.99093693503755</v>
      </c>
      <c r="AE92" s="137">
        <f t="shared" si="36"/>
        <v>0.30550074389109955</v>
      </c>
    </row>
    <row r="93" spans="1:31" s="55" customFormat="1" ht="12.75" customHeight="1">
      <c r="A93" s="91">
        <f t="shared" si="31"/>
        <v>55.16</v>
      </c>
      <c r="B93" s="92">
        <f t="shared" si="31"/>
        <v>68.94999999999999</v>
      </c>
      <c r="C93" s="60" t="str">
        <f t="shared" si="32"/>
        <v>B</v>
      </c>
      <c r="D93" s="135">
        <f t="shared" si="33"/>
        <v>9.212727101788197</v>
      </c>
      <c r="E93" s="136">
        <f t="shared" si="33"/>
        <v>8.856105407525432</v>
      </c>
      <c r="F93" s="136">
        <f t="shared" si="33"/>
        <v>8.74328877813021</v>
      </c>
      <c r="G93" s="136">
        <f t="shared" si="33"/>
        <v>8.633310302933598</v>
      </c>
      <c r="H93" s="136">
        <f t="shared" si="33"/>
        <v>9.338070327662873</v>
      </c>
      <c r="I93" s="136">
        <f t="shared" si="33"/>
        <v>9.212727101788207</v>
      </c>
      <c r="J93" s="136">
        <f t="shared" si="33"/>
        <v>9.212727101788207</v>
      </c>
      <c r="K93" s="136">
        <f t="shared" si="33"/>
        <v>9.338070327662873</v>
      </c>
      <c r="L93" s="136">
        <f t="shared" si="33"/>
        <v>6.897971548575088</v>
      </c>
      <c r="M93" s="136">
        <f t="shared" si="33"/>
        <v>8.743288778130198</v>
      </c>
      <c r="N93" s="136">
        <f t="shared" si="34"/>
        <v>8.856105407525432</v>
      </c>
      <c r="O93" s="136">
        <f t="shared" si="34"/>
        <v>9.212727101788207</v>
      </c>
      <c r="P93" s="136">
        <f t="shared" si="34"/>
        <v>9.090704226267828</v>
      </c>
      <c r="Q93" s="136">
        <f t="shared" si="34"/>
        <v>9.090704226267828</v>
      </c>
      <c r="R93" s="136">
        <f t="shared" si="34"/>
        <v>9.212727101788197</v>
      </c>
      <c r="S93" s="136">
        <f t="shared" si="34"/>
        <v>8.856105407525442</v>
      </c>
      <c r="T93" s="136">
        <f t="shared" si="34"/>
        <v>8.856105407525442</v>
      </c>
      <c r="U93" s="136">
        <f t="shared" si="34"/>
        <v>9.090704226267839</v>
      </c>
      <c r="V93" s="417">
        <f t="shared" si="34"/>
        <v>8.97187149128394</v>
      </c>
      <c r="W93" s="428">
        <f t="shared" si="34"/>
        <v>8.91716007222237</v>
      </c>
      <c r="X93" s="137">
        <f t="shared" si="34"/>
        <v>0.5332053189274945</v>
      </c>
      <c r="Y93" s="516"/>
      <c r="Z93" s="516"/>
      <c r="AA93" s="79">
        <f t="shared" si="30"/>
        <v>55.16</v>
      </c>
      <c r="AB93" s="60">
        <f t="shared" si="35"/>
        <v>68.94999999999999</v>
      </c>
      <c r="AC93" s="137" t="s">
        <v>7</v>
      </c>
      <c r="AD93" s="153">
        <f t="shared" si="36"/>
        <v>8.91716007222237</v>
      </c>
      <c r="AE93" s="137">
        <f t="shared" si="36"/>
        <v>0.5332053189274945</v>
      </c>
    </row>
    <row r="94" spans="1:31" s="55" customFormat="1" ht="12.75" customHeight="1">
      <c r="A94" s="91">
        <f t="shared" si="31"/>
        <v>68.94999999999999</v>
      </c>
      <c r="B94" s="92">
        <f t="shared" si="31"/>
        <v>82.74</v>
      </c>
      <c r="C94" s="60" t="str">
        <f t="shared" si="32"/>
        <v>A</v>
      </c>
      <c r="D94" s="135">
        <f t="shared" si="33"/>
        <v>11.0701317594068</v>
      </c>
      <c r="E94" s="136">
        <f t="shared" si="33"/>
        <v>10.894415382273351</v>
      </c>
      <c r="F94" s="136">
        <f t="shared" si="33"/>
        <v>10.894415382273364</v>
      </c>
      <c r="G94" s="136">
        <f t="shared" si="33"/>
        <v>10.894415382273364</v>
      </c>
      <c r="H94" s="136">
        <f t="shared" si="33"/>
        <v>11.251609329233133</v>
      </c>
      <c r="I94" s="136">
        <f t="shared" si="33"/>
        <v>11.25160932923315</v>
      </c>
      <c r="J94" s="136">
        <f t="shared" si="33"/>
        <v>11.25160932923315</v>
      </c>
      <c r="K94" s="136">
        <f t="shared" si="33"/>
        <v>11.439136151387011</v>
      </c>
      <c r="L94" s="136">
        <f t="shared" si="33"/>
        <v>11.0701317594068</v>
      </c>
      <c r="M94" s="136">
        <f t="shared" si="33"/>
        <v>10.894415382273364</v>
      </c>
      <c r="N94" s="136">
        <f t="shared" si="34"/>
        <v>11.070131759406816</v>
      </c>
      <c r="O94" s="136">
        <f t="shared" si="34"/>
        <v>11.25160932923315</v>
      </c>
      <c r="P94" s="136">
        <f t="shared" si="34"/>
        <v>11.439136151387027</v>
      </c>
      <c r="Q94" s="136">
        <f t="shared" si="34"/>
        <v>13.72696338166444</v>
      </c>
      <c r="R94" s="136">
        <f t="shared" si="34"/>
        <v>12.949965454400402</v>
      </c>
      <c r="S94" s="136">
        <f t="shared" si="34"/>
        <v>11.25160932923315</v>
      </c>
      <c r="T94" s="136">
        <f t="shared" si="34"/>
        <v>10.894415382273351</v>
      </c>
      <c r="U94" s="136">
        <f t="shared" si="34"/>
        <v>10.724190141925352</v>
      </c>
      <c r="V94" s="417">
        <f t="shared" si="34"/>
        <v>11.25160932923315</v>
      </c>
      <c r="W94" s="428">
        <f t="shared" si="34"/>
        <v>11.340606286618437</v>
      </c>
      <c r="X94" s="137">
        <f t="shared" si="34"/>
        <v>0.743361211125118</v>
      </c>
      <c r="Y94" s="516"/>
      <c r="Z94" s="516"/>
      <c r="AA94" s="79">
        <f t="shared" si="30"/>
        <v>68.94999999999999</v>
      </c>
      <c r="AB94" s="60">
        <f t="shared" si="35"/>
        <v>82.74</v>
      </c>
      <c r="AC94" s="137" t="s">
        <v>9</v>
      </c>
      <c r="AD94" s="153">
        <f t="shared" si="36"/>
        <v>11.340606286618437</v>
      </c>
      <c r="AE94" s="137">
        <f t="shared" si="36"/>
        <v>0.743361211125118</v>
      </c>
    </row>
    <row r="95" spans="1:31" s="55" customFormat="1" ht="12.75" customHeight="1">
      <c r="A95" s="91">
        <f t="shared" si="31"/>
        <v>68.94999999999999</v>
      </c>
      <c r="B95" s="92">
        <f t="shared" si="31"/>
        <v>82.74</v>
      </c>
      <c r="C95" s="60" t="str">
        <f t="shared" si="32"/>
        <v>B</v>
      </c>
      <c r="D95" s="135">
        <f t="shared" si="33"/>
        <v>11.439136151387027</v>
      </c>
      <c r="E95" s="136">
        <f t="shared" si="33"/>
        <v>10.894415382273351</v>
      </c>
      <c r="F95" s="136">
        <f t="shared" si="33"/>
        <v>10.559202601280324</v>
      </c>
      <c r="G95" s="136">
        <f t="shared" si="33"/>
        <v>11.633019814969867</v>
      </c>
      <c r="H95" s="136">
        <f t="shared" si="33"/>
        <v>11.439136151387027</v>
      </c>
      <c r="I95" s="136">
        <f t="shared" si="33"/>
        <v>11.251609329233133</v>
      </c>
      <c r="J95" s="136">
        <f t="shared" si="33"/>
        <v>11.439136151387011</v>
      </c>
      <c r="K95" s="136">
        <f t="shared" si="33"/>
        <v>11.439136151387027</v>
      </c>
      <c r="L95" s="136">
        <f t="shared" si="33"/>
        <v>19.06522691897837</v>
      </c>
      <c r="M95" s="136">
        <f t="shared" si="33"/>
        <v>11.439136151387027</v>
      </c>
      <c r="N95" s="136">
        <f t="shared" si="34"/>
        <v>11.439136151387027</v>
      </c>
      <c r="O95" s="136">
        <f t="shared" si="34"/>
        <v>11.439136151387011</v>
      </c>
      <c r="P95" s="136">
        <f t="shared" si="34"/>
        <v>12.041195948828442</v>
      </c>
      <c r="Q95" s="136">
        <f t="shared" si="34"/>
        <v>11.439136151387027</v>
      </c>
      <c r="R95" s="136">
        <f t="shared" si="34"/>
        <v>11.633019814969867</v>
      </c>
      <c r="S95" s="136">
        <f t="shared" si="34"/>
        <v>11.0701317594068</v>
      </c>
      <c r="T95" s="136">
        <f t="shared" si="34"/>
        <v>11.251609329233133</v>
      </c>
      <c r="U95" s="136">
        <f t="shared" si="34"/>
        <v>11.439136151387011</v>
      </c>
      <c r="V95" s="417">
        <f t="shared" si="34"/>
        <v>11.439136151387027</v>
      </c>
      <c r="W95" s="428">
        <f t="shared" si="34"/>
        <v>11.778462758581236</v>
      </c>
      <c r="X95" s="137">
        <f t="shared" si="34"/>
        <v>1.7901693028696</v>
      </c>
      <c r="Y95" s="516"/>
      <c r="Z95" s="516"/>
      <c r="AA95" s="79">
        <f t="shared" si="30"/>
        <v>68.94999999999999</v>
      </c>
      <c r="AB95" s="60">
        <f t="shared" si="35"/>
        <v>82.74</v>
      </c>
      <c r="AC95" s="137" t="s">
        <v>7</v>
      </c>
      <c r="AD95" s="153">
        <f t="shared" si="36"/>
        <v>11.778462758581236</v>
      </c>
      <c r="AE95" s="137">
        <f t="shared" si="36"/>
        <v>1.7901693028696</v>
      </c>
    </row>
    <row r="96" spans="1:31" s="55" customFormat="1" ht="12.75" customHeight="1">
      <c r="A96" s="91">
        <f t="shared" si="31"/>
        <v>82.74</v>
      </c>
      <c r="B96" s="92">
        <f t="shared" si="31"/>
        <v>96.53</v>
      </c>
      <c r="C96" s="60" t="str">
        <f t="shared" si="32"/>
        <v>A</v>
      </c>
      <c r="D96" s="135">
        <f t="shared" si="33"/>
        <v>9.466871297699607</v>
      </c>
      <c r="E96" s="136">
        <f t="shared" si="33"/>
        <v>9.212727101788218</v>
      </c>
      <c r="F96" s="136">
        <f t="shared" si="33"/>
        <v>9.599275092073022</v>
      </c>
      <c r="G96" s="136">
        <f t="shared" si="33"/>
        <v>9.338070327662873</v>
      </c>
      <c r="H96" s="136">
        <f t="shared" si="33"/>
        <v>9.599275092073032</v>
      </c>
      <c r="I96" s="136">
        <f t="shared" si="33"/>
        <v>9.605992569394283</v>
      </c>
      <c r="J96" s="136">
        <f t="shared" si="33"/>
        <v>9.212727101788197</v>
      </c>
      <c r="K96" s="136">
        <f t="shared" si="33"/>
        <v>8.97187149128395</v>
      </c>
      <c r="L96" s="136">
        <f t="shared" si="33"/>
        <v>10.019681300484987</v>
      </c>
      <c r="M96" s="136">
        <f t="shared" si="33"/>
        <v>9.875513224219011</v>
      </c>
      <c r="N96" s="136">
        <f t="shared" si="34"/>
        <v>9.466871297699607</v>
      </c>
      <c r="O96" s="136">
        <f t="shared" si="34"/>
        <v>9.338070327662873</v>
      </c>
      <c r="P96" s="136">
        <f t="shared" si="34"/>
        <v>10.019681300484987</v>
      </c>
      <c r="Q96" s="136">
        <f t="shared" si="34"/>
        <v>9.466871297699607</v>
      </c>
      <c r="R96" s="136">
        <f t="shared" si="34"/>
        <v>10.168121023455129</v>
      </c>
      <c r="S96" s="136">
        <f t="shared" si="34"/>
        <v>9.735435022457033</v>
      </c>
      <c r="T96" s="136">
        <f t="shared" si="34"/>
        <v>8.97187149128394</v>
      </c>
      <c r="U96" s="136">
        <f t="shared" si="34"/>
        <v>9.338070327662873</v>
      </c>
      <c r="V96" s="417">
        <f t="shared" si="34"/>
        <v>8.97187149128394</v>
      </c>
      <c r="W96" s="428">
        <f t="shared" si="34"/>
        <v>9.493624640955641</v>
      </c>
      <c r="X96" s="137">
        <f t="shared" si="34"/>
        <v>0.35721942257479977</v>
      </c>
      <c r="Y96" s="516"/>
      <c r="Z96" s="516"/>
      <c r="AA96" s="79">
        <f t="shared" si="30"/>
        <v>82.74</v>
      </c>
      <c r="AB96" s="60">
        <f t="shared" si="35"/>
        <v>96.53</v>
      </c>
      <c r="AC96" s="137" t="s">
        <v>9</v>
      </c>
      <c r="AD96" s="153">
        <f t="shared" si="36"/>
        <v>9.493624640955641</v>
      </c>
      <c r="AE96" s="137">
        <f t="shared" si="36"/>
        <v>0.35721942257479977</v>
      </c>
    </row>
    <row r="97" spans="1:31" s="55" customFormat="1" ht="12.75" customHeight="1">
      <c r="A97" s="91">
        <f t="shared" si="31"/>
        <v>82.74</v>
      </c>
      <c r="B97" s="92">
        <f t="shared" si="31"/>
        <v>96.53</v>
      </c>
      <c r="C97" s="60" t="str">
        <f t="shared" si="32"/>
        <v>B</v>
      </c>
      <c r="D97" s="135">
        <f t="shared" si="33"/>
        <v>9.875513224219024</v>
      </c>
      <c r="E97" s="136">
        <f t="shared" si="33"/>
        <v>10.019681300484987</v>
      </c>
      <c r="F97" s="136">
        <f t="shared" si="33"/>
        <v>10.019681300484987</v>
      </c>
      <c r="G97" s="136">
        <f t="shared" si="33"/>
        <v>9.599275092073022</v>
      </c>
      <c r="H97" s="136">
        <f t="shared" si="33"/>
        <v>9.466871297699607</v>
      </c>
      <c r="I97" s="136">
        <f t="shared" si="33"/>
        <v>9.599275092073032</v>
      </c>
      <c r="J97" s="136">
        <f t="shared" si="33"/>
        <v>10.019681300484987</v>
      </c>
      <c r="K97" s="136">
        <f t="shared" si="33"/>
        <v>9.875513224219024</v>
      </c>
      <c r="L97" s="136">
        <f t="shared" si="33"/>
        <v>10.168121023455141</v>
      </c>
      <c r="M97" s="136">
        <f t="shared" si="33"/>
        <v>10.321025098995815</v>
      </c>
      <c r="N97" s="136">
        <f t="shared" si="34"/>
        <v>9.466871297699607</v>
      </c>
      <c r="O97" s="136">
        <f t="shared" si="34"/>
        <v>10.478598001270568</v>
      </c>
      <c r="P97" s="136">
        <f t="shared" si="34"/>
        <v>9.599275092073032</v>
      </c>
      <c r="Q97" s="136">
        <f t="shared" si="34"/>
        <v>10.808632583987738</v>
      </c>
      <c r="R97" s="136">
        <f t="shared" si="34"/>
        <v>10.808632583987738</v>
      </c>
      <c r="S97" s="136">
        <f t="shared" si="34"/>
        <v>10.019681300484987</v>
      </c>
      <c r="T97" s="136">
        <f t="shared" si="34"/>
        <v>10.168121023455129</v>
      </c>
      <c r="U97" s="136">
        <f t="shared" si="34"/>
        <v>10.478598001270553</v>
      </c>
      <c r="V97" s="417">
        <f t="shared" si="34"/>
        <v>9.466871297699607</v>
      </c>
      <c r="W97" s="428">
        <f t="shared" si="34"/>
        <v>10.013679954532556</v>
      </c>
      <c r="X97" s="137">
        <f t="shared" si="34"/>
        <v>0.42745237024352734</v>
      </c>
      <c r="Y97" s="516"/>
      <c r="Z97" s="516"/>
      <c r="AA97" s="79">
        <f t="shared" si="30"/>
        <v>82.74</v>
      </c>
      <c r="AB97" s="60">
        <f t="shared" si="35"/>
        <v>96.53</v>
      </c>
      <c r="AC97" s="137" t="s">
        <v>7</v>
      </c>
      <c r="AD97" s="153">
        <f t="shared" si="36"/>
        <v>10.013679954532556</v>
      </c>
      <c r="AE97" s="137">
        <f t="shared" si="36"/>
        <v>0.42745237024352734</v>
      </c>
    </row>
    <row r="98" spans="1:31" s="55" customFormat="1" ht="12.75" customHeight="1">
      <c r="A98" s="91">
        <f t="shared" si="31"/>
        <v>68.94999999999999</v>
      </c>
      <c r="B98" s="92">
        <f t="shared" si="31"/>
        <v>96.53</v>
      </c>
      <c r="C98" s="60" t="str">
        <f t="shared" si="32"/>
        <v>A</v>
      </c>
      <c r="D98" s="135">
        <f t="shared" si="33"/>
        <v>10.20592072986203</v>
      </c>
      <c r="E98" s="136">
        <f t="shared" si="33"/>
        <v>9.983246095755952</v>
      </c>
      <c r="F98" s="136">
        <f t="shared" si="33"/>
        <v>10.20592072986203</v>
      </c>
      <c r="G98" s="136">
        <f t="shared" si="33"/>
        <v>10.056383429790792</v>
      </c>
      <c r="H98" s="136">
        <f t="shared" si="33"/>
        <v>10.359972363520326</v>
      </c>
      <c r="I98" s="136">
        <f t="shared" si="33"/>
        <v>10.363883262864807</v>
      </c>
      <c r="J98" s="136">
        <f t="shared" si="33"/>
        <v>10.130600281671164</v>
      </c>
      <c r="K98" s="136">
        <f t="shared" si="33"/>
        <v>10.056383429790792</v>
      </c>
      <c r="L98" s="136">
        <f t="shared" si="33"/>
        <v>10.5187458863329</v>
      </c>
      <c r="M98" s="136">
        <f t="shared" si="33"/>
        <v>10.359972363520326</v>
      </c>
      <c r="N98" s="136">
        <f t="shared" si="34"/>
        <v>10.205920729862036</v>
      </c>
      <c r="O98" s="136">
        <f t="shared" si="34"/>
        <v>10.20592072986203</v>
      </c>
      <c r="P98" s="136">
        <f t="shared" si="34"/>
        <v>10.682461775614344</v>
      </c>
      <c r="Q98" s="136">
        <f t="shared" si="34"/>
        <v>11.205684393195458</v>
      </c>
      <c r="R98" s="136">
        <f t="shared" si="34"/>
        <v>11.39167085615305</v>
      </c>
      <c r="S98" s="136">
        <f t="shared" si="34"/>
        <v>10.438755423318955</v>
      </c>
      <c r="T98" s="136">
        <f t="shared" si="34"/>
        <v>9.840117119472707</v>
      </c>
      <c r="U98" s="136">
        <f t="shared" si="34"/>
        <v>9.983246095755952</v>
      </c>
      <c r="V98" s="417">
        <f t="shared" si="34"/>
        <v>9.983246095755952</v>
      </c>
      <c r="W98" s="428">
        <f t="shared" si="34"/>
        <v>10.325160620629559</v>
      </c>
      <c r="X98" s="137">
        <f t="shared" si="34"/>
        <v>0.402763027748903</v>
      </c>
      <c r="Y98" s="516"/>
      <c r="Z98" s="516"/>
      <c r="AA98" s="79">
        <f t="shared" si="30"/>
        <v>68.94999999999999</v>
      </c>
      <c r="AB98" s="60">
        <f t="shared" si="35"/>
        <v>96.53</v>
      </c>
      <c r="AC98" s="137" t="s">
        <v>9</v>
      </c>
      <c r="AD98" s="153">
        <f t="shared" si="36"/>
        <v>10.325160620629559</v>
      </c>
      <c r="AE98" s="137">
        <f t="shared" si="36"/>
        <v>0.402763027748903</v>
      </c>
    </row>
    <row r="99" spans="1:31" s="55" customFormat="1" ht="12.75" customHeight="1">
      <c r="A99" s="91">
        <f t="shared" si="31"/>
        <v>68.94999999999999</v>
      </c>
      <c r="B99" s="92">
        <f t="shared" si="31"/>
        <v>96.53</v>
      </c>
      <c r="C99" s="60" t="str">
        <f t="shared" si="32"/>
        <v>B</v>
      </c>
      <c r="D99" s="135">
        <f t="shared" si="33"/>
        <v>10.599971723293</v>
      </c>
      <c r="E99" s="136">
        <f t="shared" si="33"/>
        <v>10.438755423318955</v>
      </c>
      <c r="F99" s="136">
        <f t="shared" si="33"/>
        <v>10.28236957428047</v>
      </c>
      <c r="G99" s="136">
        <f t="shared" si="33"/>
        <v>10.5187458863329</v>
      </c>
      <c r="H99" s="136">
        <f t="shared" si="33"/>
        <v>10.359972363520326</v>
      </c>
      <c r="I99" s="136">
        <f t="shared" si="33"/>
        <v>10.359972363520326</v>
      </c>
      <c r="J99" s="136">
        <f t="shared" si="33"/>
        <v>10.682461775614335</v>
      </c>
      <c r="K99" s="136">
        <f t="shared" si="33"/>
        <v>10.599971723293</v>
      </c>
      <c r="L99" s="136">
        <f t="shared" si="33"/>
        <v>13.262766552332788</v>
      </c>
      <c r="M99" s="136">
        <f t="shared" si="33"/>
        <v>10.851354451908643</v>
      </c>
      <c r="N99" s="136">
        <f t="shared" si="34"/>
        <v>10.359972363520326</v>
      </c>
      <c r="O99" s="136">
        <f t="shared" si="34"/>
        <v>10.937819427621058</v>
      </c>
      <c r="P99" s="136">
        <f t="shared" si="34"/>
        <v>10.682461775614344</v>
      </c>
      <c r="Q99" s="136">
        <f t="shared" si="34"/>
        <v>11.114950106610873</v>
      </c>
      <c r="R99" s="136">
        <f t="shared" si="34"/>
        <v>11.205684393195458</v>
      </c>
      <c r="S99" s="136">
        <f t="shared" si="34"/>
        <v>10.5187458863329</v>
      </c>
      <c r="T99" s="136">
        <f t="shared" si="34"/>
        <v>10.682461775614335</v>
      </c>
      <c r="U99" s="136">
        <f t="shared" si="34"/>
        <v>10.93781942762105</v>
      </c>
      <c r="V99" s="417">
        <f t="shared" si="34"/>
        <v>10.359972363520326</v>
      </c>
      <c r="W99" s="428">
        <f t="shared" si="34"/>
        <v>10.776643650371865</v>
      </c>
      <c r="X99" s="137">
        <f t="shared" si="34"/>
        <v>0.6587810949122987</v>
      </c>
      <c r="Y99" s="516"/>
      <c r="Z99" s="516"/>
      <c r="AA99" s="79">
        <f t="shared" si="30"/>
        <v>68.94999999999999</v>
      </c>
      <c r="AB99" s="60">
        <f t="shared" si="35"/>
        <v>96.53</v>
      </c>
      <c r="AC99" s="137" t="s">
        <v>7</v>
      </c>
      <c r="AD99" s="153">
        <f t="shared" si="36"/>
        <v>10.776643650371865</v>
      </c>
      <c r="AE99" s="137">
        <f t="shared" si="36"/>
        <v>0.6587810949122987</v>
      </c>
    </row>
    <row r="100" spans="1:31" s="55" customFormat="1" ht="12.75" customHeight="1">
      <c r="A100" s="79"/>
      <c r="B100" s="60"/>
      <c r="C100" s="60" t="s">
        <v>0</v>
      </c>
      <c r="D100" s="135">
        <f>AVERAGE(D92:D97)</f>
        <v>9.996332019999505</v>
      </c>
      <c r="E100" s="136">
        <f aca="true" t="shared" si="37" ref="E100:X100">AVERAGE(E92:E97)</f>
        <v>9.76088268028798</v>
      </c>
      <c r="F100" s="136">
        <f t="shared" si="37"/>
        <v>9.732535877963697</v>
      </c>
      <c r="G100" s="136">
        <f t="shared" si="37"/>
        <v>9.779573838908833</v>
      </c>
      <c r="H100" s="136">
        <f t="shared" si="37"/>
        <v>10.04104518652755</v>
      </c>
      <c r="I100" s="136">
        <f t="shared" si="37"/>
        <v>10.032698113267195</v>
      </c>
      <c r="J100" s="136">
        <f t="shared" si="37"/>
        <v>10.027796324383814</v>
      </c>
      <c r="K100" s="136">
        <f t="shared" si="37"/>
        <v>10.01577071792687</v>
      </c>
      <c r="L100" s="136">
        <f t="shared" si="37"/>
        <v>11.042004918753621</v>
      </c>
      <c r="M100" s="136">
        <f t="shared" si="37"/>
        <v>10.134332015749097</v>
      </c>
      <c r="N100" s="136">
        <f t="shared" si="37"/>
        <v>9.8883354792233</v>
      </c>
      <c r="O100" s="136">
        <f t="shared" si="37"/>
        <v>10.12517297882719</v>
      </c>
      <c r="P100" s="136">
        <f t="shared" si="37"/>
        <v>10.265337072085016</v>
      </c>
      <c r="Q100" s="136">
        <f t="shared" si="37"/>
        <v>10.574320037750502</v>
      </c>
      <c r="R100" s="136">
        <f t="shared" si="37"/>
        <v>10.717513239681752</v>
      </c>
      <c r="S100" s="136">
        <f t="shared" si="37"/>
        <v>9.993976630121457</v>
      </c>
      <c r="T100" s="136">
        <f t="shared" si="37"/>
        <v>9.805012356858926</v>
      </c>
      <c r="U100" s="136">
        <f t="shared" si="37"/>
        <v>9.924022172454372</v>
      </c>
      <c r="V100" s="417">
        <f t="shared" si="37"/>
        <v>9.83582872439734</v>
      </c>
      <c r="W100" s="135">
        <f t="shared" si="37"/>
        <v>10.089078441324633</v>
      </c>
      <c r="X100" s="417">
        <f t="shared" si="37"/>
        <v>0.6928180616052731</v>
      </c>
      <c r="Y100" s="516"/>
      <c r="Z100" s="516"/>
      <c r="AA100" s="79"/>
      <c r="AB100" s="60"/>
      <c r="AC100" s="137" t="s">
        <v>0</v>
      </c>
      <c r="AD100" s="153">
        <f>W100</f>
        <v>10.089078441324633</v>
      </c>
      <c r="AE100" s="153">
        <f>X100</f>
        <v>0.6928180616052731</v>
      </c>
    </row>
    <row r="101" spans="1:31" s="55" customFormat="1" ht="12.75" customHeight="1">
      <c r="A101" s="79"/>
      <c r="B101" s="516"/>
      <c r="C101" s="60"/>
      <c r="D101" s="135"/>
      <c r="E101" s="517"/>
      <c r="F101" s="517"/>
      <c r="G101" s="517"/>
      <c r="H101" s="517"/>
      <c r="I101" s="517"/>
      <c r="J101" s="517"/>
      <c r="K101" s="517"/>
      <c r="L101" s="517"/>
      <c r="M101" s="517"/>
      <c r="N101" s="517"/>
      <c r="O101" s="517"/>
      <c r="P101" s="517"/>
      <c r="Q101" s="517"/>
      <c r="R101" s="517"/>
      <c r="S101" s="517"/>
      <c r="T101" s="517"/>
      <c r="U101" s="517"/>
      <c r="V101" s="518"/>
      <c r="W101" s="519"/>
      <c r="X101" s="137"/>
      <c r="Y101" s="516"/>
      <c r="Z101" s="516"/>
      <c r="AA101" s="79"/>
      <c r="AB101" s="60"/>
      <c r="AC101" s="137"/>
      <c r="AD101" s="153"/>
      <c r="AE101" s="137"/>
    </row>
    <row r="102" spans="1:31" s="90" customFormat="1" ht="12.75" customHeight="1">
      <c r="A102" s="77" t="s">
        <v>122</v>
      </c>
      <c r="B102" s="59"/>
      <c r="C102" s="60"/>
      <c r="D102" s="135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417"/>
      <c r="W102" s="428"/>
      <c r="X102" s="137"/>
      <c r="Y102" s="516"/>
      <c r="Z102" s="516"/>
      <c r="AA102" s="77" t="str">
        <f>A102</f>
        <v>Coil size at 83 MPa coil pressure [µm]</v>
      </c>
      <c r="AB102" s="163"/>
      <c r="AC102" s="137"/>
      <c r="AD102" s="153"/>
      <c r="AE102" s="137"/>
    </row>
    <row r="103" spans="1:31" s="90" customFormat="1" ht="12.75" customHeight="1">
      <c r="A103" s="79" t="str">
        <f>$C$3</f>
        <v>O-004 2nd sizing</v>
      </c>
      <c r="B103" s="60" t="str">
        <f>$C$4</f>
        <v>outer</v>
      </c>
      <c r="C103" s="92" t="s">
        <v>9</v>
      </c>
      <c r="D103" s="155">
        <f aca="true" t="shared" si="38" ref="D103:M104">D85*1000/39.37</f>
        <v>302.006604013208</v>
      </c>
      <c r="E103" s="156">
        <f t="shared" si="38"/>
        <v>303.0226060452121</v>
      </c>
      <c r="F103" s="156">
        <f t="shared" si="38"/>
        <v>308.6106172212344</v>
      </c>
      <c r="G103" s="156">
        <f t="shared" si="38"/>
        <v>306.07061214122433</v>
      </c>
      <c r="H103" s="156">
        <f t="shared" si="38"/>
        <v>307.0866141732284</v>
      </c>
      <c r="I103" s="156">
        <f t="shared" si="38"/>
        <v>303.0226060452121</v>
      </c>
      <c r="J103" s="156">
        <f t="shared" si="38"/>
        <v>296.4185928371857</v>
      </c>
      <c r="K103" s="156">
        <f t="shared" si="38"/>
        <v>297.4345948691897</v>
      </c>
      <c r="L103" s="156">
        <f t="shared" si="38"/>
        <v>305.0546101092202</v>
      </c>
      <c r="M103" s="156">
        <f t="shared" si="38"/>
        <v>297.94259588519174</v>
      </c>
      <c r="N103" s="156">
        <f aca="true" t="shared" si="39" ref="N103:X104">N85*1000/39.37</f>
        <v>318.77063754127505</v>
      </c>
      <c r="O103" s="156">
        <f t="shared" si="39"/>
        <v>303.0226060452121</v>
      </c>
      <c r="P103" s="156">
        <f t="shared" si="39"/>
        <v>292.86258572517147</v>
      </c>
      <c r="Q103" s="156">
        <f t="shared" si="39"/>
        <v>278.13055626111253</v>
      </c>
      <c r="R103" s="156">
        <f t="shared" si="39"/>
        <v>269.494538989078</v>
      </c>
      <c r="S103" s="156">
        <f t="shared" si="39"/>
        <v>294.38658877317755</v>
      </c>
      <c r="T103" s="156">
        <f t="shared" si="39"/>
        <v>313.6906273812548</v>
      </c>
      <c r="U103" s="156">
        <f t="shared" si="39"/>
        <v>315.2146304292608</v>
      </c>
      <c r="V103" s="418">
        <f t="shared" si="39"/>
        <v>292.86258572517147</v>
      </c>
      <c r="W103" s="155">
        <f t="shared" si="39"/>
        <v>300.2687058005694</v>
      </c>
      <c r="X103" s="418">
        <f t="shared" si="39"/>
        <v>11.911652902555478</v>
      </c>
      <c r="Y103" s="516"/>
      <c r="Z103" s="516"/>
      <c r="AA103" s="79" t="str">
        <f>$C$3</f>
        <v>O-004 2nd sizing</v>
      </c>
      <c r="AB103" s="60" t="str">
        <f>$C$4</f>
        <v>outer</v>
      </c>
      <c r="AC103" s="76" t="s">
        <v>9</v>
      </c>
      <c r="AD103" s="153">
        <f>W103</f>
        <v>300.2687058005694</v>
      </c>
      <c r="AE103" s="137">
        <f>X103</f>
        <v>11.911652902555478</v>
      </c>
    </row>
    <row r="104" spans="1:31" ht="12.75" customHeight="1">
      <c r="A104" s="164" t="str">
        <f>$C$3</f>
        <v>O-004 2nd sizing</v>
      </c>
      <c r="B104" s="165" t="str">
        <f>$C$4</f>
        <v>outer</v>
      </c>
      <c r="C104" s="93" t="s">
        <v>7</v>
      </c>
      <c r="D104" s="94">
        <f t="shared" si="38"/>
        <v>301.244602489205</v>
      </c>
      <c r="E104" s="95">
        <f t="shared" si="38"/>
        <v>302.7686055372111</v>
      </c>
      <c r="F104" s="95">
        <f t="shared" si="38"/>
        <v>308.8646177292355</v>
      </c>
      <c r="G104" s="95">
        <f t="shared" si="38"/>
        <v>304.2926085852171</v>
      </c>
      <c r="H104" s="95">
        <f t="shared" si="38"/>
        <v>301.244602489205</v>
      </c>
      <c r="I104" s="95">
        <f t="shared" si="38"/>
        <v>302.7686055372111</v>
      </c>
      <c r="J104" s="95">
        <f t="shared" si="38"/>
        <v>295.14859029718065</v>
      </c>
      <c r="K104" s="95">
        <f t="shared" si="38"/>
        <v>296.6725933451867</v>
      </c>
      <c r="L104" s="95">
        <f t="shared" si="38"/>
        <v>318.00863601727207</v>
      </c>
      <c r="M104" s="95">
        <f t="shared" si="38"/>
        <v>318.5166370332741</v>
      </c>
      <c r="N104" s="95">
        <f t="shared" si="39"/>
        <v>335.7886715773431</v>
      </c>
      <c r="O104" s="95">
        <f t="shared" si="39"/>
        <v>342.39268478536957</v>
      </c>
      <c r="P104" s="95">
        <f t="shared" si="39"/>
        <v>345.94869189738387</v>
      </c>
      <c r="Q104" s="95">
        <f t="shared" si="39"/>
        <v>337.8206756413513</v>
      </c>
      <c r="R104" s="95">
        <f t="shared" si="39"/>
        <v>334.7726695453391</v>
      </c>
      <c r="S104" s="95">
        <f t="shared" si="39"/>
        <v>314.4526289052578</v>
      </c>
      <c r="T104" s="95">
        <f t="shared" si="39"/>
        <v>323.0886461772924</v>
      </c>
      <c r="U104" s="95">
        <f t="shared" si="39"/>
        <v>341.37668275336557</v>
      </c>
      <c r="V104" s="419">
        <f t="shared" si="39"/>
        <v>350.52070104140205</v>
      </c>
      <c r="W104" s="94">
        <f t="shared" si="39"/>
        <v>319.77327112548966</v>
      </c>
      <c r="X104" s="419">
        <f t="shared" si="39"/>
        <v>18.59463254565269</v>
      </c>
      <c r="AA104" s="164" t="str">
        <f>$C$3</f>
        <v>O-004 2nd sizing</v>
      </c>
      <c r="AB104" s="165" t="str">
        <f>$C$4</f>
        <v>outer</v>
      </c>
      <c r="AC104" s="166" t="s">
        <v>7</v>
      </c>
      <c r="AD104" s="167">
        <f>W104</f>
        <v>319.77327112548966</v>
      </c>
      <c r="AE104" s="168">
        <f>X104</f>
        <v>18.59463254565269</v>
      </c>
    </row>
    <row r="105" spans="4:24" ht="12.75" customHeight="1">
      <c r="D105" s="520"/>
      <c r="X105" s="516"/>
    </row>
  </sheetData>
  <printOptions horizontalCentered="1" verticalCentered="1"/>
  <pageMargins left="0" right="0" top="0" bottom="0" header="0.5" footer="0.5"/>
  <pageSetup fitToHeight="1" fitToWidth="1" orientation="portrait" scale="55" r:id="rId2"/>
  <headerFooter alignWithMargins="0">
    <oddHeader>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9"/>
  <sheetViews>
    <sheetView view="pageBreakPreview" zoomScale="60" workbookViewId="0" topLeftCell="A1">
      <selection activeCell="O31" sqref="O31"/>
    </sheetView>
  </sheetViews>
  <sheetFormatPr defaultColWidth="9.00390625" defaultRowHeight="12.75" customHeight="1"/>
  <cols>
    <col min="1" max="3" width="13.75390625" style="0" customWidth="1"/>
    <col min="4" max="4" width="8.875" style="0" customWidth="1"/>
    <col min="5" max="24" width="8.875" style="50" customWidth="1"/>
    <col min="25" max="16384" width="7.375" style="0" customWidth="1"/>
  </cols>
  <sheetData>
    <row r="1" spans="1:32" ht="12.75" customHeight="1">
      <c r="A1" s="68" t="s">
        <v>72</v>
      </c>
      <c r="B1" s="22"/>
      <c r="C1" s="22"/>
      <c r="D1" s="22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22"/>
      <c r="Z1" s="481"/>
      <c r="AA1" s="481"/>
      <c r="AB1" s="481"/>
      <c r="AC1" s="481"/>
      <c r="AD1" s="481"/>
      <c r="AE1" s="481"/>
      <c r="AF1" s="481"/>
    </row>
    <row r="2" spans="1:32" ht="12.75" customHeight="1">
      <c r="A2" s="22"/>
      <c r="B2" s="22"/>
      <c r="C2" s="22"/>
      <c r="D2" s="22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481"/>
      <c r="X2" s="481"/>
      <c r="Y2" s="481"/>
      <c r="Z2" s="481"/>
      <c r="AA2" s="481"/>
      <c r="AB2" s="481"/>
      <c r="AC2" s="481"/>
      <c r="AD2" s="481"/>
      <c r="AE2" s="481"/>
      <c r="AF2" s="481"/>
    </row>
    <row r="3" spans="1:32" ht="12.75" customHeight="1">
      <c r="A3" s="23" t="s">
        <v>73</v>
      </c>
      <c r="B3" s="461" t="s">
        <v>165</v>
      </c>
      <c r="C3" s="24" t="s">
        <v>149</v>
      </c>
      <c r="D3" s="25"/>
      <c r="E3" s="100"/>
      <c r="F3" s="101"/>
      <c r="G3" s="102" t="s">
        <v>19</v>
      </c>
      <c r="H3" s="103"/>
      <c r="I3" s="102" t="s">
        <v>20</v>
      </c>
      <c r="J3" s="103"/>
      <c r="K3" s="481"/>
      <c r="L3" s="481"/>
      <c r="M3" s="462"/>
      <c r="N3" s="96"/>
      <c r="O3" s="96"/>
      <c r="P3" s="96"/>
      <c r="Q3" s="96"/>
      <c r="R3" s="96"/>
      <c r="S3" s="96"/>
      <c r="T3" s="96"/>
      <c r="U3" s="96"/>
      <c r="V3" s="96"/>
      <c r="W3" s="481"/>
      <c r="X3" s="481"/>
      <c r="Y3" s="481"/>
      <c r="Z3" s="481"/>
      <c r="AA3" s="481"/>
      <c r="AB3" s="481"/>
      <c r="AC3" s="481"/>
      <c r="AD3" s="481"/>
      <c r="AE3" s="481"/>
      <c r="AF3" s="481"/>
    </row>
    <row r="4" spans="1:32" ht="12.75" customHeight="1">
      <c r="A4" s="23" t="s">
        <v>74</v>
      </c>
      <c r="B4" s="461" t="s">
        <v>166</v>
      </c>
      <c r="C4" s="24" t="s">
        <v>123</v>
      </c>
      <c r="D4" s="25"/>
      <c r="E4" s="104" t="s">
        <v>76</v>
      </c>
      <c r="F4" s="105"/>
      <c r="G4" s="106">
        <v>34</v>
      </c>
      <c r="H4" s="107"/>
      <c r="I4" s="106">
        <v>24.6</v>
      </c>
      <c r="J4" s="107"/>
      <c r="K4" s="481"/>
      <c r="L4" s="481"/>
      <c r="M4" s="462"/>
      <c r="N4" s="96"/>
      <c r="O4" s="96"/>
      <c r="P4" s="96"/>
      <c r="Q4" s="96"/>
      <c r="R4" s="96"/>
      <c r="S4" s="96"/>
      <c r="T4" s="96"/>
      <c r="U4" s="96"/>
      <c r="V4" s="96"/>
      <c r="W4" s="481"/>
      <c r="X4" s="481"/>
      <c r="Y4" s="481"/>
      <c r="Z4" s="481"/>
      <c r="AA4" s="481"/>
      <c r="AB4" s="481"/>
      <c r="AC4" s="481"/>
      <c r="AD4" s="481"/>
      <c r="AE4" s="481"/>
      <c r="AF4" s="481"/>
    </row>
    <row r="5" spans="1:32" ht="12.75" customHeight="1">
      <c r="A5" s="23" t="s">
        <v>77</v>
      </c>
      <c r="B5" s="461"/>
      <c r="C5" s="24" t="s">
        <v>78</v>
      </c>
      <c r="D5" s="25"/>
      <c r="E5" s="108" t="s">
        <v>79</v>
      </c>
      <c r="F5" s="109"/>
      <c r="G5" s="110">
        <v>1.68515</v>
      </c>
      <c r="H5" s="111"/>
      <c r="I5" s="110">
        <v>2.31845</v>
      </c>
      <c r="J5" s="112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481"/>
      <c r="X5" s="481"/>
      <c r="Y5" s="481"/>
      <c r="Z5" s="481"/>
      <c r="AA5" s="481"/>
      <c r="AB5" s="481"/>
      <c r="AC5" s="481"/>
      <c r="AD5" s="481"/>
      <c r="AE5" s="481"/>
      <c r="AF5" s="481"/>
    </row>
    <row r="6" spans="1:63" ht="12.75" customHeight="1">
      <c r="A6" s="23" t="s">
        <v>53</v>
      </c>
      <c r="B6" s="461"/>
      <c r="C6" s="24"/>
      <c r="D6" s="25"/>
      <c r="E6" s="113" t="s">
        <v>80</v>
      </c>
      <c r="F6" s="114"/>
      <c r="G6" s="115">
        <f>G5*G4*PI()/180</f>
        <v>0.9999881402594031</v>
      </c>
      <c r="H6" s="116"/>
      <c r="I6" s="115">
        <f>I5*I4*PI()/180</f>
        <v>0.9954288166544184</v>
      </c>
      <c r="J6" s="117"/>
      <c r="K6" s="96"/>
      <c r="L6" s="96"/>
      <c r="M6" s="462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22"/>
      <c r="Z6" s="481"/>
      <c r="AA6" s="481"/>
      <c r="AB6" s="481"/>
      <c r="AC6" s="481"/>
      <c r="AD6" s="481"/>
      <c r="AE6" s="481"/>
      <c r="AF6" s="481"/>
      <c r="BI6" s="9"/>
      <c r="BJ6" s="12"/>
      <c r="BK6" s="12"/>
    </row>
    <row r="7" spans="1:63" ht="12.75" customHeight="1">
      <c r="A7" s="96" t="s">
        <v>81</v>
      </c>
      <c r="B7" s="96"/>
      <c r="C7" s="178"/>
      <c r="D7" s="25"/>
      <c r="E7" s="96"/>
      <c r="F7" s="96"/>
      <c r="G7" s="96"/>
      <c r="H7" s="96"/>
      <c r="I7" s="96"/>
      <c r="J7" s="96"/>
      <c r="K7" s="96"/>
      <c r="L7" s="96"/>
      <c r="M7" s="462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22"/>
      <c r="Z7" s="481"/>
      <c r="AA7" s="481"/>
      <c r="AB7" s="481"/>
      <c r="AC7" s="481"/>
      <c r="AD7" s="481"/>
      <c r="AE7" s="481"/>
      <c r="AF7" s="481"/>
      <c r="BI7" s="9"/>
      <c r="BJ7" s="12"/>
      <c r="BK7" s="12"/>
    </row>
    <row r="8" spans="1:63" ht="12.75" customHeight="1">
      <c r="A8" s="96" t="s">
        <v>82</v>
      </c>
      <c r="B8" s="96"/>
      <c r="C8" s="179" t="s">
        <v>83</v>
      </c>
      <c r="D8" s="25"/>
      <c r="E8" s="96"/>
      <c r="F8" s="96"/>
      <c r="G8" s="96"/>
      <c r="H8" s="96"/>
      <c r="I8" s="96"/>
      <c r="J8" s="96"/>
      <c r="K8" s="96"/>
      <c r="L8" s="96"/>
      <c r="M8" s="462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22"/>
      <c r="Z8" s="481"/>
      <c r="AA8" s="481"/>
      <c r="AB8" s="481"/>
      <c r="AC8" s="481"/>
      <c r="AD8" s="481"/>
      <c r="AE8" s="481"/>
      <c r="AF8" s="481"/>
      <c r="BI8" s="9"/>
      <c r="BJ8" s="12"/>
      <c r="BK8" s="12"/>
    </row>
    <row r="9" spans="1:63" ht="12.75" customHeight="1">
      <c r="A9" s="23"/>
      <c r="B9" s="461"/>
      <c r="C9" s="47"/>
      <c r="D9" s="47"/>
      <c r="E9" s="96"/>
      <c r="F9" s="96"/>
      <c r="G9" s="96"/>
      <c r="H9" s="96"/>
      <c r="I9" s="96"/>
      <c r="J9" s="96"/>
      <c r="K9" s="96"/>
      <c r="L9" s="96"/>
      <c r="M9" s="462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22"/>
      <c r="Z9" s="481"/>
      <c r="AA9" s="481"/>
      <c r="AB9" s="481"/>
      <c r="AC9" s="481"/>
      <c r="AD9" s="481"/>
      <c r="AE9" s="481"/>
      <c r="AF9" s="481"/>
      <c r="BF9" s="9"/>
      <c r="BI9" s="10"/>
      <c r="BJ9" s="12"/>
      <c r="BK9" s="12"/>
    </row>
    <row r="10" spans="1:63" ht="12.75" customHeight="1">
      <c r="A10" s="491"/>
      <c r="B10" s="491" t="s">
        <v>84</v>
      </c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81"/>
      <c r="N10" s="493"/>
      <c r="O10" s="493" t="s">
        <v>84</v>
      </c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5" t="e">
        <f>AVERAGE(#REF!,#REF!,#REF!,#REF!,#REF!,Z2:Z4,Z6:Z8)</f>
        <v>#REF!</v>
      </c>
      <c r="AA10" s="180" t="e">
        <f>STDEV(#REF!,#REF!,#REF!,#REF!,#REF!,Z2:Z4,Z6:Z8)</f>
        <v>#REF!</v>
      </c>
      <c r="AB10" s="495" t="e">
        <f>AVERAGE(#REF!,#REF!,#REF!,#REF!,#REF!,AB2:AB4,AB6:AB8)</f>
        <v>#REF!</v>
      </c>
      <c r="AC10" s="180" t="e">
        <f>STDEV(#REF!,#REF!,#REF!,#REF!,#REF!,AB2:AB4,AB6:AB8)</f>
        <v>#REF!</v>
      </c>
      <c r="AD10" s="96"/>
      <c r="AE10" s="462"/>
      <c r="AF10" s="96"/>
      <c r="AG10" s="96"/>
      <c r="AH10" s="96"/>
      <c r="AI10" s="361" t="e">
        <f>AVERAGE(#REF!,#REF!,#REF!,#REF!,#REF!,AI2:AI4,AI6:AI8)</f>
        <v>#REF!</v>
      </c>
      <c r="AJ10" s="362" t="e">
        <f>STDEV(#REF!,#REF!,#REF!,#REF!,#REF!,AI2:AI4,AI6:AI8)</f>
        <v>#REF!</v>
      </c>
      <c r="AK10" s="361" t="e">
        <f>AVERAGE(#REF!,#REF!,#REF!,#REF!,#REF!,AK2:AK4,AK6:AK8)</f>
        <v>#REF!</v>
      </c>
      <c r="AL10" s="362" t="e">
        <f>STDEV(#REF!,#REF!,#REF!,#REF!,#REF!,AK2:AK4,AK6:AK8)</f>
        <v>#REF!</v>
      </c>
      <c r="AM10" s="361" t="e">
        <f>AVERAGE(#REF!,#REF!,#REF!,#REF!,#REF!,AM2:AM4,AM6:AM8)</f>
        <v>#REF!</v>
      </c>
      <c r="AN10" s="362" t="e">
        <f>STDEV(#REF!,#REF!,#REF!,#REF!,#REF!,AM2:AM4,AM6:AM8)</f>
        <v>#REF!</v>
      </c>
      <c r="AO10" s="361" t="e">
        <f>AVERAGE(#REF!,#REF!,#REF!,#REF!,#REF!,AO2:AO4,AO6:AO8)</f>
        <v>#REF!</v>
      </c>
      <c r="AP10" s="362" t="e">
        <f>STDEV(#REF!,#REF!,#REF!,#REF!,#REF!,AO2:AO4,AO6:AO8)</f>
        <v>#REF!</v>
      </c>
      <c r="AQ10" s="22"/>
      <c r="BF10" s="9"/>
      <c r="BI10" s="10"/>
      <c r="BJ10" s="12"/>
      <c r="BK10" s="12"/>
    </row>
    <row r="11" spans="1:63" ht="12.75" customHeight="1">
      <c r="A11" s="492"/>
      <c r="B11" s="496" t="s">
        <v>85</v>
      </c>
      <c r="C11" s="188"/>
      <c r="D11" s="496" t="s">
        <v>85</v>
      </c>
      <c r="E11" s="188"/>
      <c r="F11" s="496" t="s">
        <v>85</v>
      </c>
      <c r="G11" s="188"/>
      <c r="H11" s="496" t="s">
        <v>85</v>
      </c>
      <c r="I11" s="188"/>
      <c r="J11" s="496" t="s">
        <v>85</v>
      </c>
      <c r="K11" s="188"/>
      <c r="L11" s="492"/>
      <c r="M11" s="481"/>
      <c r="N11" s="494"/>
      <c r="O11" s="497" t="s">
        <v>85</v>
      </c>
      <c r="P11" s="498"/>
      <c r="Q11" s="497" t="s">
        <v>85</v>
      </c>
      <c r="R11" s="498"/>
      <c r="S11" s="497" t="s">
        <v>85</v>
      </c>
      <c r="T11" s="498"/>
      <c r="U11" s="497" t="s">
        <v>85</v>
      </c>
      <c r="V11" s="498"/>
      <c r="W11" s="497" t="s">
        <v>85</v>
      </c>
      <c r="X11" s="498"/>
      <c r="Y11" s="494"/>
      <c r="Z11" s="495" t="e">
        <f>AVERAGE(#REF!,#REF!,#REF!,#REF!,#REF!,Z3:Z5,Z7:Z9)</f>
        <v>#REF!</v>
      </c>
      <c r="AA11" s="180" t="e">
        <f>STDEV(#REF!,#REF!,#REF!,#REF!,#REF!,Z3:Z5,Z7:Z9)</f>
        <v>#REF!</v>
      </c>
      <c r="AB11" s="495" t="e">
        <f>AVERAGE(#REF!,#REF!,#REF!,#REF!,#REF!,AB3:AB5,AB7:AB9)</f>
        <v>#REF!</v>
      </c>
      <c r="AC11" s="180" t="e">
        <f>STDEV(#REF!,#REF!,#REF!,#REF!,#REF!,AB3:AB5,AB7:AB9)</f>
        <v>#REF!</v>
      </c>
      <c r="AD11" s="96"/>
      <c r="AE11" s="462"/>
      <c r="AF11" s="96"/>
      <c r="AG11" s="96"/>
      <c r="AH11" s="96"/>
      <c r="AI11" s="361" t="e">
        <f>AVERAGE(#REF!,#REF!,#REF!,#REF!,#REF!,AI3:AI5,AI7:AI9)</f>
        <v>#REF!</v>
      </c>
      <c r="AJ11" s="362" t="e">
        <f>STDEV(#REF!,#REF!,#REF!,#REF!,#REF!,AI3:AI5,AI7:AI9)</f>
        <v>#REF!</v>
      </c>
      <c r="AK11" s="361" t="e">
        <f>AVERAGE(#REF!,#REF!,#REF!,#REF!,#REF!,AK3:AK5,AK7:AK9)</f>
        <v>#REF!</v>
      </c>
      <c r="AL11" s="362" t="e">
        <f>STDEV(#REF!,#REF!,#REF!,#REF!,#REF!,AK3:AK5,AK7:AK9)</f>
        <v>#REF!</v>
      </c>
      <c r="AM11" s="361" t="e">
        <f>AVERAGE(#REF!,#REF!,#REF!,#REF!,#REF!,AM3:AM5,AM7:AM9)</f>
        <v>#REF!</v>
      </c>
      <c r="AN11" s="362" t="e">
        <f>STDEV(#REF!,#REF!,#REF!,#REF!,#REF!,AM3:AM5,AM7:AM9)</f>
        <v>#REF!</v>
      </c>
      <c r="AO11" s="361" t="e">
        <f>AVERAGE(#REF!,#REF!,#REF!,#REF!,#REF!,AO3:AO5,AO7:AO9)</f>
        <v>#REF!</v>
      </c>
      <c r="AP11" s="362" t="e">
        <f>STDEV(#REF!,#REF!,#REF!,#REF!,#REF!,AO3:AO5,AO7:AO9)</f>
        <v>#REF!</v>
      </c>
      <c r="AQ11" s="22"/>
      <c r="BF11" s="9"/>
      <c r="BI11" s="10"/>
      <c r="BJ11" s="12"/>
      <c r="BK11" s="12"/>
    </row>
    <row r="12" spans="1:63" ht="12.75" customHeight="1">
      <c r="A12" s="492" t="s">
        <v>86</v>
      </c>
      <c r="B12" s="499"/>
      <c r="C12" s="189"/>
      <c r="D12" s="499">
        <v>3135</v>
      </c>
      <c r="E12" s="189"/>
      <c r="F12" s="499">
        <v>3918</v>
      </c>
      <c r="G12" s="189"/>
      <c r="H12" s="499">
        <v>4703</v>
      </c>
      <c r="I12" s="189"/>
      <c r="J12" s="499">
        <v>5486</v>
      </c>
      <c r="K12" s="189"/>
      <c r="L12" s="492" t="s">
        <v>86</v>
      </c>
      <c r="M12" s="481"/>
      <c r="N12" s="494" t="s">
        <v>86</v>
      </c>
      <c r="O12" s="500"/>
      <c r="P12" s="501"/>
      <c r="Q12" s="500">
        <v>3135</v>
      </c>
      <c r="R12" s="501"/>
      <c r="S12" s="500">
        <v>3918</v>
      </c>
      <c r="T12" s="501"/>
      <c r="U12" s="500">
        <v>4703</v>
      </c>
      <c r="V12" s="501"/>
      <c r="W12" s="500">
        <v>5486</v>
      </c>
      <c r="X12" s="501"/>
      <c r="Y12" s="494" t="s">
        <v>86</v>
      </c>
      <c r="Z12" s="481"/>
      <c r="AA12" s="481"/>
      <c r="AB12" s="481"/>
      <c r="AC12" s="481"/>
      <c r="AD12" s="481"/>
      <c r="AE12" s="481"/>
      <c r="AF12" s="481"/>
      <c r="BF12" s="9"/>
      <c r="BI12" s="10"/>
      <c r="BJ12" s="12"/>
      <c r="BK12" s="12"/>
    </row>
    <row r="13" spans="1:63" ht="12.75" customHeight="1">
      <c r="A13" s="492" t="s">
        <v>87</v>
      </c>
      <c r="B13" s="502" t="s">
        <v>88</v>
      </c>
      <c r="C13" s="190"/>
      <c r="D13" s="502" t="s">
        <v>89</v>
      </c>
      <c r="E13" s="190"/>
      <c r="F13" s="502" t="s">
        <v>90</v>
      </c>
      <c r="G13" s="190"/>
      <c r="H13" s="502" t="s">
        <v>91</v>
      </c>
      <c r="I13" s="190"/>
      <c r="J13" s="502" t="s">
        <v>92</v>
      </c>
      <c r="K13" s="190"/>
      <c r="L13" s="492" t="s">
        <v>87</v>
      </c>
      <c r="M13" s="481"/>
      <c r="N13" s="494" t="s">
        <v>87</v>
      </c>
      <c r="O13" s="503" t="s">
        <v>88</v>
      </c>
      <c r="P13" s="504"/>
      <c r="Q13" s="503" t="s">
        <v>89</v>
      </c>
      <c r="R13" s="504"/>
      <c r="S13" s="503" t="s">
        <v>90</v>
      </c>
      <c r="T13" s="504"/>
      <c r="U13" s="503" t="s">
        <v>91</v>
      </c>
      <c r="V13" s="504"/>
      <c r="W13" s="503" t="s">
        <v>92</v>
      </c>
      <c r="X13" s="504"/>
      <c r="Y13" s="494" t="s">
        <v>87</v>
      </c>
      <c r="Z13" s="481"/>
      <c r="AA13" s="481"/>
      <c r="AB13" s="481"/>
      <c r="AC13" s="481"/>
      <c r="AD13" s="481"/>
      <c r="AE13" s="481"/>
      <c r="AF13" s="481"/>
      <c r="BF13" s="9"/>
      <c r="BI13" s="10"/>
      <c r="BJ13" s="12"/>
      <c r="BK13" s="12"/>
    </row>
    <row r="14" spans="1:63" ht="12.75" customHeight="1">
      <c r="A14" s="492" t="s">
        <v>93</v>
      </c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 t="s">
        <v>93</v>
      </c>
      <c r="M14" s="481"/>
      <c r="N14" s="494" t="s">
        <v>93</v>
      </c>
      <c r="O14" s="494"/>
      <c r="P14" s="494"/>
      <c r="Q14" s="494"/>
      <c r="R14" s="494"/>
      <c r="S14" s="494"/>
      <c r="T14" s="494"/>
      <c r="U14" s="494"/>
      <c r="V14" s="494"/>
      <c r="W14" s="494"/>
      <c r="X14" s="494"/>
      <c r="Y14" s="494" t="s">
        <v>93</v>
      </c>
      <c r="Z14" s="481"/>
      <c r="AA14" s="481"/>
      <c r="AB14" s="481"/>
      <c r="AC14" s="481"/>
      <c r="AD14" s="481"/>
      <c r="AE14" s="481"/>
      <c r="AF14" s="481"/>
      <c r="BF14" s="9"/>
      <c r="BI14" s="10"/>
      <c r="BJ14" s="12"/>
      <c r="BK14" s="12"/>
    </row>
    <row r="15" spans="1:63" ht="12.75" customHeight="1">
      <c r="A15" s="492" t="s">
        <v>6</v>
      </c>
      <c r="B15" s="492" t="s">
        <v>94</v>
      </c>
      <c r="C15" s="492" t="s">
        <v>95</v>
      </c>
      <c r="D15" s="492" t="s">
        <v>94</v>
      </c>
      <c r="E15" s="492" t="s">
        <v>95</v>
      </c>
      <c r="F15" s="492" t="s">
        <v>94</v>
      </c>
      <c r="G15" s="492" t="s">
        <v>95</v>
      </c>
      <c r="H15" s="492" t="s">
        <v>94</v>
      </c>
      <c r="I15" s="492" t="s">
        <v>95</v>
      </c>
      <c r="J15" s="492" t="s">
        <v>94</v>
      </c>
      <c r="K15" s="492" t="s">
        <v>95</v>
      </c>
      <c r="L15" s="492" t="s">
        <v>8</v>
      </c>
      <c r="M15" s="481"/>
      <c r="N15" s="494" t="s">
        <v>8</v>
      </c>
      <c r="O15" s="494" t="s">
        <v>94</v>
      </c>
      <c r="P15" s="494" t="s">
        <v>95</v>
      </c>
      <c r="Q15" s="494" t="s">
        <v>94</v>
      </c>
      <c r="R15" s="494" t="s">
        <v>95</v>
      </c>
      <c r="S15" s="494" t="s">
        <v>94</v>
      </c>
      <c r="T15" s="494" t="s">
        <v>95</v>
      </c>
      <c r="U15" s="494" t="s">
        <v>94</v>
      </c>
      <c r="V15" s="494" t="s">
        <v>95</v>
      </c>
      <c r="W15" s="494" t="s">
        <v>94</v>
      </c>
      <c r="X15" s="494" t="s">
        <v>95</v>
      </c>
      <c r="Y15" s="494" t="s">
        <v>8</v>
      </c>
      <c r="Z15" s="481"/>
      <c r="AA15" s="481"/>
      <c r="AB15" s="481"/>
      <c r="AC15" s="481"/>
      <c r="AD15" s="481"/>
      <c r="AE15" s="481"/>
      <c r="AF15" s="481"/>
      <c r="BF15" s="9"/>
      <c r="BI15" s="10"/>
      <c r="BJ15" s="12"/>
      <c r="BK15" s="12"/>
    </row>
    <row r="16" spans="1:63" ht="12.75" customHeight="1">
      <c r="A16" s="492" t="s">
        <v>96</v>
      </c>
      <c r="B16" s="492"/>
      <c r="C16" s="492"/>
      <c r="D16" s="492">
        <v>-0.01354</v>
      </c>
      <c r="E16" s="492">
        <v>0</v>
      </c>
      <c r="F16" s="492">
        <v>-0.01016</v>
      </c>
      <c r="G16" s="492">
        <v>0.00196</v>
      </c>
      <c r="H16" s="492">
        <v>-0.00674</v>
      </c>
      <c r="I16" s="492">
        <v>0.00412</v>
      </c>
      <c r="J16" s="492">
        <v>-0.00326</v>
      </c>
      <c r="K16" s="492">
        <v>0.00606</v>
      </c>
      <c r="L16" s="492" t="s">
        <v>96</v>
      </c>
      <c r="M16" s="481"/>
      <c r="N16" s="494" t="s">
        <v>96</v>
      </c>
      <c r="O16" s="494"/>
      <c r="P16" s="494"/>
      <c r="Q16" s="494">
        <v>-0.01346</v>
      </c>
      <c r="R16" s="494">
        <v>0</v>
      </c>
      <c r="S16" s="494">
        <v>-0.01006</v>
      </c>
      <c r="T16" s="494">
        <v>0.00194</v>
      </c>
      <c r="U16" s="494">
        <v>-0.00668</v>
      </c>
      <c r="V16" s="494">
        <v>0.0041</v>
      </c>
      <c r="W16" s="494">
        <v>-0.00322</v>
      </c>
      <c r="X16" s="494">
        <v>0.00606</v>
      </c>
      <c r="Y16" s="494" t="s">
        <v>96</v>
      </c>
      <c r="Z16" s="481"/>
      <c r="AA16" s="481"/>
      <c r="AB16" s="481"/>
      <c r="AC16" s="481"/>
      <c r="AD16" s="481"/>
      <c r="AE16" s="481"/>
      <c r="AF16" s="481"/>
      <c r="BF16" s="9"/>
      <c r="BI16" s="10"/>
      <c r="BJ16" s="12"/>
      <c r="BK16" s="12"/>
    </row>
    <row r="17" spans="1:63" s="182" customFormat="1" ht="12.75" customHeight="1" hidden="1">
      <c r="A17" s="492" t="s">
        <v>97</v>
      </c>
      <c r="B17" s="492"/>
      <c r="C17" s="492"/>
      <c r="D17" s="492">
        <v>-0.00876</v>
      </c>
      <c r="E17" s="492">
        <v>0.00176</v>
      </c>
      <c r="F17" s="492">
        <v>-0.00614</v>
      </c>
      <c r="G17" s="492">
        <v>0.0038</v>
      </c>
      <c r="H17" s="492">
        <v>-0.00354</v>
      </c>
      <c r="I17" s="492">
        <v>0.00546</v>
      </c>
      <c r="J17" s="492">
        <v>-0.00316</v>
      </c>
      <c r="K17" s="492">
        <v>0.00606</v>
      </c>
      <c r="L17" s="492" t="s">
        <v>97</v>
      </c>
      <c r="M17" s="481"/>
      <c r="N17" s="494" t="s">
        <v>97</v>
      </c>
      <c r="O17" s="494"/>
      <c r="P17" s="494"/>
      <c r="Q17" s="494">
        <v>-0.00884</v>
      </c>
      <c r="R17" s="494">
        <v>0.002</v>
      </c>
      <c r="S17" s="494">
        <v>-0.00622</v>
      </c>
      <c r="T17" s="494">
        <v>0.00396</v>
      </c>
      <c r="U17" s="494">
        <v>-0.00346</v>
      </c>
      <c r="V17" s="494">
        <v>0.00558</v>
      </c>
      <c r="W17" s="494">
        <v>-0.00308</v>
      </c>
      <c r="X17" s="494">
        <v>0.00606</v>
      </c>
      <c r="Y17" s="494" t="s">
        <v>97</v>
      </c>
      <c r="BF17" s="68"/>
      <c r="BI17" s="183"/>
      <c r="BJ17" s="184"/>
      <c r="BK17" s="184"/>
    </row>
    <row r="18" spans="1:63" ht="12.75" customHeight="1">
      <c r="A18" s="492">
        <v>2</v>
      </c>
      <c r="B18" s="492"/>
      <c r="C18" s="492"/>
      <c r="D18" s="492">
        <v>-0.01354</v>
      </c>
      <c r="E18" s="492"/>
      <c r="F18" s="492">
        <v>-0.01012</v>
      </c>
      <c r="G18" s="492"/>
      <c r="H18" s="492">
        <v>-0.0067</v>
      </c>
      <c r="I18" s="492"/>
      <c r="J18" s="492">
        <v>-0.0032</v>
      </c>
      <c r="K18" s="492"/>
      <c r="L18" s="492">
        <v>2</v>
      </c>
      <c r="M18" s="481"/>
      <c r="N18" s="494">
        <v>2</v>
      </c>
      <c r="O18" s="494"/>
      <c r="P18" s="494"/>
      <c r="Q18" s="494">
        <v>-0.01382</v>
      </c>
      <c r="R18" s="494"/>
      <c r="S18" s="494">
        <v>-0.01026</v>
      </c>
      <c r="T18" s="494"/>
      <c r="U18" s="494">
        <v>-0.00674</v>
      </c>
      <c r="V18" s="494"/>
      <c r="W18" s="494">
        <v>-0.00318</v>
      </c>
      <c r="X18" s="494"/>
      <c r="Y18" s="494">
        <v>2</v>
      </c>
      <c r="Z18" s="481"/>
      <c r="AA18" s="481"/>
      <c r="AB18" s="481"/>
      <c r="AC18" s="481"/>
      <c r="AD18" s="481"/>
      <c r="AE18" s="481"/>
      <c r="AF18" s="481"/>
      <c r="BF18" s="9"/>
      <c r="BI18" s="10"/>
      <c r="BJ18" s="12"/>
      <c r="BK18" s="12"/>
    </row>
    <row r="19" spans="1:63" ht="12.75" customHeight="1" thickBot="1">
      <c r="A19" s="492">
        <v>3</v>
      </c>
      <c r="B19" s="492"/>
      <c r="C19" s="492"/>
      <c r="D19" s="492">
        <v>-0.01382</v>
      </c>
      <c r="E19" s="492"/>
      <c r="F19" s="492">
        <v>-0.0103</v>
      </c>
      <c r="G19" s="492"/>
      <c r="H19" s="492">
        <v>-0.00692</v>
      </c>
      <c r="I19" s="492"/>
      <c r="J19" s="539">
        <v>-0.00352</v>
      </c>
      <c r="K19" s="492"/>
      <c r="L19" s="492">
        <v>3</v>
      </c>
      <c r="M19" s="481"/>
      <c r="N19" s="494">
        <v>3</v>
      </c>
      <c r="O19" s="494"/>
      <c r="P19" s="494"/>
      <c r="Q19" s="494">
        <v>-0.01368</v>
      </c>
      <c r="R19" s="494"/>
      <c r="S19" s="494">
        <v>-0.0102</v>
      </c>
      <c r="T19" s="494"/>
      <c r="U19" s="494">
        <v>-0.00684</v>
      </c>
      <c r="V19" s="494"/>
      <c r="W19" s="494">
        <v>-0.0034</v>
      </c>
      <c r="X19" s="494"/>
      <c r="Y19" s="494">
        <v>3</v>
      </c>
      <c r="Z19" s="481"/>
      <c r="AA19" s="481"/>
      <c r="AB19" s="481"/>
      <c r="AC19" s="481"/>
      <c r="AD19" s="481"/>
      <c r="AE19" s="481"/>
      <c r="AF19" s="481"/>
      <c r="BF19" s="9"/>
      <c r="BI19" s="10"/>
      <c r="BJ19" s="12"/>
      <c r="BK19" s="12"/>
    </row>
    <row r="20" spans="1:63" ht="12.75" customHeight="1" thickBot="1">
      <c r="A20" s="492" t="s">
        <v>98</v>
      </c>
      <c r="B20" s="492"/>
      <c r="C20" s="492"/>
      <c r="D20" s="492">
        <v>-0.0136</v>
      </c>
      <c r="E20" s="492"/>
      <c r="F20" s="492">
        <v>-0.0102</v>
      </c>
      <c r="G20" s="492"/>
      <c r="H20" s="492">
        <v>-0.00678</v>
      </c>
      <c r="I20" s="597"/>
      <c r="J20" s="598">
        <v>-0.00666</v>
      </c>
      <c r="K20" s="599"/>
      <c r="L20" s="492" t="s">
        <v>98</v>
      </c>
      <c r="M20" s="481"/>
      <c r="N20" s="494" t="s">
        <v>98</v>
      </c>
      <c r="O20" s="494"/>
      <c r="P20" s="494"/>
      <c r="Q20" s="494">
        <v>-0.01368</v>
      </c>
      <c r="R20" s="494"/>
      <c r="S20" s="494">
        <v>-0.0102</v>
      </c>
      <c r="T20" s="494"/>
      <c r="U20" s="494">
        <v>-0.00676</v>
      </c>
      <c r="V20" s="494"/>
      <c r="W20" s="494">
        <v>-0.00332</v>
      </c>
      <c r="X20" s="494"/>
      <c r="Y20" s="494" t="s">
        <v>98</v>
      </c>
      <c r="Z20" s="481"/>
      <c r="AA20" s="481"/>
      <c r="AB20" s="481"/>
      <c r="AC20" s="481"/>
      <c r="AD20" s="481"/>
      <c r="AE20" s="481"/>
      <c r="AF20" s="481"/>
      <c r="BF20" s="9"/>
      <c r="BI20" s="10"/>
      <c r="BJ20" s="12"/>
      <c r="BK20" s="12"/>
    </row>
    <row r="21" spans="1:63" s="182" customFormat="1" ht="12.75" customHeight="1" hidden="1">
      <c r="A21" s="492" t="s">
        <v>99</v>
      </c>
      <c r="B21" s="492"/>
      <c r="C21" s="492"/>
      <c r="D21" s="492">
        <v>-0.00996</v>
      </c>
      <c r="E21" s="492"/>
      <c r="F21" s="492">
        <v>-0.0073</v>
      </c>
      <c r="G21" s="492"/>
      <c r="H21" s="492">
        <v>-0.0066</v>
      </c>
      <c r="I21" s="492"/>
      <c r="J21" s="600">
        <v>-0.0068</v>
      </c>
      <c r="K21" s="492"/>
      <c r="L21" s="492" t="s">
        <v>99</v>
      </c>
      <c r="M21" s="481"/>
      <c r="N21" s="494" t="s">
        <v>99</v>
      </c>
      <c r="O21" s="494"/>
      <c r="P21" s="494"/>
      <c r="Q21" s="494">
        <v>-0.00898</v>
      </c>
      <c r="R21" s="494"/>
      <c r="S21" s="494">
        <v>-0.00628</v>
      </c>
      <c r="T21" s="494"/>
      <c r="U21" s="494">
        <v>-0.00358</v>
      </c>
      <c r="V21" s="494"/>
      <c r="W21" s="494">
        <v>-0.00316</v>
      </c>
      <c r="X21" s="494"/>
      <c r="Y21" s="494" t="s">
        <v>99</v>
      </c>
      <c r="BF21" s="68"/>
      <c r="BI21" s="183"/>
      <c r="BJ21" s="184"/>
      <c r="BK21" s="184"/>
    </row>
    <row r="22" spans="1:63" ht="12.75" customHeight="1">
      <c r="A22" s="492">
        <v>5</v>
      </c>
      <c r="B22" s="492"/>
      <c r="C22" s="492"/>
      <c r="D22" s="492">
        <v>-0.0139</v>
      </c>
      <c r="E22" s="492"/>
      <c r="F22" s="492">
        <v>-0.01034</v>
      </c>
      <c r="G22" s="492"/>
      <c r="H22" s="492">
        <v>-0.0069</v>
      </c>
      <c r="I22" s="492"/>
      <c r="J22" s="492">
        <v>-0.00338</v>
      </c>
      <c r="K22" s="492"/>
      <c r="L22" s="492">
        <v>5</v>
      </c>
      <c r="M22" s="481"/>
      <c r="N22" s="494">
        <v>5</v>
      </c>
      <c r="O22" s="494"/>
      <c r="P22" s="494"/>
      <c r="Q22" s="494">
        <v>-0.01352</v>
      </c>
      <c r="R22" s="494"/>
      <c r="S22" s="494">
        <v>-0.01008</v>
      </c>
      <c r="T22" s="494"/>
      <c r="U22" s="494">
        <v>-0.00664</v>
      </c>
      <c r="V22" s="494"/>
      <c r="W22" s="494">
        <v>-0.0032</v>
      </c>
      <c r="X22" s="494"/>
      <c r="Y22" s="494">
        <v>5</v>
      </c>
      <c r="Z22" s="481"/>
      <c r="AA22" s="481"/>
      <c r="AB22" s="481"/>
      <c r="AC22" s="481"/>
      <c r="AD22" s="481"/>
      <c r="AE22" s="481"/>
      <c r="AF22" s="481"/>
      <c r="BF22" s="9"/>
      <c r="BI22" s="10"/>
      <c r="BJ22" s="12"/>
      <c r="BK22" s="12"/>
    </row>
    <row r="23" spans="1:63" ht="12.75" customHeight="1">
      <c r="A23" s="492">
        <v>6</v>
      </c>
      <c r="B23" s="492"/>
      <c r="C23" s="492"/>
      <c r="D23" s="492">
        <v>-0.01374</v>
      </c>
      <c r="E23" s="492"/>
      <c r="F23" s="492">
        <v>-0.01022</v>
      </c>
      <c r="G23" s="492"/>
      <c r="H23" s="492">
        <v>-0.00674</v>
      </c>
      <c r="I23" s="492"/>
      <c r="J23" s="492">
        <v>-0.00324</v>
      </c>
      <c r="K23" s="492"/>
      <c r="L23" s="492">
        <v>6</v>
      </c>
      <c r="M23" s="481"/>
      <c r="N23" s="494">
        <v>6</v>
      </c>
      <c r="O23" s="494"/>
      <c r="P23" s="494"/>
      <c r="Q23" s="494">
        <v>-0.01354</v>
      </c>
      <c r="R23" s="494"/>
      <c r="S23" s="494">
        <v>-0.01006</v>
      </c>
      <c r="T23" s="494"/>
      <c r="U23" s="494">
        <v>-0.00668</v>
      </c>
      <c r="V23" s="494"/>
      <c r="W23" s="494">
        <v>-0.00326</v>
      </c>
      <c r="X23" s="494"/>
      <c r="Y23" s="494">
        <v>6</v>
      </c>
      <c r="Z23" s="481"/>
      <c r="AA23" s="481"/>
      <c r="AB23" s="481"/>
      <c r="AC23" s="481"/>
      <c r="AD23" s="481"/>
      <c r="AE23" s="481"/>
      <c r="AF23" s="481"/>
      <c r="BF23" s="9"/>
      <c r="BI23" s="10"/>
      <c r="BJ23" s="12"/>
      <c r="BK23" s="12"/>
    </row>
    <row r="24" spans="1:63" ht="12.75" customHeight="1">
      <c r="A24" s="492" t="s">
        <v>100</v>
      </c>
      <c r="B24" s="492"/>
      <c r="C24" s="492"/>
      <c r="D24" s="492">
        <v>-0.01338</v>
      </c>
      <c r="E24" s="492"/>
      <c r="F24" s="492">
        <v>-0.00994</v>
      </c>
      <c r="G24" s="492"/>
      <c r="H24" s="492">
        <v>-0.00646</v>
      </c>
      <c r="I24" s="492"/>
      <c r="J24" s="492">
        <v>-0.00292</v>
      </c>
      <c r="K24" s="492"/>
      <c r="L24" s="492" t="s">
        <v>100</v>
      </c>
      <c r="M24" s="481"/>
      <c r="N24" s="494" t="s">
        <v>100</v>
      </c>
      <c r="O24" s="494"/>
      <c r="P24" s="494"/>
      <c r="Q24" s="494">
        <v>-0.01324</v>
      </c>
      <c r="R24" s="494"/>
      <c r="S24" s="494">
        <v>-0.00982</v>
      </c>
      <c r="T24" s="494"/>
      <c r="U24" s="494">
        <v>-0.00646</v>
      </c>
      <c r="V24" s="494"/>
      <c r="W24" s="494">
        <v>-0.003</v>
      </c>
      <c r="X24" s="494"/>
      <c r="Y24" s="494" t="s">
        <v>100</v>
      </c>
      <c r="Z24" s="481"/>
      <c r="AA24" s="481"/>
      <c r="AB24" s="481"/>
      <c r="AC24" s="481"/>
      <c r="AD24" s="481"/>
      <c r="AE24" s="481"/>
      <c r="AF24" s="481"/>
      <c r="BF24" s="9"/>
      <c r="BI24" s="10"/>
      <c r="BJ24" s="12"/>
      <c r="BK24" s="12"/>
    </row>
    <row r="25" spans="1:63" s="182" customFormat="1" ht="12.75" customHeight="1" hidden="1">
      <c r="A25" s="492" t="s">
        <v>101</v>
      </c>
      <c r="B25" s="492"/>
      <c r="C25" s="492"/>
      <c r="D25" s="492">
        <v>-0.0085</v>
      </c>
      <c r="E25" s="492"/>
      <c r="F25" s="492">
        <v>-0.00588</v>
      </c>
      <c r="G25" s="492"/>
      <c r="H25" s="492">
        <v>-0.00328</v>
      </c>
      <c r="I25" s="492"/>
      <c r="J25" s="492">
        <v>-0.00278</v>
      </c>
      <c r="K25" s="492"/>
      <c r="L25" s="492" t="s">
        <v>101</v>
      </c>
      <c r="M25" s="481"/>
      <c r="N25" s="494" t="s">
        <v>101</v>
      </c>
      <c r="O25" s="494"/>
      <c r="P25" s="494"/>
      <c r="Q25" s="494">
        <v>-0.00854</v>
      </c>
      <c r="R25" s="494"/>
      <c r="S25" s="494">
        <v>-0.00596</v>
      </c>
      <c r="T25" s="494"/>
      <c r="U25" s="494">
        <v>-0.00326</v>
      </c>
      <c r="V25" s="494"/>
      <c r="W25" s="494">
        <v>-0.00288</v>
      </c>
      <c r="X25" s="494"/>
      <c r="Y25" s="494" t="s">
        <v>101</v>
      </c>
      <c r="BF25" s="68"/>
      <c r="BI25" s="183"/>
      <c r="BJ25" s="184"/>
      <c r="BK25" s="184"/>
    </row>
    <row r="26" spans="1:63" ht="12.75" customHeight="1">
      <c r="A26" s="492">
        <v>8</v>
      </c>
      <c r="B26" s="492"/>
      <c r="C26" s="492"/>
      <c r="D26" s="492">
        <v>-0.01312</v>
      </c>
      <c r="E26" s="492"/>
      <c r="F26" s="492">
        <v>-0.00972</v>
      </c>
      <c r="G26" s="492"/>
      <c r="H26" s="492">
        <v>-0.0064</v>
      </c>
      <c r="I26" s="492"/>
      <c r="J26" s="492">
        <v>-0.00292</v>
      </c>
      <c r="K26" s="492"/>
      <c r="L26" s="492">
        <v>8</v>
      </c>
      <c r="M26" s="481"/>
      <c r="N26" s="494">
        <v>8</v>
      </c>
      <c r="O26" s="494"/>
      <c r="P26" s="494"/>
      <c r="Q26" s="494">
        <v>-0.0135</v>
      </c>
      <c r="R26" s="494"/>
      <c r="S26" s="494">
        <v>-0.01004</v>
      </c>
      <c r="T26" s="494"/>
      <c r="U26" s="494">
        <v>-0.0066</v>
      </c>
      <c r="V26" s="494"/>
      <c r="W26" s="494">
        <v>-0.00312</v>
      </c>
      <c r="X26" s="494"/>
      <c r="Y26" s="494">
        <v>8</v>
      </c>
      <c r="Z26" s="481"/>
      <c r="AA26" s="481"/>
      <c r="AB26" s="481"/>
      <c r="AC26" s="481"/>
      <c r="AD26" s="481"/>
      <c r="AE26" s="481"/>
      <c r="AF26" s="481"/>
      <c r="BF26" s="9"/>
      <c r="BI26" s="10"/>
      <c r="BJ26" s="12"/>
      <c r="BK26" s="12"/>
    </row>
    <row r="27" spans="1:63" ht="12.75" customHeight="1">
      <c r="A27" s="492">
        <v>9</v>
      </c>
      <c r="B27" s="492"/>
      <c r="C27" s="492"/>
      <c r="D27" s="492">
        <v>-0.0136</v>
      </c>
      <c r="E27" s="492"/>
      <c r="F27" s="492">
        <v>-0.01016</v>
      </c>
      <c r="G27" s="492"/>
      <c r="H27" s="492">
        <v>-0.00678</v>
      </c>
      <c r="I27" s="492"/>
      <c r="J27" s="492">
        <v>-0.00334</v>
      </c>
      <c r="K27" s="492"/>
      <c r="L27" s="492">
        <v>9</v>
      </c>
      <c r="M27" s="481"/>
      <c r="N27" s="494">
        <v>9</v>
      </c>
      <c r="O27" s="494"/>
      <c r="P27" s="494"/>
      <c r="Q27" s="494">
        <v>-0.01464</v>
      </c>
      <c r="R27" s="494"/>
      <c r="S27" s="494">
        <v>-0.01116</v>
      </c>
      <c r="T27" s="494"/>
      <c r="U27" s="494">
        <v>-0.00776</v>
      </c>
      <c r="V27" s="494"/>
      <c r="W27" s="494">
        <v>-0.00436</v>
      </c>
      <c r="X27" s="494"/>
      <c r="Y27" s="494">
        <v>9</v>
      </c>
      <c r="Z27" s="481"/>
      <c r="AA27" s="481"/>
      <c r="AB27" s="481"/>
      <c r="AC27" s="481"/>
      <c r="AD27" s="481"/>
      <c r="AE27" s="481"/>
      <c r="AF27" s="481"/>
      <c r="BF27" s="9"/>
      <c r="BI27" s="10"/>
      <c r="BJ27" s="12"/>
      <c r="BK27" s="12"/>
    </row>
    <row r="28" spans="1:63" ht="12.75" customHeight="1">
      <c r="A28" s="492" t="s">
        <v>102</v>
      </c>
      <c r="B28" s="492"/>
      <c r="C28" s="492"/>
      <c r="D28" s="492">
        <v>-0.01358</v>
      </c>
      <c r="E28" s="492"/>
      <c r="F28" s="492">
        <v>-0.01008</v>
      </c>
      <c r="G28" s="492"/>
      <c r="H28" s="492">
        <v>-0.00666</v>
      </c>
      <c r="I28" s="492"/>
      <c r="J28" s="492">
        <v>-0.00318</v>
      </c>
      <c r="K28" s="492"/>
      <c r="L28" s="492" t="s">
        <v>102</v>
      </c>
      <c r="M28" s="481"/>
      <c r="N28" s="494" t="s">
        <v>102</v>
      </c>
      <c r="O28" s="494"/>
      <c r="P28" s="494"/>
      <c r="Q28" s="494">
        <v>-0.0142</v>
      </c>
      <c r="R28" s="494"/>
      <c r="S28" s="494">
        <v>-0.0107</v>
      </c>
      <c r="T28" s="494"/>
      <c r="U28" s="494">
        <v>-0.0073</v>
      </c>
      <c r="V28" s="494"/>
      <c r="W28" s="494">
        <v>-0.00382</v>
      </c>
      <c r="X28" s="494"/>
      <c r="Y28" s="494" t="s">
        <v>102</v>
      </c>
      <c r="Z28" s="481"/>
      <c r="AA28" s="481"/>
      <c r="AB28" s="481"/>
      <c r="AC28" s="481"/>
      <c r="AD28" s="481"/>
      <c r="AE28" s="481"/>
      <c r="AF28" s="481"/>
      <c r="BF28" s="9"/>
      <c r="BI28" s="10"/>
      <c r="BJ28" s="12"/>
      <c r="BK28" s="12"/>
    </row>
    <row r="29" spans="1:63" s="182" customFormat="1" ht="12.75" customHeight="1" hidden="1">
      <c r="A29" s="492" t="s">
        <v>103</v>
      </c>
      <c r="B29" s="492"/>
      <c r="C29" s="492"/>
      <c r="D29" s="492">
        <v>-0.0086</v>
      </c>
      <c r="E29" s="492"/>
      <c r="F29" s="492">
        <v>-0.00606</v>
      </c>
      <c r="G29" s="492"/>
      <c r="H29" s="492">
        <v>-0.00346</v>
      </c>
      <c r="I29" s="492"/>
      <c r="J29" s="492">
        <v>-0.00302</v>
      </c>
      <c r="K29" s="492"/>
      <c r="L29" s="492" t="s">
        <v>103</v>
      </c>
      <c r="M29" s="481"/>
      <c r="N29" s="494" t="s">
        <v>103</v>
      </c>
      <c r="O29" s="494"/>
      <c r="P29" s="494"/>
      <c r="Q29" s="494">
        <v>-0.0096</v>
      </c>
      <c r="R29" s="494"/>
      <c r="S29" s="494">
        <v>-0.00676</v>
      </c>
      <c r="T29" s="494"/>
      <c r="U29" s="494">
        <v>-0.00428</v>
      </c>
      <c r="V29" s="494"/>
      <c r="W29" s="494">
        <v>-0.00372</v>
      </c>
      <c r="X29" s="494"/>
      <c r="Y29" s="494" t="s">
        <v>103</v>
      </c>
      <c r="BF29" s="68"/>
      <c r="BI29" s="183"/>
      <c r="BJ29" s="184"/>
      <c r="BK29" s="184"/>
    </row>
    <row r="30" spans="1:63" ht="12.75" customHeight="1">
      <c r="A30" s="492">
        <v>11</v>
      </c>
      <c r="B30" s="492"/>
      <c r="C30" s="492"/>
      <c r="D30" s="492">
        <v>-0.0142</v>
      </c>
      <c r="E30" s="492"/>
      <c r="F30" s="492">
        <v>-0.01072</v>
      </c>
      <c r="G30" s="492"/>
      <c r="H30" s="492">
        <v>-0.0073</v>
      </c>
      <c r="I30" s="492"/>
      <c r="J30" s="492">
        <v>-0.00384</v>
      </c>
      <c r="K30" s="492"/>
      <c r="L30" s="492">
        <v>11</v>
      </c>
      <c r="M30" s="481"/>
      <c r="N30" s="494">
        <v>11</v>
      </c>
      <c r="O30" s="494"/>
      <c r="P30" s="494"/>
      <c r="Q30" s="494">
        <v>-0.01472</v>
      </c>
      <c r="R30" s="494"/>
      <c r="S30" s="494">
        <v>-0.01124</v>
      </c>
      <c r="T30" s="494"/>
      <c r="U30" s="494">
        <v>-0.00782</v>
      </c>
      <c r="V30" s="494"/>
      <c r="W30" s="494">
        <v>-0.0044</v>
      </c>
      <c r="X30" s="494"/>
      <c r="Y30" s="494">
        <v>11</v>
      </c>
      <c r="Z30" s="481"/>
      <c r="AA30" s="481"/>
      <c r="AB30" s="481"/>
      <c r="AC30" s="481"/>
      <c r="AD30" s="481"/>
      <c r="AE30" s="481"/>
      <c r="AF30" s="481"/>
      <c r="BF30" s="9"/>
      <c r="BI30" s="10"/>
      <c r="BJ30" s="12"/>
      <c r="BK30" s="12"/>
    </row>
    <row r="31" spans="1:63" ht="12.75" customHeight="1">
      <c r="A31" s="492">
        <v>12</v>
      </c>
      <c r="B31" s="492"/>
      <c r="C31" s="492"/>
      <c r="D31" s="492">
        <v>-0.01356</v>
      </c>
      <c r="E31" s="492"/>
      <c r="F31" s="492">
        <v>-0.01014</v>
      </c>
      <c r="G31" s="492"/>
      <c r="H31" s="492">
        <v>-0.00672</v>
      </c>
      <c r="I31" s="492"/>
      <c r="J31" s="492">
        <v>-0.00326</v>
      </c>
      <c r="K31" s="492"/>
      <c r="L31" s="492">
        <v>12</v>
      </c>
      <c r="M31" s="481"/>
      <c r="N31" s="494">
        <v>12</v>
      </c>
      <c r="O31" s="494"/>
      <c r="P31" s="494"/>
      <c r="Q31" s="494">
        <v>-0.015</v>
      </c>
      <c r="R31" s="494"/>
      <c r="S31" s="494">
        <v>-0.01158</v>
      </c>
      <c r="T31" s="494"/>
      <c r="U31" s="494">
        <v>-0.00824</v>
      </c>
      <c r="V31" s="494"/>
      <c r="W31" s="494">
        <v>-0.0048</v>
      </c>
      <c r="X31" s="494"/>
      <c r="Y31" s="494">
        <v>12</v>
      </c>
      <c r="Z31" s="481"/>
      <c r="AA31" s="481"/>
      <c r="AB31" s="481"/>
      <c r="AC31" s="481"/>
      <c r="AD31" s="481"/>
      <c r="AE31" s="481"/>
      <c r="AF31" s="481"/>
      <c r="BF31" s="9"/>
      <c r="BI31" s="10"/>
      <c r="BJ31" s="12"/>
      <c r="BK31" s="12"/>
    </row>
    <row r="32" spans="1:63" ht="12.75" customHeight="1">
      <c r="A32" s="492" t="s">
        <v>104</v>
      </c>
      <c r="B32" s="492"/>
      <c r="C32" s="492"/>
      <c r="D32" s="492">
        <v>-0.01308</v>
      </c>
      <c r="E32" s="492"/>
      <c r="F32" s="492">
        <v>-0.00966</v>
      </c>
      <c r="G32" s="492"/>
      <c r="H32" s="492">
        <v>-0.00638</v>
      </c>
      <c r="I32" s="492"/>
      <c r="J32" s="492">
        <v>-0.00286</v>
      </c>
      <c r="K32" s="492"/>
      <c r="L32" s="492" t="s">
        <v>104</v>
      </c>
      <c r="M32" s="481"/>
      <c r="N32" s="494" t="s">
        <v>104</v>
      </c>
      <c r="O32" s="494"/>
      <c r="P32" s="472"/>
      <c r="Q32" s="494">
        <v>-0.01514</v>
      </c>
      <c r="R32" s="494"/>
      <c r="S32" s="494">
        <v>-0.01117</v>
      </c>
      <c r="T32" s="494"/>
      <c r="U32" s="494">
        <v>-0.00832</v>
      </c>
      <c r="V32" s="494"/>
      <c r="W32" s="494">
        <v>-0.00492</v>
      </c>
      <c r="X32" s="494"/>
      <c r="Y32" s="494" t="s">
        <v>104</v>
      </c>
      <c r="Z32" s="481"/>
      <c r="AA32" s="481"/>
      <c r="AB32" s="481"/>
      <c r="AC32" s="481"/>
      <c r="AD32" s="481"/>
      <c r="AE32" s="481"/>
      <c r="AF32" s="481"/>
      <c r="BF32" s="9"/>
      <c r="BI32" s="10"/>
      <c r="BJ32" s="12"/>
      <c r="BK32" s="12"/>
    </row>
    <row r="33" spans="1:63" s="182" customFormat="1" ht="12.75" customHeight="1" hidden="1" thickBot="1">
      <c r="A33" s="492" t="s">
        <v>105</v>
      </c>
      <c r="B33" s="492"/>
      <c r="C33" s="492"/>
      <c r="D33" s="492">
        <v>-0.00858</v>
      </c>
      <c r="E33" s="492"/>
      <c r="F33" s="492">
        <v>-0.00596</v>
      </c>
      <c r="G33" s="492"/>
      <c r="H33" s="492">
        <v>-0.00332</v>
      </c>
      <c r="I33" s="492"/>
      <c r="J33" s="492">
        <v>-0.00274</v>
      </c>
      <c r="K33" s="492"/>
      <c r="L33" s="492" t="s">
        <v>105</v>
      </c>
      <c r="M33" s="481"/>
      <c r="N33" s="494" t="s">
        <v>105</v>
      </c>
      <c r="O33" s="494"/>
      <c r="P33" s="472"/>
      <c r="Q33" s="494">
        <v>-0.0104</v>
      </c>
      <c r="R33" s="494"/>
      <c r="S33" s="494">
        <v>-0.00752</v>
      </c>
      <c r="T33" s="494"/>
      <c r="U33" s="494">
        <v>-0.0052</v>
      </c>
      <c r="V33" s="494"/>
      <c r="W33" s="494">
        <v>-0.00476</v>
      </c>
      <c r="X33" s="494"/>
      <c r="Y33" s="494" t="s">
        <v>105</v>
      </c>
      <c r="BF33" s="68"/>
      <c r="BI33" s="183"/>
      <c r="BJ33" s="184"/>
      <c r="BK33" s="184"/>
    </row>
    <row r="34" spans="1:63" ht="12.75" customHeight="1">
      <c r="A34" s="492">
        <v>14</v>
      </c>
      <c r="B34" s="492"/>
      <c r="C34" s="492"/>
      <c r="D34" s="492">
        <v>-0.0125</v>
      </c>
      <c r="E34" s="492"/>
      <c r="F34" s="492">
        <v>-0.0091</v>
      </c>
      <c r="G34" s="492"/>
      <c r="H34" s="492">
        <v>-0.00594</v>
      </c>
      <c r="I34" s="492"/>
      <c r="J34" s="492">
        <v>-0.00244</v>
      </c>
      <c r="K34" s="492"/>
      <c r="L34" s="492">
        <v>14</v>
      </c>
      <c r="M34" s="481"/>
      <c r="N34" s="494">
        <v>14</v>
      </c>
      <c r="O34" s="494"/>
      <c r="P34" s="472"/>
      <c r="Q34" s="494">
        <v>-0.0148</v>
      </c>
      <c r="R34" s="494"/>
      <c r="S34" s="494">
        <v>-0.01136</v>
      </c>
      <c r="T34" s="494"/>
      <c r="U34" s="494">
        <v>-0.00802</v>
      </c>
      <c r="V34" s="494"/>
      <c r="W34" s="494">
        <v>-0.0046</v>
      </c>
      <c r="X34" s="494"/>
      <c r="Y34" s="494">
        <v>14</v>
      </c>
      <c r="Z34" s="481"/>
      <c r="AA34" s="481"/>
      <c r="AB34" s="481"/>
      <c r="AC34" s="481"/>
      <c r="AD34" s="481"/>
      <c r="AE34" s="481"/>
      <c r="AF34" s="481"/>
      <c r="BF34" s="9"/>
      <c r="BI34" s="10"/>
      <c r="BJ34" s="12"/>
      <c r="BK34" s="12"/>
    </row>
    <row r="35" spans="1:63" ht="12.75" customHeight="1">
      <c r="A35" s="492">
        <v>15</v>
      </c>
      <c r="B35" s="492"/>
      <c r="C35" s="492"/>
      <c r="D35" s="492">
        <v>-0.01216</v>
      </c>
      <c r="E35" s="492"/>
      <c r="F35" s="492">
        <v>-0.00882</v>
      </c>
      <c r="G35" s="492"/>
      <c r="H35" s="492">
        <v>-0.00558</v>
      </c>
      <c r="I35" s="492"/>
      <c r="J35" s="492">
        <v>-0.00222</v>
      </c>
      <c r="K35" s="492"/>
      <c r="L35" s="492">
        <v>15</v>
      </c>
      <c r="M35" s="481"/>
      <c r="N35" s="494">
        <v>15</v>
      </c>
      <c r="O35" s="494"/>
      <c r="P35" s="472"/>
      <c r="Q35" s="494">
        <v>-0.01484</v>
      </c>
      <c r="R35" s="494"/>
      <c r="S35" s="494">
        <v>-0.01136</v>
      </c>
      <c r="T35" s="494"/>
      <c r="U35" s="494">
        <v>-0.00794</v>
      </c>
      <c r="V35" s="494"/>
      <c r="W35" s="494">
        <v>-0.0045</v>
      </c>
      <c r="X35" s="494"/>
      <c r="Y35" s="494">
        <v>15</v>
      </c>
      <c r="Z35" s="481"/>
      <c r="AA35" s="481"/>
      <c r="AB35" s="481"/>
      <c r="AC35" s="481"/>
      <c r="AD35" s="481"/>
      <c r="AE35" s="481"/>
      <c r="AF35" s="481"/>
      <c r="BF35" s="9"/>
      <c r="BI35" s="10"/>
      <c r="BJ35" s="12"/>
      <c r="BK35" s="12"/>
    </row>
    <row r="36" spans="1:63" ht="12.75" customHeight="1">
      <c r="A36" s="492" t="s">
        <v>106</v>
      </c>
      <c r="B36" s="492"/>
      <c r="C36" s="492"/>
      <c r="D36" s="492">
        <v>-0.01322</v>
      </c>
      <c r="E36" s="492"/>
      <c r="F36" s="492">
        <v>-0.00974</v>
      </c>
      <c r="G36" s="492"/>
      <c r="H36" s="492">
        <v>-0.00644</v>
      </c>
      <c r="I36" s="492"/>
      <c r="J36" s="492">
        <v>-0.00296</v>
      </c>
      <c r="K36" s="492"/>
      <c r="L36" s="492" t="s">
        <v>106</v>
      </c>
      <c r="M36" s="481"/>
      <c r="N36" s="494" t="s">
        <v>106</v>
      </c>
      <c r="O36" s="494"/>
      <c r="P36" s="472"/>
      <c r="Q36" s="494">
        <v>-0.01388</v>
      </c>
      <c r="R36" s="494"/>
      <c r="S36" s="494">
        <v>-0.0104</v>
      </c>
      <c r="T36" s="494"/>
      <c r="U36" s="494">
        <v>-0.00702</v>
      </c>
      <c r="V36" s="494"/>
      <c r="W36" s="494">
        <v>-0.0036</v>
      </c>
      <c r="X36" s="494"/>
      <c r="Y36" s="494" t="s">
        <v>106</v>
      </c>
      <c r="Z36" s="481"/>
      <c r="AA36" s="481"/>
      <c r="AB36" s="481"/>
      <c r="AC36" s="481"/>
      <c r="AD36" s="481"/>
      <c r="AE36" s="481"/>
      <c r="AF36" s="481"/>
      <c r="BF36" s="9"/>
      <c r="BI36" s="10"/>
      <c r="BJ36" s="12"/>
      <c r="BK36" s="12"/>
    </row>
    <row r="37" spans="1:63" s="182" customFormat="1" ht="12.75" customHeight="1" hidden="1">
      <c r="A37" s="492" t="s">
        <v>107</v>
      </c>
      <c r="B37" s="492"/>
      <c r="C37" s="492"/>
      <c r="D37" s="492">
        <v>-0.0084</v>
      </c>
      <c r="E37" s="492"/>
      <c r="F37" s="492">
        <v>-0.00586</v>
      </c>
      <c r="G37" s="492"/>
      <c r="H37" s="492">
        <v>-0.00338</v>
      </c>
      <c r="I37" s="492"/>
      <c r="J37" s="492">
        <v>-0.0028</v>
      </c>
      <c r="K37" s="492"/>
      <c r="L37" s="492" t="s">
        <v>107</v>
      </c>
      <c r="M37" s="481"/>
      <c r="N37" s="494" t="s">
        <v>107</v>
      </c>
      <c r="O37" s="494"/>
      <c r="P37" s="472"/>
      <c r="Q37" s="494">
        <v>-0.00918</v>
      </c>
      <c r="R37" s="494"/>
      <c r="S37" s="494">
        <v>-0.00646</v>
      </c>
      <c r="T37" s="494"/>
      <c r="U37" s="494">
        <v>-0.00388</v>
      </c>
      <c r="V37" s="494"/>
      <c r="W37" s="494">
        <v>-0.00346</v>
      </c>
      <c r="X37" s="494"/>
      <c r="Y37" s="494" t="s">
        <v>107</v>
      </c>
      <c r="BF37" s="68"/>
      <c r="BI37" s="183"/>
      <c r="BJ37" s="184"/>
      <c r="BK37" s="184"/>
    </row>
    <row r="38" spans="1:63" ht="12.75" customHeight="1">
      <c r="A38" s="492">
        <v>17</v>
      </c>
      <c r="B38" s="492"/>
      <c r="C38" s="492"/>
      <c r="D38" s="492">
        <v>-0.01408</v>
      </c>
      <c r="E38" s="492"/>
      <c r="F38" s="492">
        <v>-0.01056</v>
      </c>
      <c r="G38" s="492"/>
      <c r="H38" s="492">
        <v>-0.00706</v>
      </c>
      <c r="I38" s="492"/>
      <c r="J38" s="492">
        <v>-0.00362</v>
      </c>
      <c r="K38" s="492"/>
      <c r="L38" s="492">
        <v>17</v>
      </c>
      <c r="M38" s="481"/>
      <c r="N38" s="494">
        <v>17</v>
      </c>
      <c r="O38" s="494"/>
      <c r="P38" s="472"/>
      <c r="Q38" s="494">
        <v>-0.01428</v>
      </c>
      <c r="R38" s="494"/>
      <c r="S38" s="494">
        <v>-0.01078</v>
      </c>
      <c r="T38" s="494"/>
      <c r="U38" s="494">
        <v>-0.0074</v>
      </c>
      <c r="V38" s="494"/>
      <c r="W38" s="494">
        <v>-0.00396</v>
      </c>
      <c r="X38" s="494"/>
      <c r="Y38" s="494">
        <v>17</v>
      </c>
      <c r="Z38" s="481"/>
      <c r="AA38" s="481"/>
      <c r="AB38" s="481"/>
      <c r="AC38" s="481"/>
      <c r="AD38" s="481"/>
      <c r="AE38" s="481"/>
      <c r="AF38" s="481"/>
      <c r="BF38" s="9"/>
      <c r="BI38" s="10"/>
      <c r="BJ38" s="12"/>
      <c r="BK38" s="12"/>
    </row>
    <row r="39" spans="1:63" ht="12.75" customHeight="1">
      <c r="A39" s="492">
        <v>18</v>
      </c>
      <c r="B39" s="492"/>
      <c r="C39" s="492"/>
      <c r="D39" s="492">
        <v>-0.01406</v>
      </c>
      <c r="E39" s="492"/>
      <c r="F39" s="492">
        <v>-0.01052</v>
      </c>
      <c r="G39" s="492"/>
      <c r="H39" s="492">
        <v>-0.00702</v>
      </c>
      <c r="I39" s="492"/>
      <c r="J39" s="492">
        <v>-0.0035</v>
      </c>
      <c r="K39" s="492"/>
      <c r="L39" s="492">
        <v>18</v>
      </c>
      <c r="M39" s="481"/>
      <c r="N39" s="494">
        <v>18</v>
      </c>
      <c r="O39" s="494"/>
      <c r="P39" s="481"/>
      <c r="Q39" s="494">
        <v>-0.01496</v>
      </c>
      <c r="R39" s="494"/>
      <c r="S39" s="494">
        <v>-0.01146</v>
      </c>
      <c r="T39" s="494"/>
      <c r="U39" s="494">
        <v>-0.00806</v>
      </c>
      <c r="V39" s="494"/>
      <c r="W39" s="494">
        <v>-0.00464</v>
      </c>
      <c r="X39" s="494"/>
      <c r="Y39" s="494">
        <v>18</v>
      </c>
      <c r="Z39" s="481"/>
      <c r="AA39" s="481"/>
      <c r="AB39" s="481"/>
      <c r="AC39" s="481"/>
      <c r="AD39" s="481"/>
      <c r="AE39" s="481"/>
      <c r="AF39" s="481"/>
      <c r="BF39" s="9"/>
      <c r="BI39" s="10"/>
      <c r="BJ39" s="12"/>
      <c r="BK39" s="12"/>
    </row>
    <row r="40" spans="1:63" ht="12.75" customHeight="1">
      <c r="A40" s="492" t="s">
        <v>108</v>
      </c>
      <c r="B40" s="492"/>
      <c r="C40" s="492"/>
      <c r="D40" s="492">
        <v>-0.0132</v>
      </c>
      <c r="E40" s="492">
        <v>0</v>
      </c>
      <c r="F40" s="492">
        <v>-0.0097</v>
      </c>
      <c r="G40" s="492">
        <v>0.00188</v>
      </c>
      <c r="H40" s="492">
        <v>-0.00632</v>
      </c>
      <c r="I40" s="492">
        <v>0.00404</v>
      </c>
      <c r="J40" s="492">
        <v>-0.00274</v>
      </c>
      <c r="K40" s="492">
        <v>0.00598</v>
      </c>
      <c r="L40" s="492" t="s">
        <v>108</v>
      </c>
      <c r="M40" s="481"/>
      <c r="N40" s="494" t="s">
        <v>108</v>
      </c>
      <c r="O40" s="494"/>
      <c r="P40" s="494"/>
      <c r="Q40" s="494">
        <v>-0.01516</v>
      </c>
      <c r="R40" s="494">
        <v>-0.00018</v>
      </c>
      <c r="S40" s="494">
        <v>-0.0117</v>
      </c>
      <c r="T40" s="494">
        <v>0.0021</v>
      </c>
      <c r="U40" s="494">
        <v>-0.00826</v>
      </c>
      <c r="V40" s="494">
        <v>0.00428</v>
      </c>
      <c r="W40" s="494">
        <v>-0.00486</v>
      </c>
      <c r="X40" s="494">
        <v>0.00624</v>
      </c>
      <c r="Y40" s="494" t="s">
        <v>108</v>
      </c>
      <c r="Z40" s="481"/>
      <c r="AA40" s="481"/>
      <c r="AB40" s="481"/>
      <c r="AC40" s="481"/>
      <c r="AD40" s="481"/>
      <c r="AE40" s="481"/>
      <c r="AF40" s="481"/>
      <c r="BF40" s="9"/>
      <c r="BI40" s="10"/>
      <c r="BJ40" s="12"/>
      <c r="BK40" s="12"/>
    </row>
    <row r="41" spans="1:63" s="182" customFormat="1" ht="12.75" customHeight="1" hidden="1">
      <c r="A41" s="492" t="s">
        <v>109</v>
      </c>
      <c r="B41" s="492"/>
      <c r="C41" s="492"/>
      <c r="D41" s="492">
        <v>-0.00854</v>
      </c>
      <c r="E41" s="492">
        <v>0.00178</v>
      </c>
      <c r="F41" s="492">
        <v>-0.0059</v>
      </c>
      <c r="G41" s="492">
        <v>0.0038</v>
      </c>
      <c r="H41" s="492">
        <v>-0.00324</v>
      </c>
      <c r="I41" s="492">
        <v>0.00542</v>
      </c>
      <c r="J41" s="492">
        <v>-0.00264</v>
      </c>
      <c r="K41" s="492">
        <v>0.00598</v>
      </c>
      <c r="L41" s="492" t="s">
        <v>109</v>
      </c>
      <c r="M41" s="481"/>
      <c r="N41" s="494" t="s">
        <v>109</v>
      </c>
      <c r="O41" s="494"/>
      <c r="P41" s="494"/>
      <c r="Q41" s="494">
        <v>-0.01038</v>
      </c>
      <c r="R41" s="494">
        <v>0.002</v>
      </c>
      <c r="S41" s="494">
        <v>-0.00748</v>
      </c>
      <c r="T41" s="494">
        <v>0.00406</v>
      </c>
      <c r="U41" s="494">
        <v>-0.00512</v>
      </c>
      <c r="V41" s="494">
        <v>0.00566</v>
      </c>
      <c r="W41" s="494">
        <v>-0.00468</v>
      </c>
      <c r="X41" s="494">
        <v>0.00624</v>
      </c>
      <c r="Y41" s="494" t="s">
        <v>109</v>
      </c>
      <c r="BF41" s="68"/>
      <c r="BI41" s="183"/>
      <c r="BJ41" s="184"/>
      <c r="BK41" s="184"/>
    </row>
    <row r="42" spans="1:63" ht="12.75" customHeight="1">
      <c r="A42" s="23"/>
      <c r="B42" s="461"/>
      <c r="C42" s="47"/>
      <c r="D42" s="495">
        <f>AVERAGE(D16,D18:D20,D22:D24,D26:D28,D30:D32,D34:D36,D38:D40)</f>
        <v>-0.013467368421052634</v>
      </c>
      <c r="E42" s="180">
        <f>STDEV(D16,D18:D20,D22:D24,D26:D28,D30:D32,D34:D36,D38:D40)</f>
        <v>0.0005148985024606029</v>
      </c>
      <c r="F42" s="495">
        <f>AVERAGE(F16,F18:F20,F22:F24,F26:F28,F30:F32,F34:F36,F38:F40)</f>
        <v>-0.010010526315789473</v>
      </c>
      <c r="G42" s="180">
        <f>STDEV(F16,F18:F20,F22:F24,F26:F28,F30:F32,F34:F36,F38:F40)</f>
        <v>0.00047396054317976576</v>
      </c>
      <c r="H42" s="495">
        <f>AVERAGE(H16,H18:H20,H22:H24,H26:H28,H30:H32,H34:H36,H38:H40)</f>
        <v>-0.006623157894736842</v>
      </c>
      <c r="I42" s="180">
        <f>STDEV(H16,H18:H20,H22:H24,H26:H28,H30:H32,H34:H36,H38:H40)</f>
        <v>0.0004000146196158607</v>
      </c>
      <c r="J42" s="495">
        <f>AVERAGE(J16,J18:J20,J22:J24,J26:J28,J30:J32,J34:J36,J38:J40)</f>
        <v>-0.003318947368421053</v>
      </c>
      <c r="K42" s="180">
        <f>STDEV(J16,J18:J20,J22:J24,J26:J28,J30:J32,J34:J36,J38:J40)</f>
        <v>0.0009012947152528335</v>
      </c>
      <c r="L42" s="96"/>
      <c r="M42" s="462"/>
      <c r="N42" s="96"/>
      <c r="O42" s="96"/>
      <c r="P42" s="96"/>
      <c r="Q42" s="495">
        <f>AVERAGE(Q16,Q18:Q20,Q22:Q24,Q26:Q28,Q30:Q32,Q34:Q36,Q38:Q40)</f>
        <v>-0.014213684210526314</v>
      </c>
      <c r="R42" s="180">
        <f>STDEV(Q16,Q18:Q20,Q22:Q24,Q26:Q28,Q30:Q32,Q34:Q36,Q38:Q40)</f>
        <v>0.0006626563591277367</v>
      </c>
      <c r="S42" s="495">
        <f>AVERAGE(S16,S18:S20,S22:S24,S26:S28,S30:S32,S34:S36,S38:S40)</f>
        <v>-0.01071736842105263</v>
      </c>
      <c r="T42" s="180">
        <f>STDEV(S16,S18:S20,S22:S24,S26:S28,S30:S32,S34:S36,S38:S40)</f>
        <v>0.0006300426978940578</v>
      </c>
      <c r="U42" s="495">
        <f>AVERAGE(U16,U18:U20,U22:U24,U26:U28,U30:U32,U34:U36,U38:U40)</f>
        <v>-0.007344210526315789</v>
      </c>
      <c r="V42" s="180">
        <f>STDEV(U16,U18:U20,U22:U24,U26:U28,U30:U32,U34:U36,U38:U40)</f>
        <v>0.0006708726968945805</v>
      </c>
      <c r="W42" s="495">
        <f>AVERAGE(W16,W18:W20,W22:W24,W26:W28,W30:W32,W34:W36,W38:W40)</f>
        <v>-0.0039031578947368423</v>
      </c>
      <c r="X42" s="180">
        <f>STDEV(W16,W18:W20,W22:W24,W26:W28,W30:W32,W34:W36,W38:W40)</f>
        <v>0.0006918658559092922</v>
      </c>
      <c r="Y42" s="22"/>
      <c r="Z42" s="481"/>
      <c r="AA42" s="481"/>
      <c r="AB42" s="481"/>
      <c r="AC42" s="481"/>
      <c r="AD42" s="481"/>
      <c r="AE42" s="481"/>
      <c r="AF42" s="481"/>
      <c r="BF42" s="9"/>
      <c r="BI42" s="10"/>
      <c r="BJ42" s="12"/>
      <c r="BK42" s="12"/>
    </row>
    <row r="43" spans="1:63" ht="12.75" customHeight="1">
      <c r="A43" s="23" t="s">
        <v>150</v>
      </c>
      <c r="B43" s="461"/>
      <c r="C43" s="47"/>
      <c r="D43" s="180">
        <f>AVERAGE(E16,E18:E20,E22:E24,E26:E28,E30:E32,E34:E36,E38:E40)</f>
        <v>0</v>
      </c>
      <c r="E43" s="180"/>
      <c r="F43" s="180">
        <f>AVERAGE(G16,G18:G20,G22:G24,G26:G28,G30:G32,G34:G36,G38:G40)</f>
        <v>0.0019199999999999998</v>
      </c>
      <c r="G43" s="180"/>
      <c r="H43" s="180">
        <f>AVERAGE(I16,I18:I20,I22:I24,I26:I28,I30:I32,I34:I36,I38:I40)</f>
        <v>0.00408</v>
      </c>
      <c r="I43" s="180"/>
      <c r="J43" s="180">
        <f>AVERAGE(K16,K18:K20,K22:K24,K26:K28,K30:K32,K34:K36,K38:K40)</f>
        <v>0.00602</v>
      </c>
      <c r="K43" s="481"/>
      <c r="L43" s="96"/>
      <c r="M43" s="462"/>
      <c r="N43" s="96"/>
      <c r="O43" s="96"/>
      <c r="P43" s="96"/>
      <c r="Q43" s="180">
        <f>AVERAGE(R16,R18:R20,R22:R24,R26:R28,R30:R32,R34:R36,R38:R40)</f>
        <v>-9E-05</v>
      </c>
      <c r="R43" s="180"/>
      <c r="S43" s="180">
        <f>AVERAGE(T16,T18:T20,T22:T24,T26:T28,T30:T32,T34:T36,T38:T40)</f>
        <v>0.00202</v>
      </c>
      <c r="T43" s="180"/>
      <c r="U43" s="180">
        <f>AVERAGE(V16,V18:V20,V22:V24,V26:V28,V30:V32,V34:V36,V38:V40)</f>
        <v>0.00419</v>
      </c>
      <c r="V43" s="180"/>
      <c r="W43" s="180">
        <f>AVERAGE(X16,X18:X20,X22:X24,X26:X28,X30:X32,X34:X36,X38:X40)</f>
        <v>0.00615</v>
      </c>
      <c r="X43" s="96"/>
      <c r="Y43" s="22"/>
      <c r="Z43" s="481"/>
      <c r="AA43" s="481"/>
      <c r="AB43" s="481"/>
      <c r="AC43" s="481"/>
      <c r="AD43" s="481"/>
      <c r="AE43" s="481"/>
      <c r="AF43" s="481"/>
      <c r="BF43" s="9"/>
      <c r="BI43" s="10"/>
      <c r="BJ43" s="12"/>
      <c r="BK43" s="12"/>
    </row>
    <row r="44" spans="1:32" ht="12.75" customHeight="1">
      <c r="A44" s="25"/>
      <c r="B44" s="25"/>
      <c r="C44" s="25"/>
      <c r="D44" s="25"/>
      <c r="E44" s="97"/>
      <c r="F44" s="509">
        <f>F42-D42</f>
        <v>0.003456842105263161</v>
      </c>
      <c r="G44" s="97"/>
      <c r="H44" s="509">
        <f>H42-F42</f>
        <v>0.003387368421052631</v>
      </c>
      <c r="I44" s="97"/>
      <c r="J44" s="509">
        <f>J42-H42</f>
        <v>0.0033042105263157893</v>
      </c>
      <c r="K44" s="97"/>
      <c r="L44" s="97"/>
      <c r="M44" s="97"/>
      <c r="N44" s="97"/>
      <c r="O44" s="97"/>
      <c r="P44" s="97"/>
      <c r="Q44" s="97"/>
      <c r="R44" s="99"/>
      <c r="S44" s="509">
        <f>S42-Q42</f>
        <v>0.003496315789473684</v>
      </c>
      <c r="T44" s="98"/>
      <c r="U44" s="509">
        <f>U42-S42</f>
        <v>0.003373157894736841</v>
      </c>
      <c r="V44" s="98"/>
      <c r="W44" s="509">
        <f>W42-U42</f>
        <v>0.0034410526315789467</v>
      </c>
      <c r="X44" s="98"/>
      <c r="Y44" s="26"/>
      <c r="Z44" s="481"/>
      <c r="AA44" s="481"/>
      <c r="AB44" s="481"/>
      <c r="AC44" s="481"/>
      <c r="AD44" s="481"/>
      <c r="AE44" s="481"/>
      <c r="AF44" s="481"/>
    </row>
    <row r="45" spans="1:32" ht="12.75" customHeight="1">
      <c r="A45" s="68" t="s">
        <v>110</v>
      </c>
      <c r="B45" s="48"/>
      <c r="C45" s="25"/>
      <c r="D45" s="25"/>
      <c r="E45" s="462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9"/>
      <c r="Y45" s="481"/>
      <c r="Z45" s="481"/>
      <c r="AA45" s="481"/>
      <c r="AB45" s="481"/>
      <c r="AC45" s="481"/>
      <c r="AD45" s="481"/>
      <c r="AE45" s="481"/>
      <c r="AF45" s="481"/>
    </row>
    <row r="46" spans="1:32" s="139" customFormat="1" ht="12.75" customHeight="1">
      <c r="A46" s="140" t="s">
        <v>111</v>
      </c>
      <c r="B46" s="141"/>
      <c r="C46" s="142"/>
      <c r="D46" s="170">
        <v>1</v>
      </c>
      <c r="E46" s="171">
        <f aca="true" t="shared" si="0" ref="E46:N46">D46+1</f>
        <v>2</v>
      </c>
      <c r="F46" s="171">
        <f t="shared" si="0"/>
        <v>3</v>
      </c>
      <c r="G46" s="171">
        <f t="shared" si="0"/>
        <v>4</v>
      </c>
      <c r="H46" s="171">
        <f t="shared" si="0"/>
        <v>5</v>
      </c>
      <c r="I46" s="171">
        <f t="shared" si="0"/>
        <v>6</v>
      </c>
      <c r="J46" s="171">
        <f t="shared" si="0"/>
        <v>7</v>
      </c>
      <c r="K46" s="171">
        <f t="shared" si="0"/>
        <v>8</v>
      </c>
      <c r="L46" s="171">
        <f t="shared" si="0"/>
        <v>9</v>
      </c>
      <c r="M46" s="171">
        <f t="shared" si="0"/>
        <v>10</v>
      </c>
      <c r="N46" s="171">
        <f t="shared" si="0"/>
        <v>11</v>
      </c>
      <c r="O46" s="171">
        <f aca="true" t="shared" si="1" ref="O46:V46">N46+1</f>
        <v>12</v>
      </c>
      <c r="P46" s="171">
        <f t="shared" si="1"/>
        <v>13</v>
      </c>
      <c r="Q46" s="171">
        <f t="shared" si="1"/>
        <v>14</v>
      </c>
      <c r="R46" s="171">
        <f t="shared" si="1"/>
        <v>15</v>
      </c>
      <c r="S46" s="171">
        <f t="shared" si="1"/>
        <v>16</v>
      </c>
      <c r="T46" s="171">
        <f t="shared" si="1"/>
        <v>17</v>
      </c>
      <c r="U46" s="171">
        <f t="shared" si="1"/>
        <v>18</v>
      </c>
      <c r="V46" s="171">
        <f t="shared" si="1"/>
        <v>19</v>
      </c>
      <c r="W46" s="422" t="s">
        <v>0</v>
      </c>
      <c r="X46" s="429" t="s">
        <v>117</v>
      </c>
      <c r="Y46" s="481"/>
      <c r="Z46" s="173"/>
      <c r="AA46" s="173"/>
      <c r="AB46" s="173"/>
      <c r="AC46" s="173"/>
      <c r="AD46" s="173"/>
      <c r="AE46" s="173"/>
      <c r="AF46" s="173"/>
    </row>
    <row r="47" spans="1:32" ht="12.75" customHeight="1">
      <c r="A47" s="45" t="s">
        <v>112</v>
      </c>
      <c r="B47" s="46" t="s">
        <v>113</v>
      </c>
      <c r="C47" s="420" t="s">
        <v>35</v>
      </c>
      <c r="D47" s="120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510"/>
      <c r="T47" s="121"/>
      <c r="U47" s="121"/>
      <c r="V47" s="122"/>
      <c r="W47" s="170"/>
      <c r="X47" s="172"/>
      <c r="Y47" s="481"/>
      <c r="Z47" s="481"/>
      <c r="AA47" s="481"/>
      <c r="AB47" s="481"/>
      <c r="AC47" s="481"/>
      <c r="AD47" s="481"/>
      <c r="AE47" s="481"/>
      <c r="AF47" s="481"/>
    </row>
    <row r="48" spans="1:32" s="138" customFormat="1" ht="12.75" customHeight="1">
      <c r="A48" s="456">
        <v>1111</v>
      </c>
      <c r="B48" s="25">
        <v>8000</v>
      </c>
      <c r="C48" s="25" t="s">
        <v>9</v>
      </c>
      <c r="D48" s="458">
        <f>-D16+$D$43</f>
        <v>0.01354</v>
      </c>
      <c r="E48" s="459">
        <f>-D18+$D$43</f>
        <v>0.01354</v>
      </c>
      <c r="F48" s="459">
        <f>-D19+$D$43</f>
        <v>0.01382</v>
      </c>
      <c r="G48" s="459">
        <f>-D20+$D$43</f>
        <v>0.0136</v>
      </c>
      <c r="H48" s="459">
        <f>-D22+$D$43</f>
        <v>0.0139</v>
      </c>
      <c r="I48" s="459">
        <f>-D23+$D$43</f>
        <v>0.01374</v>
      </c>
      <c r="J48" s="459">
        <f>-D24+$D$43</f>
        <v>0.01338</v>
      </c>
      <c r="K48" s="459">
        <f>-D26+$D$43</f>
        <v>0.01312</v>
      </c>
      <c r="L48" s="459">
        <f>-D27+$D$43</f>
        <v>0.0136</v>
      </c>
      <c r="M48" s="459">
        <f>-D28+$D$43</f>
        <v>0.01358</v>
      </c>
      <c r="N48" s="459">
        <f>-D30+$D$43</f>
        <v>0.0142</v>
      </c>
      <c r="O48" s="459">
        <f>-D31+$D$43</f>
        <v>0.01356</v>
      </c>
      <c r="P48" s="459">
        <f>-D32+$D$43</f>
        <v>0.01308</v>
      </c>
      <c r="Q48" s="459">
        <f>-D34+$D$43</f>
        <v>0.0125</v>
      </c>
      <c r="R48" s="459">
        <f>-D35+$D$43</f>
        <v>0.01216</v>
      </c>
      <c r="S48" s="459">
        <f>-D36+$D$43</f>
        <v>0.01322</v>
      </c>
      <c r="T48" s="459">
        <f>-D38+$D$43</f>
        <v>0.01408</v>
      </c>
      <c r="U48" s="459">
        <f>-D39+$D$43</f>
        <v>0.01406</v>
      </c>
      <c r="V48" s="511">
        <f>-D40+$D$43</f>
        <v>0.0132</v>
      </c>
      <c r="W48" s="430">
        <f>AVERAGE(D48:V48)</f>
        <v>0.013467368421052634</v>
      </c>
      <c r="X48" s="589">
        <f>STDEV(D48:V48)</f>
        <v>0.0005148985024606029</v>
      </c>
      <c r="Y48" s="481"/>
      <c r="Z48" s="481"/>
      <c r="AA48" s="481"/>
      <c r="AB48" s="481"/>
      <c r="AC48" s="481"/>
      <c r="AD48" s="481"/>
      <c r="AE48" s="481"/>
      <c r="AF48" s="481"/>
    </row>
    <row r="49" spans="1:32" s="138" customFormat="1" ht="12.75" customHeight="1">
      <c r="A49" s="456">
        <v>1111</v>
      </c>
      <c r="B49" s="25">
        <v>8000</v>
      </c>
      <c r="C49" s="25" t="s">
        <v>7</v>
      </c>
      <c r="D49" s="466">
        <f>-Q16+$Q$43</f>
        <v>0.01337</v>
      </c>
      <c r="E49" s="467">
        <f>-Q18+$Q$43</f>
        <v>0.013730000000000001</v>
      </c>
      <c r="F49" s="467">
        <f>-Q19+$Q$43</f>
        <v>0.01359</v>
      </c>
      <c r="G49" s="467">
        <f>-Q20+$Q$43</f>
        <v>0.01359</v>
      </c>
      <c r="H49" s="467">
        <f>-Q22+$Q$43</f>
        <v>0.013430000000000001</v>
      </c>
      <c r="I49" s="467">
        <f>-Q23+$Q$43</f>
        <v>0.01345</v>
      </c>
      <c r="J49" s="467">
        <f>-Q24+$Q$43</f>
        <v>0.01315</v>
      </c>
      <c r="K49" s="467">
        <f>-Q26+$Q$43</f>
        <v>0.01341</v>
      </c>
      <c r="L49" s="467">
        <f>-Q27+$Q$43</f>
        <v>0.01455</v>
      </c>
      <c r="M49" s="467">
        <f>-Q28+$Q$43</f>
        <v>0.014110000000000001</v>
      </c>
      <c r="N49" s="467">
        <f>-Q30+$Q$43</f>
        <v>0.01463</v>
      </c>
      <c r="O49" s="467">
        <f>-Q31+$Q$43</f>
        <v>0.01491</v>
      </c>
      <c r="P49" s="467">
        <f>-Q32+$Q$43</f>
        <v>0.015050000000000001</v>
      </c>
      <c r="Q49" s="467">
        <f>-Q34+$Q$43</f>
        <v>0.01471</v>
      </c>
      <c r="R49" s="467">
        <f>-Q35+$Q$43</f>
        <v>0.014750000000000001</v>
      </c>
      <c r="S49" s="467">
        <f>-Q36+$Q$43</f>
        <v>0.01379</v>
      </c>
      <c r="T49" s="467">
        <f>-Q38+$Q$43</f>
        <v>0.01419</v>
      </c>
      <c r="U49" s="467">
        <f>-Q39+$Q$43</f>
        <v>0.01487</v>
      </c>
      <c r="V49" s="589">
        <f>-Q40+$Q$43</f>
        <v>0.01507</v>
      </c>
      <c r="W49" s="430">
        <f>AVERAGE(D49:V49)</f>
        <v>0.014123684210526321</v>
      </c>
      <c r="X49" s="589">
        <f>STDEV(D49:V49)</f>
        <v>0.0006626563591276277</v>
      </c>
      <c r="Y49" s="481"/>
      <c r="Z49" s="481"/>
      <c r="AA49" s="481"/>
      <c r="AB49" s="481"/>
      <c r="AC49" s="481"/>
      <c r="AD49" s="481"/>
      <c r="AE49" s="481"/>
      <c r="AF49" s="481"/>
    </row>
    <row r="50" spans="1:32" s="138" customFormat="1" ht="12.75" customHeight="1">
      <c r="A50" s="456">
        <v>2222</v>
      </c>
      <c r="B50" s="25">
        <v>10000</v>
      </c>
      <c r="C50" s="25" t="s">
        <v>9</v>
      </c>
      <c r="D50" s="458">
        <f>-F16+$F$43</f>
        <v>0.01208</v>
      </c>
      <c r="E50" s="459">
        <f>-F18+$F$43</f>
        <v>0.01204</v>
      </c>
      <c r="F50" s="459">
        <f>-F19+$F$43</f>
        <v>0.01222</v>
      </c>
      <c r="G50" s="459">
        <f>-F20+$F$43</f>
        <v>0.01212</v>
      </c>
      <c r="H50" s="459">
        <f>-F22+$F$43</f>
        <v>0.01226</v>
      </c>
      <c r="I50" s="459">
        <f>-F23+$F$43</f>
        <v>0.01214</v>
      </c>
      <c r="J50" s="459">
        <f>-F24+$F$43</f>
        <v>0.011859999999999999</v>
      </c>
      <c r="K50" s="459">
        <f>-F26+$F$43</f>
        <v>0.01164</v>
      </c>
      <c r="L50" s="459">
        <f>-F27+$F$43</f>
        <v>0.01208</v>
      </c>
      <c r="M50" s="459">
        <f>-F28+$F$43</f>
        <v>0.012</v>
      </c>
      <c r="N50" s="459">
        <f>-F30+$F$43</f>
        <v>0.01264</v>
      </c>
      <c r="O50" s="459">
        <f>-F31+$F$43</f>
        <v>0.01206</v>
      </c>
      <c r="P50" s="459">
        <f>-F32+$F$43</f>
        <v>0.01158</v>
      </c>
      <c r="Q50" s="459">
        <f>-F34+$F$43</f>
        <v>0.01102</v>
      </c>
      <c r="R50" s="459">
        <f>-F35+$F$43</f>
        <v>0.01074</v>
      </c>
      <c r="S50" s="459">
        <f>-F36+$F$43</f>
        <v>0.01166</v>
      </c>
      <c r="T50" s="459">
        <f>-F38+$F$43</f>
        <v>0.01248</v>
      </c>
      <c r="U50" s="459">
        <f>-F39+$F$43</f>
        <v>0.01244</v>
      </c>
      <c r="V50" s="511">
        <f>-F40+$F$43</f>
        <v>0.01162</v>
      </c>
      <c r="W50" s="430">
        <f>AVERAGE(D50:V50)</f>
        <v>0.011930526315789473</v>
      </c>
      <c r="X50" s="589">
        <f>STDEV(D50:V50)</f>
        <v>0.0004739605431797149</v>
      </c>
      <c r="Y50" s="481"/>
      <c r="Z50" s="481"/>
      <c r="AA50" s="481"/>
      <c r="AB50" s="481"/>
      <c r="AC50" s="481"/>
      <c r="AD50" s="481"/>
      <c r="AE50" s="481"/>
      <c r="AF50" s="481"/>
    </row>
    <row r="51" spans="1:32" s="138" customFormat="1" ht="12.75" customHeight="1">
      <c r="A51" s="456">
        <v>2222</v>
      </c>
      <c r="B51" s="25">
        <v>10000</v>
      </c>
      <c r="C51" s="25" t="s">
        <v>7</v>
      </c>
      <c r="D51" s="466">
        <f>-S16+$S$43</f>
        <v>0.01208</v>
      </c>
      <c r="E51" s="467">
        <f>-S18+$S$43</f>
        <v>0.01228</v>
      </c>
      <c r="F51" s="467">
        <f>-S19+$S$43</f>
        <v>0.012220000000000002</v>
      </c>
      <c r="G51" s="467">
        <f>-S20+$S$43</f>
        <v>0.012220000000000002</v>
      </c>
      <c r="H51" s="467">
        <f>-S22+$S$43</f>
        <v>0.0121</v>
      </c>
      <c r="I51" s="467">
        <f>-S23+$S$43</f>
        <v>0.01208</v>
      </c>
      <c r="J51" s="467">
        <f>-S24+$S$43</f>
        <v>0.01184</v>
      </c>
      <c r="K51" s="467">
        <f>-S26+$S$43</f>
        <v>0.012060000000000001</v>
      </c>
      <c r="L51" s="467">
        <f>-S27+$S$43</f>
        <v>0.01318</v>
      </c>
      <c r="M51" s="467">
        <f>-S28+$S$43</f>
        <v>0.012719999999999999</v>
      </c>
      <c r="N51" s="467">
        <f>-S30+$S$43</f>
        <v>0.013260000000000001</v>
      </c>
      <c r="O51" s="467">
        <f>-S31+$S$43</f>
        <v>0.013600000000000001</v>
      </c>
      <c r="P51" s="467">
        <f>-S32+$S$43</f>
        <v>0.01319</v>
      </c>
      <c r="Q51" s="467">
        <f>-S34+$S$43</f>
        <v>0.01338</v>
      </c>
      <c r="R51" s="467">
        <f>-S35+$S$43</f>
        <v>0.01338</v>
      </c>
      <c r="S51" s="467">
        <f>-S36+$S$43</f>
        <v>0.01242</v>
      </c>
      <c r="T51" s="467">
        <f>-S38+$S$43</f>
        <v>0.012799999999999999</v>
      </c>
      <c r="U51" s="467">
        <f>-S39+$S$43</f>
        <v>0.013479999999999999</v>
      </c>
      <c r="V51" s="589">
        <f>-S40+$S$43</f>
        <v>0.01372</v>
      </c>
      <c r="W51" s="430">
        <f>AVERAGE(D51:V51)</f>
        <v>0.012737368421052633</v>
      </c>
      <c r="X51" s="589">
        <f>STDEV(D51:V51)</f>
        <v>0.0006300426978940195</v>
      </c>
      <c r="Y51" s="481"/>
      <c r="Z51" s="481"/>
      <c r="AA51" s="481"/>
      <c r="AB51" s="481"/>
      <c r="AC51" s="481"/>
      <c r="AD51" s="481"/>
      <c r="AE51" s="481"/>
      <c r="AF51" s="481"/>
    </row>
    <row r="52" spans="1:32" s="138" customFormat="1" ht="12.75" customHeight="1">
      <c r="A52" s="456">
        <v>3333</v>
      </c>
      <c r="B52" s="25">
        <v>12000</v>
      </c>
      <c r="C52" s="25" t="s">
        <v>9</v>
      </c>
      <c r="D52" s="458">
        <f>-H16+$H$43</f>
        <v>0.01082</v>
      </c>
      <c r="E52" s="459">
        <f>-H18+$H$43</f>
        <v>0.010780000000000001</v>
      </c>
      <c r="F52" s="459">
        <f>-H19+$H$43</f>
        <v>0.011</v>
      </c>
      <c r="G52" s="459">
        <f>-H20+$H$43</f>
        <v>0.01086</v>
      </c>
      <c r="H52" s="459">
        <f>-H22+$H$43</f>
        <v>0.01098</v>
      </c>
      <c r="I52" s="459">
        <f>-H23+$H$43</f>
        <v>0.01082</v>
      </c>
      <c r="J52" s="459">
        <f>-H24+$H$43</f>
        <v>0.01054</v>
      </c>
      <c r="K52" s="459">
        <f>-H26+$H$43</f>
        <v>0.01048</v>
      </c>
      <c r="L52" s="459">
        <f>-H27+$H$43</f>
        <v>0.01086</v>
      </c>
      <c r="M52" s="459">
        <f>-H28+$H$43</f>
        <v>0.01074</v>
      </c>
      <c r="N52" s="459">
        <f>-H30+$H$43</f>
        <v>0.011380000000000001</v>
      </c>
      <c r="O52" s="459">
        <f>-H31+$H$43</f>
        <v>0.0108</v>
      </c>
      <c r="P52" s="459">
        <f>-H32+$H$43</f>
        <v>0.01046</v>
      </c>
      <c r="Q52" s="459">
        <f>-H34+$H$43</f>
        <v>0.010020000000000001</v>
      </c>
      <c r="R52" s="459">
        <f>-H35+$H$43</f>
        <v>0.00966</v>
      </c>
      <c r="S52" s="459">
        <f>-H36+$H$43</f>
        <v>0.010520000000000002</v>
      </c>
      <c r="T52" s="459">
        <f>-H38+$H$43</f>
        <v>0.01114</v>
      </c>
      <c r="U52" s="459">
        <f>-H39+$H$43</f>
        <v>0.0111</v>
      </c>
      <c r="V52" s="511">
        <f>-H40+$H$43</f>
        <v>0.0104</v>
      </c>
      <c r="W52" s="430">
        <f>AVERAGE(D52:F52,H52:V52)</f>
        <v>0.010694444444444444</v>
      </c>
      <c r="X52" s="589">
        <f>STDEV(D52:F52,H52:V52)</f>
        <v>0.00040975203724467684</v>
      </c>
      <c r="Y52" s="481"/>
      <c r="Z52" s="481"/>
      <c r="AA52" s="481"/>
      <c r="AB52" s="481"/>
      <c r="AC52" s="481"/>
      <c r="AD52" s="481"/>
      <c r="AE52" s="481"/>
      <c r="AF52" s="481"/>
    </row>
    <row r="53" spans="1:32" s="138" customFormat="1" ht="12.75" customHeight="1">
      <c r="A53" s="456">
        <v>3333</v>
      </c>
      <c r="B53" s="25">
        <v>12000</v>
      </c>
      <c r="C53" s="25" t="s">
        <v>7</v>
      </c>
      <c r="D53" s="466">
        <f>-U16+$U$43</f>
        <v>0.010870000000000001</v>
      </c>
      <c r="E53" s="467">
        <f>-U18+$U$43</f>
        <v>0.01093</v>
      </c>
      <c r="F53" s="467">
        <f>-U19+$U$43</f>
        <v>0.01103</v>
      </c>
      <c r="G53" s="467">
        <f>-U20+$U$43</f>
        <v>0.010950000000000001</v>
      </c>
      <c r="H53" s="467">
        <f>-U22+$U$43</f>
        <v>0.01083</v>
      </c>
      <c r="I53" s="467">
        <f>-U23+$U$43</f>
        <v>0.010870000000000001</v>
      </c>
      <c r="J53" s="467">
        <f>-U24+$U$43</f>
        <v>0.01065</v>
      </c>
      <c r="K53" s="467">
        <f>-U26+$U$43</f>
        <v>0.010790000000000001</v>
      </c>
      <c r="L53" s="467">
        <f>-U27+$U$43</f>
        <v>0.01195</v>
      </c>
      <c r="M53" s="467">
        <f>-U28+$U$43</f>
        <v>0.01149</v>
      </c>
      <c r="N53" s="467">
        <f>-U30+$U$43</f>
        <v>0.01201</v>
      </c>
      <c r="O53" s="467">
        <f>-U31+$U$43</f>
        <v>0.01243</v>
      </c>
      <c r="P53" s="467">
        <f>-U32+$U$43</f>
        <v>0.01251</v>
      </c>
      <c r="Q53" s="467">
        <f>-U34+$U$43</f>
        <v>0.012209999999999999</v>
      </c>
      <c r="R53" s="467">
        <f>-U35+$U$43</f>
        <v>0.012129999999999998</v>
      </c>
      <c r="S53" s="467">
        <f>-U36+$U$43</f>
        <v>0.011210000000000001</v>
      </c>
      <c r="T53" s="467">
        <f>-U38+$U$43</f>
        <v>0.01159</v>
      </c>
      <c r="U53" s="467">
        <f>-U39+$U$43</f>
        <v>0.01225</v>
      </c>
      <c r="V53" s="589">
        <f>-U40+$U$43</f>
        <v>0.01245</v>
      </c>
      <c r="W53" s="430">
        <f>AVERAGE(D53:V53)</f>
        <v>0.01153421052631579</v>
      </c>
      <c r="X53" s="589">
        <f>STDEV(D53:V53)</f>
        <v>0.0006708726968946075</v>
      </c>
      <c r="Y53" s="481"/>
      <c r="Z53" s="481"/>
      <c r="AA53" s="481"/>
      <c r="AB53" s="481"/>
      <c r="AC53" s="481"/>
      <c r="AD53" s="481"/>
      <c r="AE53" s="481"/>
      <c r="AF53" s="481"/>
    </row>
    <row r="54" spans="1:32" s="138" customFormat="1" ht="12.75" customHeight="1">
      <c r="A54" s="456">
        <v>4444</v>
      </c>
      <c r="B54" s="25">
        <v>14000</v>
      </c>
      <c r="C54" s="25" t="s">
        <v>9</v>
      </c>
      <c r="D54" s="458">
        <f>-J16+$J$43</f>
        <v>0.00928</v>
      </c>
      <c r="E54" s="459">
        <f>-J18+$J$43</f>
        <v>0.00922</v>
      </c>
      <c r="F54" s="459">
        <f>-J19+$J$43</f>
        <v>0.00954</v>
      </c>
      <c r="G54" s="459">
        <f>-J20+$J$43</f>
        <v>0.01268</v>
      </c>
      <c r="H54" s="459">
        <f>-J22+$J$43</f>
        <v>0.0094</v>
      </c>
      <c r="I54" s="459">
        <f>-J23+$J$43</f>
        <v>0.009260000000000001</v>
      </c>
      <c r="J54" s="459">
        <f>-J24+$J$43</f>
        <v>0.00894</v>
      </c>
      <c r="K54" s="459">
        <f>-J26+$J$43</f>
        <v>0.00894</v>
      </c>
      <c r="L54" s="459">
        <f>-J27+$J$43</f>
        <v>0.00936</v>
      </c>
      <c r="M54" s="459">
        <f>-J28+$J$43</f>
        <v>0.0092</v>
      </c>
      <c r="N54" s="459">
        <f>-J30+$J$43</f>
        <v>0.00986</v>
      </c>
      <c r="O54" s="459">
        <f>-J31+$J$43</f>
        <v>0.00928</v>
      </c>
      <c r="P54" s="459">
        <f>-J32+$J$43</f>
        <v>0.00888</v>
      </c>
      <c r="Q54" s="459">
        <f>-J34+$J$43</f>
        <v>0.00846</v>
      </c>
      <c r="R54" s="459">
        <f>-J35+$J$43</f>
        <v>0.00824</v>
      </c>
      <c r="S54" s="459">
        <f>-J36+$J$43</f>
        <v>0.00898</v>
      </c>
      <c r="T54" s="459">
        <f>-J38+$J$43</f>
        <v>0.00964</v>
      </c>
      <c r="U54" s="459">
        <f>-J39+$J$43</f>
        <v>0.00952</v>
      </c>
      <c r="V54" s="511">
        <f>-J40+$J$43</f>
        <v>0.00876</v>
      </c>
      <c r="W54" s="430">
        <f>AVERAGE(D54:F54,H54:V54)</f>
        <v>0.009153333333333333</v>
      </c>
      <c r="X54" s="589">
        <f>STDEV(D54:F54,H54:V54)</f>
        <v>0.0004086707289566016</v>
      </c>
      <c r="Y54" s="481"/>
      <c r="Z54" s="481"/>
      <c r="AA54" s="481"/>
      <c r="AB54" s="481"/>
      <c r="AC54" s="481"/>
      <c r="AD54" s="481"/>
      <c r="AE54" s="481"/>
      <c r="AF54" s="481"/>
    </row>
    <row r="55" spans="1:32" s="138" customFormat="1" ht="12.75" customHeight="1">
      <c r="A55" s="468">
        <v>4444</v>
      </c>
      <c r="B55" s="24">
        <v>14000</v>
      </c>
      <c r="C55" s="24" t="s">
        <v>7</v>
      </c>
      <c r="D55" s="470">
        <f>-W16+$W$43</f>
        <v>0.00937</v>
      </c>
      <c r="E55" s="471">
        <f>-W18+$W$43</f>
        <v>0.00933</v>
      </c>
      <c r="F55" s="471">
        <f>-W19+$W$43</f>
        <v>0.00955</v>
      </c>
      <c r="G55" s="471">
        <f>-W20+$W$43</f>
        <v>0.00947</v>
      </c>
      <c r="H55" s="471">
        <f>-W22+$W$43</f>
        <v>0.00935</v>
      </c>
      <c r="I55" s="471">
        <f>-W23+$W$43</f>
        <v>0.00941</v>
      </c>
      <c r="J55" s="471">
        <f>-W24+$W$43</f>
        <v>0.00915</v>
      </c>
      <c r="K55" s="471">
        <f>-W26+$W$43</f>
        <v>0.00927</v>
      </c>
      <c r="L55" s="471">
        <f>-W27+$W$43</f>
        <v>0.01051</v>
      </c>
      <c r="M55" s="471">
        <f>-W28+$W$43</f>
        <v>0.00997</v>
      </c>
      <c r="N55" s="471">
        <f>-W30+$W$43</f>
        <v>0.01055</v>
      </c>
      <c r="O55" s="471">
        <f>-W31+$W$43</f>
        <v>0.01095</v>
      </c>
      <c r="P55" s="471">
        <f>-W32+$W$43</f>
        <v>0.01107</v>
      </c>
      <c r="Q55" s="471">
        <f>-W34+$W$43</f>
        <v>0.01075</v>
      </c>
      <c r="R55" s="471">
        <f>-W35+$W$43</f>
        <v>0.01065</v>
      </c>
      <c r="S55" s="471">
        <f>-W36+$W$43</f>
        <v>0.00975</v>
      </c>
      <c r="T55" s="471">
        <f>-W38+$W$43</f>
        <v>0.010110000000000001</v>
      </c>
      <c r="U55" s="471">
        <f>-W39+$W$43</f>
        <v>0.010790000000000001</v>
      </c>
      <c r="V55" s="590">
        <f>-W40+$W$43</f>
        <v>0.011009999999999999</v>
      </c>
      <c r="W55" s="431">
        <f>AVERAGE(D55:V55)</f>
        <v>0.010053157894736844</v>
      </c>
      <c r="X55" s="590">
        <f>STDEV(D55:V55)</f>
        <v>0.0006918658559092552</v>
      </c>
      <c r="Y55" s="481"/>
      <c r="Z55" s="481"/>
      <c r="AA55" s="481"/>
      <c r="AB55" s="481"/>
      <c r="AC55" s="481"/>
      <c r="AD55" s="481"/>
      <c r="AE55" s="481"/>
      <c r="AF55" s="481"/>
    </row>
    <row r="56" spans="1:32" ht="12.75" customHeight="1">
      <c r="A56" s="25"/>
      <c r="B56" s="25"/>
      <c r="C56" s="25"/>
      <c r="D56" s="512"/>
      <c r="E56" s="512"/>
      <c r="F56" s="512"/>
      <c r="G56" s="512"/>
      <c r="H56" s="512"/>
      <c r="I56" s="512"/>
      <c r="J56" s="512"/>
      <c r="K56" s="512"/>
      <c r="L56" s="512"/>
      <c r="M56" s="512"/>
      <c r="N56" s="512"/>
      <c r="O56" s="512"/>
      <c r="P56" s="512"/>
      <c r="Q56" s="512"/>
      <c r="R56" s="512"/>
      <c r="S56" s="512"/>
      <c r="T56" s="512"/>
      <c r="U56" s="512"/>
      <c r="V56" s="512"/>
      <c r="W56" s="512"/>
      <c r="X56" s="481"/>
      <c r="Y56" s="481"/>
      <c r="Z56" s="481"/>
      <c r="AA56" s="481"/>
      <c r="AB56" s="481"/>
      <c r="AC56" s="481"/>
      <c r="AD56" s="481"/>
      <c r="AE56" s="481"/>
      <c r="AF56" s="481"/>
    </row>
    <row r="57" spans="1:32" ht="12.75" customHeight="1">
      <c r="A57" s="25"/>
      <c r="B57" s="25"/>
      <c r="C57" s="25"/>
      <c r="D57" s="512"/>
      <c r="E57" s="512"/>
      <c r="F57" s="512"/>
      <c r="G57" s="512"/>
      <c r="H57" s="512"/>
      <c r="I57" s="512"/>
      <c r="J57" s="512"/>
      <c r="K57" s="512"/>
      <c r="L57" s="512"/>
      <c r="M57" s="512"/>
      <c r="N57" s="512"/>
      <c r="O57" s="512"/>
      <c r="P57" s="512"/>
      <c r="Q57" s="512"/>
      <c r="R57" s="512"/>
      <c r="S57" s="512"/>
      <c r="T57" s="512"/>
      <c r="U57" s="512"/>
      <c r="V57" s="512"/>
      <c r="W57" s="512"/>
      <c r="X57" s="481"/>
      <c r="Y57" s="481"/>
      <c r="Z57" s="481"/>
      <c r="AA57" s="481"/>
      <c r="AB57" s="481"/>
      <c r="AC57" s="481"/>
      <c r="AD57" s="481"/>
      <c r="AE57" s="481"/>
      <c r="AF57" s="481"/>
    </row>
    <row r="58" spans="1:32" ht="12.75" customHeight="1">
      <c r="A58" s="67" t="s">
        <v>66</v>
      </c>
      <c r="B58" s="2"/>
      <c r="C58" s="2"/>
      <c r="D58" s="512"/>
      <c r="E58" s="512"/>
      <c r="F58" s="512"/>
      <c r="G58" s="512"/>
      <c r="H58" s="512"/>
      <c r="I58" s="512"/>
      <c r="J58" s="512"/>
      <c r="K58" s="512"/>
      <c r="L58" s="512"/>
      <c r="M58" s="512"/>
      <c r="N58" s="512"/>
      <c r="O58" s="512"/>
      <c r="P58" s="512"/>
      <c r="Q58" s="512"/>
      <c r="R58" s="512"/>
      <c r="S58" s="512"/>
      <c r="T58" s="512"/>
      <c r="U58" s="512"/>
      <c r="V58" s="512"/>
      <c r="W58" s="512"/>
      <c r="X58" s="481"/>
      <c r="Y58" s="481"/>
      <c r="Z58" s="481"/>
      <c r="AA58" s="481"/>
      <c r="AB58" s="481"/>
      <c r="AC58" s="481"/>
      <c r="AD58" s="481"/>
      <c r="AE58" s="481"/>
      <c r="AF58" s="481"/>
    </row>
    <row r="59" spans="1:26" s="143" customFormat="1" ht="12.75" customHeight="1">
      <c r="A59" s="144" t="s">
        <v>111</v>
      </c>
      <c r="B59" s="145"/>
      <c r="C59" s="146"/>
      <c r="D59" s="513">
        <v>1</v>
      </c>
      <c r="E59" s="514">
        <f aca="true" t="shared" si="2" ref="E59:N59">D59+1</f>
        <v>2</v>
      </c>
      <c r="F59" s="514">
        <f t="shared" si="2"/>
        <v>3</v>
      </c>
      <c r="G59" s="514">
        <f t="shared" si="2"/>
        <v>4</v>
      </c>
      <c r="H59" s="514">
        <f t="shared" si="2"/>
        <v>5</v>
      </c>
      <c r="I59" s="514">
        <f t="shared" si="2"/>
        <v>6</v>
      </c>
      <c r="J59" s="514">
        <f t="shared" si="2"/>
        <v>7</v>
      </c>
      <c r="K59" s="514">
        <f t="shared" si="2"/>
        <v>8</v>
      </c>
      <c r="L59" s="514">
        <f t="shared" si="2"/>
        <v>9</v>
      </c>
      <c r="M59" s="514">
        <f t="shared" si="2"/>
        <v>10</v>
      </c>
      <c r="N59" s="514">
        <f t="shared" si="2"/>
        <v>11</v>
      </c>
      <c r="O59" s="514">
        <f aca="true" t="shared" si="3" ref="O59:V59">N59+1</f>
        <v>12</v>
      </c>
      <c r="P59" s="514">
        <f t="shared" si="3"/>
        <v>13</v>
      </c>
      <c r="Q59" s="514">
        <f t="shared" si="3"/>
        <v>14</v>
      </c>
      <c r="R59" s="514">
        <f t="shared" si="3"/>
        <v>15</v>
      </c>
      <c r="S59" s="514">
        <f t="shared" si="3"/>
        <v>16</v>
      </c>
      <c r="T59" s="514">
        <f t="shared" si="3"/>
        <v>17</v>
      </c>
      <c r="U59" s="514">
        <f t="shared" si="3"/>
        <v>18</v>
      </c>
      <c r="V59" s="514">
        <f t="shared" si="3"/>
        <v>19</v>
      </c>
      <c r="W59" s="422" t="s">
        <v>0</v>
      </c>
      <c r="X59" s="429" t="s">
        <v>117</v>
      </c>
      <c r="Y59" s="481"/>
      <c r="Z59" s="145"/>
    </row>
    <row r="60" spans="1:26" s="49" customFormat="1" ht="12.75" customHeight="1">
      <c r="A60" s="82" t="s">
        <v>114</v>
      </c>
      <c r="B60" s="83"/>
      <c r="C60" s="421" t="s">
        <v>35</v>
      </c>
      <c r="D60" s="124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6"/>
      <c r="W60" s="170"/>
      <c r="X60" s="172"/>
      <c r="Y60" s="481"/>
      <c r="Z60" s="154"/>
    </row>
    <row r="61" spans="1:26" s="51" customFormat="1" ht="12.75" customHeight="1">
      <c r="A61" s="85">
        <v>8</v>
      </c>
      <c r="B61" s="86">
        <v>10</v>
      </c>
      <c r="C61" s="86" t="s">
        <v>9</v>
      </c>
      <c r="D61" s="85">
        <f aca="true" t="shared" si="4" ref="D61:M66">IF($C$4="inner",(-0.000001*($B50-$B48)/((D50-D48)/($G$6))),(-0.000001*($B50-$B48)/((D50-D48)/($I$6))))</f>
        <v>1.3636011187046833</v>
      </c>
      <c r="E61" s="86">
        <f t="shared" si="4"/>
        <v>1.3272384222058915</v>
      </c>
      <c r="F61" s="86">
        <f t="shared" si="4"/>
        <v>1.2442860208180224</v>
      </c>
      <c r="G61" s="86">
        <f t="shared" si="4"/>
        <v>1.3451740765600262</v>
      </c>
      <c r="H61" s="86">
        <f t="shared" si="4"/>
        <v>1.2139375812858768</v>
      </c>
      <c r="I61" s="86">
        <f t="shared" si="4"/>
        <v>1.2442860208180224</v>
      </c>
      <c r="J61" s="86">
        <f t="shared" si="4"/>
        <v>1.3097747587558133</v>
      </c>
      <c r="K61" s="86">
        <f t="shared" si="4"/>
        <v>1.3451740765600246</v>
      </c>
      <c r="L61" s="86">
        <f t="shared" si="4"/>
        <v>1.3097747587558146</v>
      </c>
      <c r="M61" s="86">
        <f t="shared" si="4"/>
        <v>1.260036476777745</v>
      </c>
      <c r="N61" s="86">
        <f aca="true" t="shared" si="5" ref="N61:V66">IF($C$4="inner",(-0.000001*($B50-$B48)/((N50-N48)/($G$6))),(-0.000001*($B50-$B48)/((N50-N48)/($I$6))))</f>
        <v>1.2761907905825873</v>
      </c>
      <c r="O61" s="86">
        <f t="shared" si="5"/>
        <v>1.3272384222058915</v>
      </c>
      <c r="P61" s="86">
        <f t="shared" si="5"/>
        <v>1.3272384222058915</v>
      </c>
      <c r="Q61" s="86">
        <f t="shared" si="5"/>
        <v>1.3451740765600246</v>
      </c>
      <c r="R61" s="86">
        <f t="shared" si="5"/>
        <v>1.4020124178231235</v>
      </c>
      <c r="S61" s="86">
        <f t="shared" si="5"/>
        <v>1.2761907905825873</v>
      </c>
      <c r="T61" s="86">
        <f t="shared" si="5"/>
        <v>1.2442860208180224</v>
      </c>
      <c r="U61" s="86">
        <f t="shared" si="5"/>
        <v>1.228924465005455</v>
      </c>
      <c r="V61" s="72">
        <f t="shared" si="5"/>
        <v>1.260036476777745</v>
      </c>
      <c r="W61" s="430">
        <f>AVERAGE(D61:V61)</f>
        <v>1.2973986944106972</v>
      </c>
      <c r="X61" s="601">
        <f>STDEV(D61:V61)</f>
        <v>0.05215392938046595</v>
      </c>
      <c r="Y61" s="481"/>
      <c r="Z61" s="86"/>
    </row>
    <row r="62" spans="1:26" s="51" customFormat="1" ht="12.75" customHeight="1">
      <c r="A62" s="85">
        <v>8</v>
      </c>
      <c r="B62" s="86">
        <v>10</v>
      </c>
      <c r="C62" s="86" t="s">
        <v>7</v>
      </c>
      <c r="D62" s="85">
        <f t="shared" si="4"/>
        <v>1.5433004909370833</v>
      </c>
      <c r="E62" s="86">
        <f t="shared" si="4"/>
        <v>1.3730052643509205</v>
      </c>
      <c r="F62" s="86">
        <f t="shared" si="4"/>
        <v>1.4531807542400292</v>
      </c>
      <c r="G62" s="86">
        <f t="shared" si="4"/>
        <v>1.4531807542400292</v>
      </c>
      <c r="H62" s="86">
        <f t="shared" si="4"/>
        <v>1.4968854385780714</v>
      </c>
      <c r="I62" s="86">
        <f t="shared" si="4"/>
        <v>1.453180754240027</v>
      </c>
      <c r="J62" s="86">
        <f t="shared" si="4"/>
        <v>1.5197386513807911</v>
      </c>
      <c r="K62" s="86">
        <f t="shared" si="4"/>
        <v>1.4747093580065471</v>
      </c>
      <c r="L62" s="86">
        <f t="shared" si="4"/>
        <v>1.453180754240027</v>
      </c>
      <c r="M62" s="86">
        <f t="shared" si="4"/>
        <v>1.4322716786394487</v>
      </c>
      <c r="N62" s="86">
        <f t="shared" si="5"/>
        <v>1.453180754240027</v>
      </c>
      <c r="O62" s="86">
        <f t="shared" si="5"/>
        <v>1.5197386513807931</v>
      </c>
      <c r="P62" s="426">
        <f t="shared" si="5"/>
        <v>1.0703535662950732</v>
      </c>
      <c r="Q62" s="86">
        <f t="shared" si="5"/>
        <v>1.4968854385780714</v>
      </c>
      <c r="R62" s="86">
        <f t="shared" si="5"/>
        <v>1.4531807542400252</v>
      </c>
      <c r="S62" s="86">
        <f t="shared" si="5"/>
        <v>1.453180754240027</v>
      </c>
      <c r="T62" s="86">
        <f t="shared" si="5"/>
        <v>1.4322716786394505</v>
      </c>
      <c r="U62" s="86">
        <f t="shared" si="5"/>
        <v>1.4322716786394505</v>
      </c>
      <c r="V62" s="72">
        <f t="shared" si="5"/>
        <v>1.4747093580065451</v>
      </c>
      <c r="W62" s="430">
        <f aca="true" t="shared" si="6" ref="W62:W68">AVERAGE(D62:V62)</f>
        <v>1.444126659637497</v>
      </c>
      <c r="X62" s="601">
        <f>STDEV(D62:V62)</f>
        <v>0.09845117574384757</v>
      </c>
      <c r="Y62" s="481"/>
      <c r="Z62" s="86"/>
    </row>
    <row r="63" spans="1:26" s="51" customFormat="1" ht="12.75" customHeight="1">
      <c r="A63" s="85">
        <v>10</v>
      </c>
      <c r="B63" s="86">
        <v>12</v>
      </c>
      <c r="C63" s="86" t="s">
        <v>9</v>
      </c>
      <c r="D63" s="85">
        <f t="shared" si="4"/>
        <v>1.5800457407212982</v>
      </c>
      <c r="E63" s="86">
        <f t="shared" si="4"/>
        <v>1.5800457407213002</v>
      </c>
      <c r="F63" s="86">
        <f t="shared" si="4"/>
        <v>1.6318505191056032</v>
      </c>
      <c r="G63" s="86">
        <f t="shared" si="4"/>
        <v>1.5800457407212982</v>
      </c>
      <c r="H63" s="86">
        <f t="shared" si="4"/>
        <v>1.555357526022529</v>
      </c>
      <c r="I63" s="86">
        <f t="shared" si="4"/>
        <v>1.508225479779422</v>
      </c>
      <c r="J63" s="86">
        <f t="shared" si="4"/>
        <v>1.508225479779424</v>
      </c>
      <c r="K63" s="86">
        <f t="shared" si="4"/>
        <v>1.7162565804386531</v>
      </c>
      <c r="L63" s="86">
        <f t="shared" si="4"/>
        <v>1.6318505191056032</v>
      </c>
      <c r="M63" s="86">
        <f t="shared" si="4"/>
        <v>1.5800457407212982</v>
      </c>
      <c r="N63" s="86">
        <f t="shared" si="5"/>
        <v>1.5800457407213002</v>
      </c>
      <c r="O63" s="86">
        <f t="shared" si="5"/>
        <v>1.5800457407213002</v>
      </c>
      <c r="P63" s="86">
        <f t="shared" si="5"/>
        <v>1.7775514583114622</v>
      </c>
      <c r="Q63" s="86">
        <f t="shared" si="5"/>
        <v>1.9908576333088384</v>
      </c>
      <c r="R63" s="86">
        <f t="shared" si="5"/>
        <v>1.8433866975081836</v>
      </c>
      <c r="S63" s="86">
        <f t="shared" si="5"/>
        <v>1.7463663450077536</v>
      </c>
      <c r="T63" s="86">
        <f t="shared" si="5"/>
        <v>1.4857146517230135</v>
      </c>
      <c r="U63" s="86">
        <f t="shared" si="5"/>
        <v>1.4857146517230135</v>
      </c>
      <c r="V63" s="72">
        <f t="shared" si="5"/>
        <v>1.6318505191056032</v>
      </c>
      <c r="W63" s="430">
        <f t="shared" si="6"/>
        <v>1.6312359213287844</v>
      </c>
      <c r="X63" s="601">
        <f>STDEV(D63:V63)</f>
        <v>0.13130219168443755</v>
      </c>
      <c r="Y63" s="481"/>
      <c r="Z63" s="86"/>
    </row>
    <row r="64" spans="1:26" s="51" customFormat="1" ht="12.75" customHeight="1">
      <c r="A64" s="85">
        <v>10</v>
      </c>
      <c r="B64" s="86">
        <v>12</v>
      </c>
      <c r="C64" s="86" t="s">
        <v>7</v>
      </c>
      <c r="D64" s="85">
        <f t="shared" si="4"/>
        <v>1.6453368870320975</v>
      </c>
      <c r="E64" s="86">
        <f t="shared" si="4"/>
        <v>1.4747093580065471</v>
      </c>
      <c r="F64" s="86">
        <f t="shared" si="4"/>
        <v>1.6729896078225495</v>
      </c>
      <c r="G64" s="86">
        <f t="shared" si="4"/>
        <v>1.567604435676249</v>
      </c>
      <c r="H64" s="86">
        <f t="shared" si="4"/>
        <v>1.567604435676249</v>
      </c>
      <c r="I64" s="86">
        <f t="shared" si="4"/>
        <v>1.6453368870320975</v>
      </c>
      <c r="J64" s="86">
        <f t="shared" si="4"/>
        <v>1.672989607822552</v>
      </c>
      <c r="K64" s="86">
        <f t="shared" si="4"/>
        <v>1.567604435676249</v>
      </c>
      <c r="L64" s="86">
        <f t="shared" si="4"/>
        <v>1.618583441714501</v>
      </c>
      <c r="M64" s="86">
        <f t="shared" si="4"/>
        <v>1.6185834417145035</v>
      </c>
      <c r="N64" s="86">
        <f t="shared" si="5"/>
        <v>1.5926861066470681</v>
      </c>
      <c r="O64" s="86">
        <f t="shared" si="5"/>
        <v>1.7015877207767822</v>
      </c>
      <c r="P64" s="426">
        <f t="shared" si="5"/>
        <v>2.9277318136894657</v>
      </c>
      <c r="Q64" s="86">
        <f t="shared" si="5"/>
        <v>1.7015877207767822</v>
      </c>
      <c r="R64" s="86">
        <f t="shared" si="5"/>
        <v>1.5926861066470681</v>
      </c>
      <c r="S64" s="86">
        <f t="shared" si="5"/>
        <v>1.6453368870320975</v>
      </c>
      <c r="T64" s="86">
        <f t="shared" si="5"/>
        <v>1.6453368870320975</v>
      </c>
      <c r="U64" s="86">
        <f t="shared" si="5"/>
        <v>1.6185834417145035</v>
      </c>
      <c r="V64" s="72">
        <f t="shared" si="5"/>
        <v>1.567604435676249</v>
      </c>
      <c r="W64" s="430">
        <f t="shared" si="6"/>
        <v>1.6865517714824059</v>
      </c>
      <c r="X64" s="601">
        <f>STDEV(D64:V64)</f>
        <v>0.3056045264567925</v>
      </c>
      <c r="Y64" s="481"/>
      <c r="Z64" s="86"/>
    </row>
    <row r="65" spans="1:26" s="51" customFormat="1" ht="12.75" customHeight="1">
      <c r="A65" s="85">
        <v>12</v>
      </c>
      <c r="B65" s="86">
        <v>14</v>
      </c>
      <c r="C65" s="86" t="s">
        <v>9</v>
      </c>
      <c r="D65" s="85">
        <f t="shared" si="4"/>
        <v>1.2927646969537905</v>
      </c>
      <c r="E65" s="86">
        <f t="shared" si="4"/>
        <v>1.2761907905825873</v>
      </c>
      <c r="F65" s="86">
        <f t="shared" si="4"/>
        <v>1.3636011187046833</v>
      </c>
      <c r="G65" s="426">
        <f t="shared" si="4"/>
        <v>-1.0938778204993607</v>
      </c>
      <c r="H65" s="86">
        <f t="shared" si="4"/>
        <v>1.260036476777745</v>
      </c>
      <c r="I65" s="86">
        <f t="shared" si="4"/>
        <v>1.2761907905825887</v>
      </c>
      <c r="J65" s="86">
        <f t="shared" si="4"/>
        <v>1.2442860208180224</v>
      </c>
      <c r="K65" s="86">
        <f t="shared" si="4"/>
        <v>1.2927646969537905</v>
      </c>
      <c r="L65" s="86">
        <f t="shared" si="4"/>
        <v>1.3272384222058915</v>
      </c>
      <c r="M65" s="86">
        <f t="shared" si="4"/>
        <v>1.2927646969537905</v>
      </c>
      <c r="N65" s="86">
        <f t="shared" si="5"/>
        <v>1.3097747587558133</v>
      </c>
      <c r="O65" s="86">
        <f t="shared" si="5"/>
        <v>1.3097747587558133</v>
      </c>
      <c r="P65" s="86">
        <f t="shared" si="5"/>
        <v>1.260036476777745</v>
      </c>
      <c r="Q65" s="86">
        <f t="shared" si="5"/>
        <v>1.2761907905825873</v>
      </c>
      <c r="R65" s="86">
        <f t="shared" si="5"/>
        <v>1.4020124178231252</v>
      </c>
      <c r="S65" s="86">
        <f t="shared" si="5"/>
        <v>1.292764696953789</v>
      </c>
      <c r="T65" s="86">
        <f t="shared" si="5"/>
        <v>1.3272384222058902</v>
      </c>
      <c r="U65" s="86">
        <f t="shared" si="5"/>
        <v>1.260036476777745</v>
      </c>
      <c r="V65" s="72">
        <f t="shared" si="5"/>
        <v>1.2139375812858768</v>
      </c>
      <c r="W65" s="430">
        <f>AVERAGE(D65:F65,H65:V65)</f>
        <v>1.2932002272472929</v>
      </c>
      <c r="X65" s="601">
        <f>STDEV(D65:F65,H65:V65)</f>
        <v>0.04372803460829751</v>
      </c>
      <c r="Y65" s="481"/>
      <c r="Z65" s="86"/>
    </row>
    <row r="66" spans="1:26" s="51" customFormat="1" ht="12.75" customHeight="1">
      <c r="A66" s="85">
        <v>12</v>
      </c>
      <c r="B66" s="86">
        <v>14</v>
      </c>
      <c r="C66" s="86" t="s">
        <v>7</v>
      </c>
      <c r="D66" s="85">
        <f t="shared" si="4"/>
        <v>1.3272384222058902</v>
      </c>
      <c r="E66" s="86">
        <f t="shared" si="4"/>
        <v>1.2442860208180224</v>
      </c>
      <c r="F66" s="86">
        <f t="shared" si="4"/>
        <v>1.3451740765600246</v>
      </c>
      <c r="G66" s="86">
        <f t="shared" si="4"/>
        <v>1.345174076560023</v>
      </c>
      <c r="H66" s="86">
        <f t="shared" si="4"/>
        <v>1.3451740765600262</v>
      </c>
      <c r="I66" s="86">
        <f t="shared" si="4"/>
        <v>1.3636011187046815</v>
      </c>
      <c r="J66" s="86">
        <f t="shared" si="4"/>
        <v>1.3272384222058915</v>
      </c>
      <c r="K66" s="86">
        <f t="shared" si="4"/>
        <v>1.3097747587558133</v>
      </c>
      <c r="L66" s="86">
        <f t="shared" si="4"/>
        <v>1.3825400231311364</v>
      </c>
      <c r="M66" s="86">
        <f t="shared" si="4"/>
        <v>1.3097747587558133</v>
      </c>
      <c r="N66" s="86">
        <f t="shared" si="5"/>
        <v>1.3636011187046833</v>
      </c>
      <c r="O66" s="86">
        <f t="shared" si="5"/>
        <v>1.3451740765600246</v>
      </c>
      <c r="P66" s="86">
        <f t="shared" si="5"/>
        <v>1.3825400231311364</v>
      </c>
      <c r="Q66" s="86">
        <f t="shared" si="5"/>
        <v>1.3636011187046833</v>
      </c>
      <c r="R66" s="86">
        <f t="shared" si="5"/>
        <v>1.3451740765600262</v>
      </c>
      <c r="S66" s="86">
        <f t="shared" si="5"/>
        <v>1.3636011187046815</v>
      </c>
      <c r="T66" s="86">
        <f t="shared" si="5"/>
        <v>1.3451740765600262</v>
      </c>
      <c r="U66" s="86">
        <f t="shared" si="5"/>
        <v>1.3636011187046833</v>
      </c>
      <c r="V66" s="72">
        <f t="shared" si="5"/>
        <v>1.3825400231311364</v>
      </c>
      <c r="W66" s="430">
        <f t="shared" si="6"/>
        <v>1.3449990792114948</v>
      </c>
      <c r="X66" s="601">
        <f>STDEV(D66:V66)</f>
        <v>0.03267163060136505</v>
      </c>
      <c r="Y66" s="481"/>
      <c r="Z66" s="86"/>
    </row>
    <row r="67" spans="1:26" s="51" customFormat="1" ht="12.75" customHeight="1">
      <c r="A67" s="85">
        <v>10</v>
      </c>
      <c r="B67" s="86">
        <v>14</v>
      </c>
      <c r="C67" s="86" t="s">
        <v>9</v>
      </c>
      <c r="D67" s="85">
        <f aca="true" t="shared" si="7" ref="D67:M68">IF($C$4="inner",(-0.000001*($B54-$B50)/((D54-D50)/($G$6))),(-0.000001*($B54-$B50)/((D54-D50)/($I$6))))</f>
        <v>1.4220411666491688</v>
      </c>
      <c r="E67" s="86">
        <f t="shared" si="7"/>
        <v>1.4119557683041397</v>
      </c>
      <c r="F67" s="86">
        <f t="shared" si="7"/>
        <v>1.4857146517230126</v>
      </c>
      <c r="G67" s="426">
        <f t="shared" si="7"/>
        <v>-7.110205833245849</v>
      </c>
      <c r="H67" s="86">
        <f t="shared" si="7"/>
        <v>1.392208135181005</v>
      </c>
      <c r="I67" s="86">
        <f t="shared" si="7"/>
        <v>1.3825400231311373</v>
      </c>
      <c r="J67" s="86">
        <f t="shared" si="7"/>
        <v>1.3636011187046833</v>
      </c>
      <c r="K67" s="86">
        <f t="shared" si="7"/>
        <v>1.4747093580065462</v>
      </c>
      <c r="L67" s="86">
        <f t="shared" si="7"/>
        <v>1.4638659068447328</v>
      </c>
      <c r="M67" s="86">
        <f t="shared" si="7"/>
        <v>1.4220411666491688</v>
      </c>
      <c r="N67" s="86">
        <f aca="true" t="shared" si="8" ref="N67:V68">IF($C$4="inner",(-0.000001*($B54-$B50)/((N54-N50)/($G$6))),(-0.000001*($B54-$B50)/((N54-N50)/($I$6))))</f>
        <v>1.4322716786394514</v>
      </c>
      <c r="O67" s="86">
        <f t="shared" si="8"/>
        <v>1.4322716786394514</v>
      </c>
      <c r="P67" s="86">
        <f t="shared" si="8"/>
        <v>1.4747093580065462</v>
      </c>
      <c r="Q67" s="86">
        <f t="shared" si="8"/>
        <v>1.555357526022529</v>
      </c>
      <c r="R67" s="86">
        <f t="shared" si="8"/>
        <v>1.5926861066470703</v>
      </c>
      <c r="S67" s="86">
        <f t="shared" si="8"/>
        <v>1.4857146517230126</v>
      </c>
      <c r="T67" s="86">
        <f t="shared" si="8"/>
        <v>1.4020124178231244</v>
      </c>
      <c r="U67" s="86">
        <f t="shared" si="8"/>
        <v>1.3636011187046833</v>
      </c>
      <c r="V67" s="72">
        <f t="shared" si="8"/>
        <v>1.392208135181005</v>
      </c>
      <c r="W67" s="430">
        <f>AVERAGE(D67:F67,H67:V67)</f>
        <v>1.4416394425878039</v>
      </c>
      <c r="X67" s="601">
        <f>STDEV(D67:F67,H67:V67)</f>
        <v>0.062434966539345646</v>
      </c>
      <c r="Y67" s="481"/>
      <c r="Z67" s="86"/>
    </row>
    <row r="68" spans="1:26" s="51" customFormat="1" ht="12.75" customHeight="1">
      <c r="A68" s="87">
        <v>10</v>
      </c>
      <c r="B68" s="88">
        <v>14</v>
      </c>
      <c r="C68" s="88" t="s">
        <v>7</v>
      </c>
      <c r="D68" s="87">
        <f t="shared" si="7"/>
        <v>1.4692676260581818</v>
      </c>
      <c r="E68" s="88">
        <f t="shared" si="7"/>
        <v>1.3497339886839574</v>
      </c>
      <c r="F68" s="88">
        <f t="shared" si="7"/>
        <v>1.491279126074034</v>
      </c>
      <c r="G68" s="88">
        <f t="shared" si="7"/>
        <v>1.4478964605882436</v>
      </c>
      <c r="H68" s="88">
        <f t="shared" si="7"/>
        <v>1.4478964605882454</v>
      </c>
      <c r="I68" s="88">
        <f t="shared" si="7"/>
        <v>1.4912791260740348</v>
      </c>
      <c r="J68" s="88">
        <f t="shared" si="7"/>
        <v>1.4801915489285034</v>
      </c>
      <c r="K68" s="88">
        <f t="shared" si="7"/>
        <v>1.427138088393431</v>
      </c>
      <c r="L68" s="88">
        <f t="shared" si="7"/>
        <v>1.4912791260740348</v>
      </c>
      <c r="M68" s="88">
        <f t="shared" si="7"/>
        <v>1.4478964605882454</v>
      </c>
      <c r="N68" s="88">
        <f t="shared" si="8"/>
        <v>1.4692676260581818</v>
      </c>
      <c r="O68" s="88">
        <f t="shared" si="8"/>
        <v>1.5025340628745931</v>
      </c>
      <c r="P68" s="88">
        <f t="shared" si="8"/>
        <v>1.878167578593242</v>
      </c>
      <c r="Q68" s="88">
        <f t="shared" si="8"/>
        <v>1.5139601774211684</v>
      </c>
      <c r="R68" s="88">
        <f t="shared" si="8"/>
        <v>1.4585037606658147</v>
      </c>
      <c r="S68" s="88">
        <f t="shared" si="8"/>
        <v>1.4912791260740348</v>
      </c>
      <c r="T68" s="88">
        <f t="shared" si="8"/>
        <v>1.4801915489285042</v>
      </c>
      <c r="U68" s="88">
        <f t="shared" si="8"/>
        <v>1.4801915489285042</v>
      </c>
      <c r="V68" s="89">
        <f t="shared" si="8"/>
        <v>1.4692676260581818</v>
      </c>
      <c r="W68" s="431">
        <f t="shared" si="6"/>
        <v>1.4888011088238493</v>
      </c>
      <c r="X68" s="602">
        <f>STDEV(D68:V68)</f>
        <v>0.100802039019771</v>
      </c>
      <c r="Y68" s="481"/>
      <c r="Z68" s="88"/>
    </row>
    <row r="69" spans="1:26" s="49" customFormat="1" ht="12.75" customHeight="1">
      <c r="A69" s="3"/>
      <c r="B69" s="3"/>
      <c r="C69" s="3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Y69" s="481"/>
      <c r="Z69" s="3"/>
    </row>
    <row r="70" spans="1:31" s="49" customFormat="1" ht="12.75" customHeight="1">
      <c r="A70" s="67" t="s">
        <v>69</v>
      </c>
      <c r="D70" s="462" t="str">
        <f>$C$3</f>
        <v>O-004 3rd sizing</v>
      </c>
      <c r="E70" s="462"/>
      <c r="F70" s="462" t="str">
        <f>$C$4</f>
        <v>outer</v>
      </c>
      <c r="G70" s="462" t="s">
        <v>115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7"/>
      <c r="Y70" s="481"/>
      <c r="AA70" s="67" t="s">
        <v>69</v>
      </c>
      <c r="AD70" s="51" t="str">
        <f>D70</f>
        <v>O-004 3rd sizing</v>
      </c>
      <c r="AE70" s="51" t="str">
        <f>F70</f>
        <v>outer</v>
      </c>
    </row>
    <row r="71" spans="1:32" s="187" customFormat="1" ht="12.75" customHeight="1">
      <c r="A71" s="144" t="s">
        <v>116</v>
      </c>
      <c r="B71" s="141"/>
      <c r="C71" s="142"/>
      <c r="D71" s="170">
        <v>1</v>
      </c>
      <c r="E71" s="171">
        <f aca="true" t="shared" si="9" ref="E71:N71">D71+1</f>
        <v>2</v>
      </c>
      <c r="F71" s="171">
        <f t="shared" si="9"/>
        <v>3</v>
      </c>
      <c r="G71" s="171">
        <f t="shared" si="9"/>
        <v>4</v>
      </c>
      <c r="H71" s="171">
        <f t="shared" si="9"/>
        <v>5</v>
      </c>
      <c r="I71" s="171">
        <f t="shared" si="9"/>
        <v>6</v>
      </c>
      <c r="J71" s="171">
        <f t="shared" si="9"/>
        <v>7</v>
      </c>
      <c r="K71" s="171">
        <f t="shared" si="9"/>
        <v>8</v>
      </c>
      <c r="L71" s="171">
        <f t="shared" si="9"/>
        <v>9</v>
      </c>
      <c r="M71" s="171">
        <f t="shared" si="9"/>
        <v>10</v>
      </c>
      <c r="N71" s="171">
        <f t="shared" si="9"/>
        <v>11</v>
      </c>
      <c r="O71" s="171">
        <f aca="true" t="shared" si="10" ref="O71:V71">N71+1</f>
        <v>12</v>
      </c>
      <c r="P71" s="171">
        <f t="shared" si="10"/>
        <v>13</v>
      </c>
      <c r="Q71" s="171">
        <f t="shared" si="10"/>
        <v>14</v>
      </c>
      <c r="R71" s="171">
        <f t="shared" si="10"/>
        <v>15</v>
      </c>
      <c r="S71" s="171">
        <f t="shared" si="10"/>
        <v>16</v>
      </c>
      <c r="T71" s="171">
        <f t="shared" si="10"/>
        <v>17</v>
      </c>
      <c r="U71" s="171">
        <f t="shared" si="10"/>
        <v>18</v>
      </c>
      <c r="V71" s="171">
        <f t="shared" si="10"/>
        <v>19</v>
      </c>
      <c r="W71" s="422" t="s">
        <v>0</v>
      </c>
      <c r="X71" s="429" t="s">
        <v>117</v>
      </c>
      <c r="Y71" s="481"/>
      <c r="Z71" s="148"/>
      <c r="AA71" s="144" t="s">
        <v>116</v>
      </c>
      <c r="AB71" s="141"/>
      <c r="AC71" s="142"/>
      <c r="AD71" s="171" t="s">
        <v>0</v>
      </c>
      <c r="AE71" s="172" t="s">
        <v>117</v>
      </c>
      <c r="AF71" s="173"/>
    </row>
    <row r="72" spans="1:32" s="139" customFormat="1" ht="12.75" customHeight="1">
      <c r="A72" s="144" t="s">
        <v>118</v>
      </c>
      <c r="B72" s="141"/>
      <c r="C72" s="142"/>
      <c r="D72" s="170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515"/>
      <c r="X72" s="603"/>
      <c r="Y72" s="481"/>
      <c r="Z72" s="148"/>
      <c r="AA72" s="144" t="s">
        <v>118</v>
      </c>
      <c r="AB72" s="141"/>
      <c r="AC72" s="142"/>
      <c r="AD72" s="171"/>
      <c r="AE72" s="172"/>
      <c r="AF72" s="173"/>
    </row>
    <row r="73" spans="1:31" s="49" customFormat="1" ht="12.75" customHeight="1">
      <c r="A73" s="82" t="s">
        <v>114</v>
      </c>
      <c r="B73" s="83"/>
      <c r="C73" s="421" t="s">
        <v>35</v>
      </c>
      <c r="D73" s="124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6"/>
      <c r="W73" s="425"/>
      <c r="X73" s="129"/>
      <c r="Y73" s="481"/>
      <c r="Z73" s="154"/>
      <c r="AA73" s="82" t="s">
        <v>114</v>
      </c>
      <c r="AB73" s="83"/>
      <c r="AC73" s="84" t="s">
        <v>35</v>
      </c>
      <c r="AD73" s="151"/>
      <c r="AE73" s="129"/>
    </row>
    <row r="74" spans="1:31" s="51" customFormat="1" ht="12.75" customHeight="1">
      <c r="A74" s="71">
        <f aca="true" t="shared" si="11" ref="A74:B81">A61</f>
        <v>8</v>
      </c>
      <c r="B74" s="56">
        <f t="shared" si="11"/>
        <v>10</v>
      </c>
      <c r="C74" s="86" t="s">
        <v>6</v>
      </c>
      <c r="D74" s="80">
        <f aca="true" t="shared" si="12" ref="D74:X74">D61</f>
        <v>1.3636011187046833</v>
      </c>
      <c r="E74" s="81">
        <f t="shared" si="12"/>
        <v>1.3272384222058915</v>
      </c>
      <c r="F74" s="81">
        <f t="shared" si="12"/>
        <v>1.2442860208180224</v>
      </c>
      <c r="G74" s="81">
        <f t="shared" si="12"/>
        <v>1.3451740765600262</v>
      </c>
      <c r="H74" s="81">
        <f t="shared" si="12"/>
        <v>1.2139375812858768</v>
      </c>
      <c r="I74" s="81">
        <f t="shared" si="12"/>
        <v>1.2442860208180224</v>
      </c>
      <c r="J74" s="81">
        <f t="shared" si="12"/>
        <v>1.3097747587558133</v>
      </c>
      <c r="K74" s="81">
        <f t="shared" si="12"/>
        <v>1.3451740765600246</v>
      </c>
      <c r="L74" s="81">
        <f t="shared" si="12"/>
        <v>1.3097747587558146</v>
      </c>
      <c r="M74" s="81">
        <f t="shared" si="12"/>
        <v>1.260036476777745</v>
      </c>
      <c r="N74" s="81">
        <f t="shared" si="12"/>
        <v>1.2761907905825873</v>
      </c>
      <c r="O74" s="81">
        <f t="shared" si="12"/>
        <v>1.3272384222058915</v>
      </c>
      <c r="P74" s="81">
        <f t="shared" si="12"/>
        <v>1.3272384222058915</v>
      </c>
      <c r="Q74" s="81">
        <f t="shared" si="12"/>
        <v>1.3451740765600246</v>
      </c>
      <c r="R74" s="81">
        <f t="shared" si="12"/>
        <v>1.4020124178231235</v>
      </c>
      <c r="S74" s="81">
        <f t="shared" si="12"/>
        <v>1.2761907905825873</v>
      </c>
      <c r="T74" s="81">
        <f t="shared" si="12"/>
        <v>1.2442860208180224</v>
      </c>
      <c r="U74" s="81">
        <f t="shared" si="12"/>
        <v>1.228924465005455</v>
      </c>
      <c r="V74" s="413">
        <f t="shared" si="12"/>
        <v>1.260036476777745</v>
      </c>
      <c r="W74" s="85">
        <f t="shared" si="12"/>
        <v>1.2973986944106972</v>
      </c>
      <c r="X74" s="72">
        <f t="shared" si="12"/>
        <v>0.05215392938046595</v>
      </c>
      <c r="Y74" s="481"/>
      <c r="Z74" s="86"/>
      <c r="AA74" s="71">
        <f aca="true" t="shared" si="13" ref="AA74:AB81">A74</f>
        <v>8</v>
      </c>
      <c r="AB74" s="56">
        <f t="shared" si="13"/>
        <v>10</v>
      </c>
      <c r="AC74" s="72" t="s">
        <v>9</v>
      </c>
      <c r="AD74" s="86">
        <f aca="true" t="shared" si="14" ref="AD74:AE81">W74</f>
        <v>1.2973986944106972</v>
      </c>
      <c r="AE74" s="72">
        <f t="shared" si="14"/>
        <v>0.05215392938046595</v>
      </c>
    </row>
    <row r="75" spans="1:31" s="51" customFormat="1" ht="12.75" customHeight="1">
      <c r="A75" s="71">
        <f t="shared" si="11"/>
        <v>8</v>
      </c>
      <c r="B75" s="56">
        <f t="shared" si="11"/>
        <v>10</v>
      </c>
      <c r="C75" s="86" t="s">
        <v>8</v>
      </c>
      <c r="D75" s="80">
        <f aca="true" t="shared" si="15" ref="D75:X75">D62</f>
        <v>1.5433004909370833</v>
      </c>
      <c r="E75" s="81">
        <f t="shared" si="15"/>
        <v>1.3730052643509205</v>
      </c>
      <c r="F75" s="81">
        <f t="shared" si="15"/>
        <v>1.4531807542400292</v>
      </c>
      <c r="G75" s="81">
        <f t="shared" si="15"/>
        <v>1.4531807542400292</v>
      </c>
      <c r="H75" s="81">
        <f t="shared" si="15"/>
        <v>1.4968854385780714</v>
      </c>
      <c r="I75" s="81">
        <f t="shared" si="15"/>
        <v>1.453180754240027</v>
      </c>
      <c r="J75" s="81">
        <f t="shared" si="15"/>
        <v>1.5197386513807911</v>
      </c>
      <c r="K75" s="81">
        <f t="shared" si="15"/>
        <v>1.4747093580065471</v>
      </c>
      <c r="L75" s="81">
        <f t="shared" si="15"/>
        <v>1.453180754240027</v>
      </c>
      <c r="M75" s="81">
        <f t="shared" si="15"/>
        <v>1.4322716786394487</v>
      </c>
      <c r="N75" s="81">
        <f t="shared" si="15"/>
        <v>1.453180754240027</v>
      </c>
      <c r="O75" s="81">
        <f t="shared" si="15"/>
        <v>1.5197386513807931</v>
      </c>
      <c r="P75" s="81">
        <f t="shared" si="15"/>
        <v>1.0703535662950732</v>
      </c>
      <c r="Q75" s="81">
        <f t="shared" si="15"/>
        <v>1.4968854385780714</v>
      </c>
      <c r="R75" s="81">
        <f t="shared" si="15"/>
        <v>1.4531807542400252</v>
      </c>
      <c r="S75" s="81">
        <f t="shared" si="15"/>
        <v>1.453180754240027</v>
      </c>
      <c r="T75" s="81">
        <f t="shared" si="15"/>
        <v>1.4322716786394505</v>
      </c>
      <c r="U75" s="81">
        <f t="shared" si="15"/>
        <v>1.4322716786394505</v>
      </c>
      <c r="V75" s="413">
        <f t="shared" si="15"/>
        <v>1.4747093580065451</v>
      </c>
      <c r="W75" s="85">
        <f t="shared" si="15"/>
        <v>1.444126659637497</v>
      </c>
      <c r="X75" s="72">
        <f t="shared" si="15"/>
        <v>0.09845117574384757</v>
      </c>
      <c r="Y75" s="481"/>
      <c r="Z75" s="86"/>
      <c r="AA75" s="71">
        <f t="shared" si="13"/>
        <v>8</v>
      </c>
      <c r="AB75" s="56">
        <f t="shared" si="13"/>
        <v>10</v>
      </c>
      <c r="AC75" s="72" t="s">
        <v>7</v>
      </c>
      <c r="AD75" s="86">
        <f t="shared" si="14"/>
        <v>1.444126659637497</v>
      </c>
      <c r="AE75" s="72">
        <f t="shared" si="14"/>
        <v>0.09845117574384757</v>
      </c>
    </row>
    <row r="76" spans="1:31" s="51" customFormat="1" ht="12.75" customHeight="1">
      <c r="A76" s="71">
        <f t="shared" si="11"/>
        <v>10</v>
      </c>
      <c r="B76" s="56">
        <f t="shared" si="11"/>
        <v>12</v>
      </c>
      <c r="C76" s="86" t="s">
        <v>6</v>
      </c>
      <c r="D76" s="80">
        <f aca="true" t="shared" si="16" ref="D76:X76">D63</f>
        <v>1.5800457407212982</v>
      </c>
      <c r="E76" s="81">
        <f t="shared" si="16"/>
        <v>1.5800457407213002</v>
      </c>
      <c r="F76" s="81">
        <f t="shared" si="16"/>
        <v>1.6318505191056032</v>
      </c>
      <c r="G76" s="81">
        <f t="shared" si="16"/>
        <v>1.5800457407212982</v>
      </c>
      <c r="H76" s="81">
        <f t="shared" si="16"/>
        <v>1.555357526022529</v>
      </c>
      <c r="I76" s="81">
        <f t="shared" si="16"/>
        <v>1.508225479779422</v>
      </c>
      <c r="J76" s="81">
        <f t="shared" si="16"/>
        <v>1.508225479779424</v>
      </c>
      <c r="K76" s="81">
        <f t="shared" si="16"/>
        <v>1.7162565804386531</v>
      </c>
      <c r="L76" s="81">
        <f t="shared" si="16"/>
        <v>1.6318505191056032</v>
      </c>
      <c r="M76" s="81">
        <f t="shared" si="16"/>
        <v>1.5800457407212982</v>
      </c>
      <c r="N76" s="81">
        <f t="shared" si="16"/>
        <v>1.5800457407213002</v>
      </c>
      <c r="O76" s="81">
        <f t="shared" si="16"/>
        <v>1.5800457407213002</v>
      </c>
      <c r="P76" s="81">
        <f t="shared" si="16"/>
        <v>1.7775514583114622</v>
      </c>
      <c r="Q76" s="81">
        <f t="shared" si="16"/>
        <v>1.9908576333088384</v>
      </c>
      <c r="R76" s="81">
        <f t="shared" si="16"/>
        <v>1.8433866975081836</v>
      </c>
      <c r="S76" s="81">
        <f t="shared" si="16"/>
        <v>1.7463663450077536</v>
      </c>
      <c r="T76" s="81">
        <f t="shared" si="16"/>
        <v>1.4857146517230135</v>
      </c>
      <c r="U76" s="81">
        <f t="shared" si="16"/>
        <v>1.4857146517230135</v>
      </c>
      <c r="V76" s="413">
        <f t="shared" si="16"/>
        <v>1.6318505191056032</v>
      </c>
      <c r="W76" s="85">
        <f t="shared" si="16"/>
        <v>1.6312359213287844</v>
      </c>
      <c r="X76" s="72">
        <f t="shared" si="16"/>
        <v>0.13130219168443755</v>
      </c>
      <c r="Y76" s="481"/>
      <c r="Z76" s="86"/>
      <c r="AA76" s="71">
        <f t="shared" si="13"/>
        <v>10</v>
      </c>
      <c r="AB76" s="56">
        <f t="shared" si="13"/>
        <v>12</v>
      </c>
      <c r="AC76" s="72" t="s">
        <v>9</v>
      </c>
      <c r="AD76" s="86">
        <f t="shared" si="14"/>
        <v>1.6312359213287844</v>
      </c>
      <c r="AE76" s="72">
        <f t="shared" si="14"/>
        <v>0.13130219168443755</v>
      </c>
    </row>
    <row r="77" spans="1:31" s="51" customFormat="1" ht="12.75" customHeight="1">
      <c r="A77" s="71">
        <f t="shared" si="11"/>
        <v>10</v>
      </c>
      <c r="B77" s="56">
        <f t="shared" si="11"/>
        <v>12</v>
      </c>
      <c r="C77" s="86" t="s">
        <v>8</v>
      </c>
      <c r="D77" s="80">
        <f aca="true" t="shared" si="17" ref="D77:X77">D64</f>
        <v>1.6453368870320975</v>
      </c>
      <c r="E77" s="81">
        <f t="shared" si="17"/>
        <v>1.4747093580065471</v>
      </c>
      <c r="F77" s="81">
        <f t="shared" si="17"/>
        <v>1.6729896078225495</v>
      </c>
      <c r="G77" s="81">
        <f t="shared" si="17"/>
        <v>1.567604435676249</v>
      </c>
      <c r="H77" s="81">
        <f t="shared" si="17"/>
        <v>1.567604435676249</v>
      </c>
      <c r="I77" s="81">
        <f t="shared" si="17"/>
        <v>1.6453368870320975</v>
      </c>
      <c r="J77" s="81">
        <f t="shared" si="17"/>
        <v>1.672989607822552</v>
      </c>
      <c r="K77" s="81">
        <f t="shared" si="17"/>
        <v>1.567604435676249</v>
      </c>
      <c r="L77" s="81">
        <f t="shared" si="17"/>
        <v>1.618583441714501</v>
      </c>
      <c r="M77" s="81">
        <f t="shared" si="17"/>
        <v>1.6185834417145035</v>
      </c>
      <c r="N77" s="81">
        <f t="shared" si="17"/>
        <v>1.5926861066470681</v>
      </c>
      <c r="O77" s="81">
        <f t="shared" si="17"/>
        <v>1.7015877207767822</v>
      </c>
      <c r="P77" s="81">
        <f t="shared" si="17"/>
        <v>2.9277318136894657</v>
      </c>
      <c r="Q77" s="81">
        <f t="shared" si="17"/>
        <v>1.7015877207767822</v>
      </c>
      <c r="R77" s="81">
        <f t="shared" si="17"/>
        <v>1.5926861066470681</v>
      </c>
      <c r="S77" s="81">
        <f t="shared" si="17"/>
        <v>1.6453368870320975</v>
      </c>
      <c r="T77" s="81">
        <f t="shared" si="17"/>
        <v>1.6453368870320975</v>
      </c>
      <c r="U77" s="81">
        <f t="shared" si="17"/>
        <v>1.6185834417145035</v>
      </c>
      <c r="V77" s="413">
        <f t="shared" si="17"/>
        <v>1.567604435676249</v>
      </c>
      <c r="W77" s="85">
        <f t="shared" si="17"/>
        <v>1.6865517714824059</v>
      </c>
      <c r="X77" s="72">
        <f t="shared" si="17"/>
        <v>0.3056045264567925</v>
      </c>
      <c r="Y77" s="481"/>
      <c r="Z77" s="86"/>
      <c r="AA77" s="71">
        <f t="shared" si="13"/>
        <v>10</v>
      </c>
      <c r="AB77" s="56">
        <f t="shared" si="13"/>
        <v>12</v>
      </c>
      <c r="AC77" s="72" t="s">
        <v>7</v>
      </c>
      <c r="AD77" s="86">
        <f t="shared" si="14"/>
        <v>1.6865517714824059</v>
      </c>
      <c r="AE77" s="72">
        <f t="shared" si="14"/>
        <v>0.3056045264567925</v>
      </c>
    </row>
    <row r="78" spans="1:31" s="51" customFormat="1" ht="12.75" customHeight="1">
      <c r="A78" s="71">
        <f t="shared" si="11"/>
        <v>12</v>
      </c>
      <c r="B78" s="56">
        <f t="shared" si="11"/>
        <v>14</v>
      </c>
      <c r="C78" s="86" t="s">
        <v>6</v>
      </c>
      <c r="D78" s="80">
        <f aca="true" t="shared" si="18" ref="D78:X78">D65</f>
        <v>1.2927646969537905</v>
      </c>
      <c r="E78" s="81">
        <f t="shared" si="18"/>
        <v>1.2761907905825873</v>
      </c>
      <c r="F78" s="81">
        <f t="shared" si="18"/>
        <v>1.3636011187046833</v>
      </c>
      <c r="G78" s="81">
        <f t="shared" si="18"/>
        <v>-1.0938778204993607</v>
      </c>
      <c r="H78" s="81">
        <f t="shared" si="18"/>
        <v>1.260036476777745</v>
      </c>
      <c r="I78" s="81">
        <f t="shared" si="18"/>
        <v>1.2761907905825887</v>
      </c>
      <c r="J78" s="81">
        <f t="shared" si="18"/>
        <v>1.2442860208180224</v>
      </c>
      <c r="K78" s="81">
        <f t="shared" si="18"/>
        <v>1.2927646969537905</v>
      </c>
      <c r="L78" s="81">
        <f t="shared" si="18"/>
        <v>1.3272384222058915</v>
      </c>
      <c r="M78" s="81">
        <f t="shared" si="18"/>
        <v>1.2927646969537905</v>
      </c>
      <c r="N78" s="81">
        <f t="shared" si="18"/>
        <v>1.3097747587558133</v>
      </c>
      <c r="O78" s="81">
        <f t="shared" si="18"/>
        <v>1.3097747587558133</v>
      </c>
      <c r="P78" s="81">
        <f t="shared" si="18"/>
        <v>1.260036476777745</v>
      </c>
      <c r="Q78" s="81">
        <f t="shared" si="18"/>
        <v>1.2761907905825873</v>
      </c>
      <c r="R78" s="81">
        <f t="shared" si="18"/>
        <v>1.4020124178231252</v>
      </c>
      <c r="S78" s="81">
        <f t="shared" si="18"/>
        <v>1.292764696953789</v>
      </c>
      <c r="T78" s="81">
        <f t="shared" si="18"/>
        <v>1.3272384222058902</v>
      </c>
      <c r="U78" s="81">
        <f t="shared" si="18"/>
        <v>1.260036476777745</v>
      </c>
      <c r="V78" s="413">
        <f t="shared" si="18"/>
        <v>1.2139375812858768</v>
      </c>
      <c r="W78" s="85">
        <f t="shared" si="18"/>
        <v>1.2932002272472929</v>
      </c>
      <c r="X78" s="72">
        <f t="shared" si="18"/>
        <v>0.04372803460829751</v>
      </c>
      <c r="Y78" s="481"/>
      <c r="Z78" s="86"/>
      <c r="AA78" s="71">
        <f t="shared" si="13"/>
        <v>12</v>
      </c>
      <c r="AB78" s="56">
        <f t="shared" si="13"/>
        <v>14</v>
      </c>
      <c r="AC78" s="72" t="s">
        <v>9</v>
      </c>
      <c r="AD78" s="86">
        <f t="shared" si="14"/>
        <v>1.2932002272472929</v>
      </c>
      <c r="AE78" s="72">
        <f t="shared" si="14"/>
        <v>0.04372803460829751</v>
      </c>
    </row>
    <row r="79" spans="1:31" s="51" customFormat="1" ht="12.75" customHeight="1">
      <c r="A79" s="71">
        <f t="shared" si="11"/>
        <v>12</v>
      </c>
      <c r="B79" s="56">
        <f t="shared" si="11"/>
        <v>14</v>
      </c>
      <c r="C79" s="86" t="s">
        <v>8</v>
      </c>
      <c r="D79" s="80">
        <f aca="true" t="shared" si="19" ref="D79:X79">D66</f>
        <v>1.3272384222058902</v>
      </c>
      <c r="E79" s="81">
        <f t="shared" si="19"/>
        <v>1.2442860208180224</v>
      </c>
      <c r="F79" s="81">
        <f t="shared" si="19"/>
        <v>1.3451740765600246</v>
      </c>
      <c r="G79" s="81">
        <f t="shared" si="19"/>
        <v>1.345174076560023</v>
      </c>
      <c r="H79" s="81">
        <f t="shared" si="19"/>
        <v>1.3451740765600262</v>
      </c>
      <c r="I79" s="81">
        <f t="shared" si="19"/>
        <v>1.3636011187046815</v>
      </c>
      <c r="J79" s="81">
        <f t="shared" si="19"/>
        <v>1.3272384222058915</v>
      </c>
      <c r="K79" s="81">
        <f t="shared" si="19"/>
        <v>1.3097747587558133</v>
      </c>
      <c r="L79" s="81">
        <f t="shared" si="19"/>
        <v>1.3825400231311364</v>
      </c>
      <c r="M79" s="81">
        <f t="shared" si="19"/>
        <v>1.3097747587558133</v>
      </c>
      <c r="N79" s="81">
        <f t="shared" si="19"/>
        <v>1.3636011187046833</v>
      </c>
      <c r="O79" s="81">
        <f t="shared" si="19"/>
        <v>1.3451740765600246</v>
      </c>
      <c r="P79" s="81">
        <f t="shared" si="19"/>
        <v>1.3825400231311364</v>
      </c>
      <c r="Q79" s="81">
        <f t="shared" si="19"/>
        <v>1.3636011187046833</v>
      </c>
      <c r="R79" s="81">
        <f t="shared" si="19"/>
        <v>1.3451740765600262</v>
      </c>
      <c r="S79" s="81">
        <f t="shared" si="19"/>
        <v>1.3636011187046815</v>
      </c>
      <c r="T79" s="81">
        <f t="shared" si="19"/>
        <v>1.3451740765600262</v>
      </c>
      <c r="U79" s="81">
        <f t="shared" si="19"/>
        <v>1.3636011187046833</v>
      </c>
      <c r="V79" s="413">
        <f t="shared" si="19"/>
        <v>1.3825400231311364</v>
      </c>
      <c r="W79" s="85">
        <f t="shared" si="19"/>
        <v>1.3449990792114948</v>
      </c>
      <c r="X79" s="72">
        <f t="shared" si="19"/>
        <v>0.03267163060136505</v>
      </c>
      <c r="Y79" s="481"/>
      <c r="Z79" s="86"/>
      <c r="AA79" s="71">
        <f t="shared" si="13"/>
        <v>12</v>
      </c>
      <c r="AB79" s="56">
        <f t="shared" si="13"/>
        <v>14</v>
      </c>
      <c r="AC79" s="72" t="s">
        <v>7</v>
      </c>
      <c r="AD79" s="86">
        <f t="shared" si="14"/>
        <v>1.3449990792114948</v>
      </c>
      <c r="AE79" s="72">
        <f t="shared" si="14"/>
        <v>0.03267163060136505</v>
      </c>
    </row>
    <row r="80" spans="1:31" s="51" customFormat="1" ht="12.75" customHeight="1">
      <c r="A80" s="71">
        <f t="shared" si="11"/>
        <v>10</v>
      </c>
      <c r="B80" s="56">
        <f t="shared" si="11"/>
        <v>14</v>
      </c>
      <c r="C80" s="86" t="s">
        <v>6</v>
      </c>
      <c r="D80" s="80">
        <f aca="true" t="shared" si="20" ref="D80:X80">D67</f>
        <v>1.4220411666491688</v>
      </c>
      <c r="E80" s="81">
        <f t="shared" si="20"/>
        <v>1.4119557683041397</v>
      </c>
      <c r="F80" s="81">
        <f t="shared" si="20"/>
        <v>1.4857146517230126</v>
      </c>
      <c r="G80" s="81">
        <f t="shared" si="20"/>
        <v>-7.110205833245849</v>
      </c>
      <c r="H80" s="81">
        <f t="shared" si="20"/>
        <v>1.392208135181005</v>
      </c>
      <c r="I80" s="81">
        <f t="shared" si="20"/>
        <v>1.3825400231311373</v>
      </c>
      <c r="J80" s="81">
        <f t="shared" si="20"/>
        <v>1.3636011187046833</v>
      </c>
      <c r="K80" s="81">
        <f t="shared" si="20"/>
        <v>1.4747093580065462</v>
      </c>
      <c r="L80" s="81">
        <f t="shared" si="20"/>
        <v>1.4638659068447328</v>
      </c>
      <c r="M80" s="81">
        <f t="shared" si="20"/>
        <v>1.4220411666491688</v>
      </c>
      <c r="N80" s="81">
        <f t="shared" si="20"/>
        <v>1.4322716786394514</v>
      </c>
      <c r="O80" s="81">
        <f t="shared" si="20"/>
        <v>1.4322716786394514</v>
      </c>
      <c r="P80" s="81">
        <f t="shared" si="20"/>
        <v>1.4747093580065462</v>
      </c>
      <c r="Q80" s="81">
        <f t="shared" si="20"/>
        <v>1.555357526022529</v>
      </c>
      <c r="R80" s="81">
        <f t="shared" si="20"/>
        <v>1.5926861066470703</v>
      </c>
      <c r="S80" s="81">
        <f t="shared" si="20"/>
        <v>1.4857146517230126</v>
      </c>
      <c r="T80" s="81">
        <f t="shared" si="20"/>
        <v>1.4020124178231244</v>
      </c>
      <c r="U80" s="81">
        <f t="shared" si="20"/>
        <v>1.3636011187046833</v>
      </c>
      <c r="V80" s="413">
        <f t="shared" si="20"/>
        <v>1.392208135181005</v>
      </c>
      <c r="W80" s="85">
        <f t="shared" si="20"/>
        <v>1.4416394425878039</v>
      </c>
      <c r="X80" s="72">
        <f t="shared" si="20"/>
        <v>0.062434966539345646</v>
      </c>
      <c r="Y80" s="481"/>
      <c r="Z80" s="86"/>
      <c r="AA80" s="71">
        <f t="shared" si="13"/>
        <v>10</v>
      </c>
      <c r="AB80" s="56">
        <f t="shared" si="13"/>
        <v>14</v>
      </c>
      <c r="AC80" s="72" t="s">
        <v>9</v>
      </c>
      <c r="AD80" s="86">
        <f t="shared" si="14"/>
        <v>1.4416394425878039</v>
      </c>
      <c r="AE80" s="72">
        <f t="shared" si="14"/>
        <v>0.062434966539345646</v>
      </c>
    </row>
    <row r="81" spans="1:31" s="51" customFormat="1" ht="12.75" customHeight="1">
      <c r="A81" s="71">
        <f t="shared" si="11"/>
        <v>10</v>
      </c>
      <c r="B81" s="56">
        <f t="shared" si="11"/>
        <v>14</v>
      </c>
      <c r="C81" s="86" t="s">
        <v>8</v>
      </c>
      <c r="D81" s="80">
        <f aca="true" t="shared" si="21" ref="D81:X81">D68</f>
        <v>1.4692676260581818</v>
      </c>
      <c r="E81" s="81">
        <f t="shared" si="21"/>
        <v>1.3497339886839574</v>
      </c>
      <c r="F81" s="81">
        <f t="shared" si="21"/>
        <v>1.491279126074034</v>
      </c>
      <c r="G81" s="81">
        <f t="shared" si="21"/>
        <v>1.4478964605882436</v>
      </c>
      <c r="H81" s="81">
        <f t="shared" si="21"/>
        <v>1.4478964605882454</v>
      </c>
      <c r="I81" s="81">
        <f t="shared" si="21"/>
        <v>1.4912791260740348</v>
      </c>
      <c r="J81" s="81">
        <f t="shared" si="21"/>
        <v>1.4801915489285034</v>
      </c>
      <c r="K81" s="81">
        <f t="shared" si="21"/>
        <v>1.427138088393431</v>
      </c>
      <c r="L81" s="81">
        <f t="shared" si="21"/>
        <v>1.4912791260740348</v>
      </c>
      <c r="M81" s="81">
        <f t="shared" si="21"/>
        <v>1.4478964605882454</v>
      </c>
      <c r="N81" s="81">
        <f t="shared" si="21"/>
        <v>1.4692676260581818</v>
      </c>
      <c r="O81" s="81">
        <f t="shared" si="21"/>
        <v>1.5025340628745931</v>
      </c>
      <c r="P81" s="81">
        <f t="shared" si="21"/>
        <v>1.878167578593242</v>
      </c>
      <c r="Q81" s="81">
        <f t="shared" si="21"/>
        <v>1.5139601774211684</v>
      </c>
      <c r="R81" s="81">
        <f t="shared" si="21"/>
        <v>1.4585037606658147</v>
      </c>
      <c r="S81" s="81">
        <f t="shared" si="21"/>
        <v>1.4912791260740348</v>
      </c>
      <c r="T81" s="81">
        <f t="shared" si="21"/>
        <v>1.4801915489285042</v>
      </c>
      <c r="U81" s="81">
        <f t="shared" si="21"/>
        <v>1.4801915489285042</v>
      </c>
      <c r="V81" s="413">
        <f t="shared" si="21"/>
        <v>1.4692676260581818</v>
      </c>
      <c r="W81" s="85">
        <f t="shared" si="21"/>
        <v>1.4888011088238493</v>
      </c>
      <c r="X81" s="72">
        <f t="shared" si="21"/>
        <v>0.100802039019771</v>
      </c>
      <c r="Y81" s="481"/>
      <c r="Z81" s="86"/>
      <c r="AA81" s="71">
        <f t="shared" si="13"/>
        <v>10</v>
      </c>
      <c r="AB81" s="56">
        <f t="shared" si="13"/>
        <v>14</v>
      </c>
      <c r="AC81" s="72" t="s">
        <v>7</v>
      </c>
      <c r="AD81" s="86">
        <f t="shared" si="14"/>
        <v>1.4888011088238493</v>
      </c>
      <c r="AE81" s="72">
        <f t="shared" si="14"/>
        <v>0.100802039019771</v>
      </c>
    </row>
    <row r="82" spans="1:31" s="51" customFormat="1" ht="12.75" customHeight="1">
      <c r="A82" s="71"/>
      <c r="B82" s="56"/>
      <c r="C82" s="86"/>
      <c r="D82" s="80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413"/>
      <c r="W82" s="85"/>
      <c r="X82" s="72"/>
      <c r="Y82" s="481"/>
      <c r="Z82" s="86"/>
      <c r="AA82" s="71"/>
      <c r="AB82" s="56"/>
      <c r="AC82" s="72"/>
      <c r="AD82" s="86"/>
      <c r="AE82" s="72"/>
    </row>
    <row r="83" spans="1:31" s="51" customFormat="1" ht="12.75" customHeight="1">
      <c r="A83" s="71"/>
      <c r="B83" s="56"/>
      <c r="C83" s="86"/>
      <c r="D83" s="80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413"/>
      <c r="W83" s="85"/>
      <c r="X83" s="72"/>
      <c r="Y83" s="481"/>
      <c r="Z83" s="86"/>
      <c r="AA83" s="71"/>
      <c r="AB83" s="56"/>
      <c r="AC83" s="72"/>
      <c r="AD83" s="86"/>
      <c r="AE83" s="72"/>
    </row>
    <row r="84" spans="1:31" s="51" customFormat="1" ht="12.75" customHeight="1">
      <c r="A84" s="73" t="s">
        <v>119</v>
      </c>
      <c r="B84" s="58"/>
      <c r="C84" s="86"/>
      <c r="D84" s="80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413"/>
      <c r="W84" s="85"/>
      <c r="X84" s="72"/>
      <c r="Y84" s="481"/>
      <c r="Z84" s="86"/>
      <c r="AA84" s="73" t="s">
        <v>119</v>
      </c>
      <c r="AB84" s="58"/>
      <c r="AC84" s="72"/>
      <c r="AD84" s="86"/>
      <c r="AE84" s="72"/>
    </row>
    <row r="85" spans="1:31" s="49" customFormat="1" ht="12.75" customHeight="1">
      <c r="A85" s="71" t="str">
        <f>$C$3</f>
        <v>O-004 3rd sizing</v>
      </c>
      <c r="B85" s="56" t="str">
        <f>$C$4</f>
        <v>outer</v>
      </c>
      <c r="C85" s="56" t="s">
        <v>9</v>
      </c>
      <c r="D85" s="80">
        <f aca="true" t="shared" si="22" ref="D85:X85">D50*1000</f>
        <v>12.08</v>
      </c>
      <c r="E85" s="81">
        <f t="shared" si="22"/>
        <v>12.040000000000001</v>
      </c>
      <c r="F85" s="81">
        <f t="shared" si="22"/>
        <v>12.22</v>
      </c>
      <c r="G85" s="81">
        <f t="shared" si="22"/>
        <v>12.120000000000001</v>
      </c>
      <c r="H85" s="81">
        <f t="shared" si="22"/>
        <v>12.26</v>
      </c>
      <c r="I85" s="81">
        <f t="shared" si="22"/>
        <v>12.14</v>
      </c>
      <c r="J85" s="81">
        <f t="shared" si="22"/>
        <v>11.86</v>
      </c>
      <c r="K85" s="81">
        <f t="shared" si="22"/>
        <v>11.639999999999999</v>
      </c>
      <c r="L85" s="81">
        <f t="shared" si="22"/>
        <v>12.08</v>
      </c>
      <c r="M85" s="81">
        <f t="shared" si="22"/>
        <v>12</v>
      </c>
      <c r="N85" s="81">
        <f t="shared" si="22"/>
        <v>12.64</v>
      </c>
      <c r="O85" s="81">
        <f t="shared" si="22"/>
        <v>12.059999999999999</v>
      </c>
      <c r="P85" s="81">
        <f t="shared" si="22"/>
        <v>11.58</v>
      </c>
      <c r="Q85" s="81">
        <f t="shared" si="22"/>
        <v>11.02</v>
      </c>
      <c r="R85" s="81">
        <f t="shared" si="22"/>
        <v>10.74</v>
      </c>
      <c r="S85" s="81">
        <f t="shared" si="22"/>
        <v>11.66</v>
      </c>
      <c r="T85" s="81">
        <f t="shared" si="22"/>
        <v>12.48</v>
      </c>
      <c r="U85" s="81">
        <f t="shared" si="22"/>
        <v>12.44</v>
      </c>
      <c r="V85" s="413">
        <f t="shared" si="22"/>
        <v>11.620000000000001</v>
      </c>
      <c r="W85" s="80">
        <f t="shared" si="22"/>
        <v>11.930526315789473</v>
      </c>
      <c r="X85" s="413">
        <f t="shared" si="22"/>
        <v>0.4739605431797149</v>
      </c>
      <c r="Y85" s="481"/>
      <c r="Z85" s="56"/>
      <c r="AA85" s="71" t="str">
        <f>$C$3</f>
        <v>O-004 3rd sizing</v>
      </c>
      <c r="AB85" s="56" t="str">
        <f>$C$4</f>
        <v>outer</v>
      </c>
      <c r="AC85" s="69" t="s">
        <v>9</v>
      </c>
      <c r="AD85" s="86">
        <f>W85</f>
        <v>11.930526315789473</v>
      </c>
      <c r="AE85" s="72">
        <f>X85</f>
        <v>0.4739605431797149</v>
      </c>
    </row>
    <row r="86" spans="1:31" s="49" customFormat="1" ht="12.75" customHeight="1">
      <c r="A86" s="74" t="str">
        <f>$C$3</f>
        <v>O-004 3rd sizing</v>
      </c>
      <c r="B86" s="52" t="str">
        <f>$C$4</f>
        <v>outer</v>
      </c>
      <c r="C86" s="52" t="s">
        <v>7</v>
      </c>
      <c r="D86" s="130">
        <f>D51*1000</f>
        <v>12.08</v>
      </c>
      <c r="E86" s="131">
        <f aca="true" t="shared" si="23" ref="E86:V86">E51*1000</f>
        <v>12.28</v>
      </c>
      <c r="F86" s="131">
        <f t="shared" si="23"/>
        <v>12.220000000000002</v>
      </c>
      <c r="G86" s="131">
        <f t="shared" si="23"/>
        <v>12.220000000000002</v>
      </c>
      <c r="H86" s="131">
        <f t="shared" si="23"/>
        <v>12.1</v>
      </c>
      <c r="I86" s="131">
        <f t="shared" si="23"/>
        <v>12.08</v>
      </c>
      <c r="J86" s="131">
        <f t="shared" si="23"/>
        <v>11.84</v>
      </c>
      <c r="K86" s="131">
        <f t="shared" si="23"/>
        <v>12.06</v>
      </c>
      <c r="L86" s="131">
        <f t="shared" si="23"/>
        <v>13.180000000000001</v>
      </c>
      <c r="M86" s="131">
        <f t="shared" si="23"/>
        <v>12.719999999999999</v>
      </c>
      <c r="N86" s="131">
        <f t="shared" si="23"/>
        <v>13.260000000000002</v>
      </c>
      <c r="O86" s="131">
        <f t="shared" si="23"/>
        <v>13.600000000000001</v>
      </c>
      <c r="P86" s="131">
        <f t="shared" si="23"/>
        <v>13.19</v>
      </c>
      <c r="Q86" s="131">
        <f t="shared" si="23"/>
        <v>13.379999999999999</v>
      </c>
      <c r="R86" s="131">
        <f t="shared" si="23"/>
        <v>13.379999999999999</v>
      </c>
      <c r="S86" s="131">
        <f t="shared" si="23"/>
        <v>12.42</v>
      </c>
      <c r="T86" s="131">
        <f t="shared" si="23"/>
        <v>12.799999999999999</v>
      </c>
      <c r="U86" s="131">
        <f t="shared" si="23"/>
        <v>13.479999999999999</v>
      </c>
      <c r="V86" s="414">
        <f t="shared" si="23"/>
        <v>13.719999999999999</v>
      </c>
      <c r="W86" s="130">
        <f>W51*1000</f>
        <v>12.737368421052633</v>
      </c>
      <c r="X86" s="414">
        <f>X51*1000</f>
        <v>0.6300426978940196</v>
      </c>
      <c r="Y86" s="481"/>
      <c r="Z86" s="52"/>
      <c r="AA86" s="74" t="str">
        <f>$C$3</f>
        <v>O-004 3rd sizing</v>
      </c>
      <c r="AB86" s="52" t="str">
        <f>$C$4</f>
        <v>outer</v>
      </c>
      <c r="AC86" s="70" t="s">
        <v>7</v>
      </c>
      <c r="AD86" s="88">
        <f>W86</f>
        <v>12.737368421052633</v>
      </c>
      <c r="AE86" s="89">
        <f>X86</f>
        <v>0.6300426978940196</v>
      </c>
    </row>
    <row r="87" spans="1:26" s="49" customFormat="1" ht="12.75" customHeight="1">
      <c r="A87" s="53"/>
      <c r="B87" s="56"/>
      <c r="C87" s="3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86"/>
      <c r="X87" s="127"/>
      <c r="Y87" s="481"/>
      <c r="Z87" s="3"/>
    </row>
    <row r="88" spans="1:31" s="49" customFormat="1" ht="12.75" customHeight="1">
      <c r="A88" s="66" t="s">
        <v>69</v>
      </c>
      <c r="B88" s="57"/>
      <c r="C88" s="3"/>
      <c r="D88" s="462" t="str">
        <f>$C$3</f>
        <v>O-004 3rd sizing</v>
      </c>
      <c r="E88" s="462"/>
      <c r="F88" s="462" t="str">
        <f>$C$4</f>
        <v>outer</v>
      </c>
      <c r="G88" s="462" t="s">
        <v>115</v>
      </c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86"/>
      <c r="X88" s="127"/>
      <c r="Y88" s="481"/>
      <c r="Z88" s="3"/>
      <c r="AA88" s="66" t="s">
        <v>69</v>
      </c>
      <c r="AB88" s="54"/>
      <c r="AC88" s="54"/>
      <c r="AD88" s="169" t="str">
        <f>D88</f>
        <v>O-004 3rd sizing</v>
      </c>
      <c r="AE88" s="185" t="str">
        <f>F88</f>
        <v>outer</v>
      </c>
    </row>
    <row r="89" spans="1:32" s="187" customFormat="1" ht="12.75" customHeight="1">
      <c r="A89" s="147" t="s">
        <v>116</v>
      </c>
      <c r="B89" s="148"/>
      <c r="C89" s="149"/>
      <c r="D89" s="170">
        <v>1</v>
      </c>
      <c r="E89" s="171">
        <f aca="true" t="shared" si="24" ref="E89:N89">D89+1</f>
        <v>2</v>
      </c>
      <c r="F89" s="171">
        <f t="shared" si="24"/>
        <v>3</v>
      </c>
      <c r="G89" s="171">
        <f t="shared" si="24"/>
        <v>4</v>
      </c>
      <c r="H89" s="171">
        <f t="shared" si="24"/>
        <v>5</v>
      </c>
      <c r="I89" s="171">
        <f t="shared" si="24"/>
        <v>6</v>
      </c>
      <c r="J89" s="171">
        <f t="shared" si="24"/>
        <v>7</v>
      </c>
      <c r="K89" s="171">
        <f t="shared" si="24"/>
        <v>8</v>
      </c>
      <c r="L89" s="171">
        <f t="shared" si="24"/>
        <v>9</v>
      </c>
      <c r="M89" s="171">
        <f t="shared" si="24"/>
        <v>10</v>
      </c>
      <c r="N89" s="171">
        <f t="shared" si="24"/>
        <v>11</v>
      </c>
      <c r="O89" s="171">
        <f aca="true" t="shared" si="25" ref="O89:V89">N89+1</f>
        <v>12</v>
      </c>
      <c r="P89" s="171">
        <f t="shared" si="25"/>
        <v>13</v>
      </c>
      <c r="Q89" s="171">
        <f t="shared" si="25"/>
        <v>14</v>
      </c>
      <c r="R89" s="171">
        <f t="shared" si="25"/>
        <v>15</v>
      </c>
      <c r="S89" s="171">
        <f t="shared" si="25"/>
        <v>16</v>
      </c>
      <c r="T89" s="171">
        <f t="shared" si="25"/>
        <v>17</v>
      </c>
      <c r="U89" s="171">
        <f t="shared" si="25"/>
        <v>18</v>
      </c>
      <c r="V89" s="171">
        <f t="shared" si="25"/>
        <v>19</v>
      </c>
      <c r="W89" s="171" t="s">
        <v>0</v>
      </c>
      <c r="X89" s="172" t="s">
        <v>117</v>
      </c>
      <c r="Y89" s="481"/>
      <c r="Z89" s="481"/>
      <c r="AA89" s="157" t="str">
        <f aca="true" t="shared" si="26" ref="AA89:AA99">A89</f>
        <v>Axial location from lead end </v>
      </c>
      <c r="AB89" s="158"/>
      <c r="AC89" s="159"/>
      <c r="AD89" s="174" t="s">
        <v>0</v>
      </c>
      <c r="AE89" s="175" t="s">
        <v>117</v>
      </c>
      <c r="AF89" s="176"/>
    </row>
    <row r="90" spans="1:31" s="54" customFormat="1" ht="12.75" customHeight="1">
      <c r="A90" s="78" t="s">
        <v>120</v>
      </c>
      <c r="B90" s="75"/>
      <c r="C90" s="415"/>
      <c r="D90" s="132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424"/>
      <c r="W90" s="427"/>
      <c r="X90" s="134"/>
      <c r="Y90" s="516"/>
      <c r="Z90" s="516"/>
      <c r="AA90" s="157" t="str">
        <f t="shared" si="26"/>
        <v>Coil modulus [GPa]</v>
      </c>
      <c r="AB90" s="158"/>
      <c r="AC90" s="159"/>
      <c r="AD90" s="174"/>
      <c r="AE90" s="175"/>
    </row>
    <row r="91" spans="1:31" s="55" customFormat="1" ht="12.75" customHeight="1">
      <c r="A91" s="160" t="s">
        <v>121</v>
      </c>
      <c r="B91" s="161"/>
      <c r="C91" s="416" t="s">
        <v>35</v>
      </c>
      <c r="D91" s="135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417"/>
      <c r="W91" s="428"/>
      <c r="X91" s="137"/>
      <c r="Y91" s="516"/>
      <c r="Z91" s="516"/>
      <c r="AA91" s="160" t="str">
        <f t="shared" si="26"/>
        <v>Pressure range [MPa]</v>
      </c>
      <c r="AB91" s="161"/>
      <c r="AC91" s="162" t="s">
        <v>35</v>
      </c>
      <c r="AD91" s="152"/>
      <c r="AE91" s="134"/>
    </row>
    <row r="92" spans="1:31" s="55" customFormat="1" ht="12.75" customHeight="1">
      <c r="A92" s="91">
        <f aca="true" t="shared" si="27" ref="A92:B99">A74*6.895</f>
        <v>55.16</v>
      </c>
      <c r="B92" s="92">
        <f t="shared" si="27"/>
        <v>68.94999999999999</v>
      </c>
      <c r="C92" s="60" t="str">
        <f aca="true" t="shared" si="28" ref="C92:C99">C74</f>
        <v>A</v>
      </c>
      <c r="D92" s="135">
        <f aca="true" t="shared" si="29" ref="D92:M99">D74*6.895</f>
        <v>9.40202971346879</v>
      </c>
      <c r="E92" s="136">
        <f t="shared" si="29"/>
        <v>9.15130892110962</v>
      </c>
      <c r="F92" s="136">
        <f t="shared" si="29"/>
        <v>8.579352113540264</v>
      </c>
      <c r="G92" s="136">
        <f t="shared" si="29"/>
        <v>9.27497525788138</v>
      </c>
      <c r="H92" s="136">
        <f t="shared" si="29"/>
        <v>8.37009962296612</v>
      </c>
      <c r="I92" s="136">
        <f t="shared" si="29"/>
        <v>8.579352113540264</v>
      </c>
      <c r="J92" s="136">
        <f t="shared" si="29"/>
        <v>9.030896961621332</v>
      </c>
      <c r="K92" s="136">
        <f t="shared" si="29"/>
        <v>9.27497525788137</v>
      </c>
      <c r="L92" s="136">
        <f t="shared" si="29"/>
        <v>9.030896961621341</v>
      </c>
      <c r="M92" s="136">
        <f t="shared" si="29"/>
        <v>8.687951507382552</v>
      </c>
      <c r="N92" s="136">
        <f aca="true" t="shared" si="30" ref="N92:X99">N74*6.895</f>
        <v>8.799335501066938</v>
      </c>
      <c r="O92" s="136">
        <f t="shared" si="30"/>
        <v>9.15130892110962</v>
      </c>
      <c r="P92" s="136">
        <f t="shared" si="30"/>
        <v>9.15130892110962</v>
      </c>
      <c r="Q92" s="136">
        <f t="shared" si="30"/>
        <v>9.27497525788137</v>
      </c>
      <c r="R92" s="136">
        <f t="shared" si="30"/>
        <v>9.666875620890435</v>
      </c>
      <c r="S92" s="136">
        <f t="shared" si="30"/>
        <v>8.799335501066938</v>
      </c>
      <c r="T92" s="136">
        <f t="shared" si="30"/>
        <v>8.579352113540264</v>
      </c>
      <c r="U92" s="136">
        <f t="shared" si="30"/>
        <v>8.47343418621261</v>
      </c>
      <c r="V92" s="417">
        <f t="shared" si="30"/>
        <v>8.687951507382552</v>
      </c>
      <c r="W92" s="428">
        <f t="shared" si="30"/>
        <v>8.945563997961758</v>
      </c>
      <c r="X92" s="137">
        <f t="shared" si="30"/>
        <v>0.3596013430783127</v>
      </c>
      <c r="Y92" s="516"/>
      <c r="Z92" s="516"/>
      <c r="AA92" s="79">
        <f t="shared" si="26"/>
        <v>55.16</v>
      </c>
      <c r="AB92" s="60">
        <f aca="true" t="shared" si="31" ref="AB92:AB99">B92</f>
        <v>68.94999999999999</v>
      </c>
      <c r="AC92" s="137" t="s">
        <v>9</v>
      </c>
      <c r="AD92" s="153">
        <f aca="true" t="shared" si="32" ref="AD92:AE99">W92</f>
        <v>8.945563997961758</v>
      </c>
      <c r="AE92" s="137">
        <f t="shared" si="32"/>
        <v>0.3596013430783127</v>
      </c>
    </row>
    <row r="93" spans="1:31" s="55" customFormat="1" ht="12.75" customHeight="1">
      <c r="A93" s="91">
        <f t="shared" si="27"/>
        <v>55.16</v>
      </c>
      <c r="B93" s="92">
        <f t="shared" si="27"/>
        <v>68.94999999999999</v>
      </c>
      <c r="C93" s="60" t="str">
        <f t="shared" si="28"/>
        <v>B</v>
      </c>
      <c r="D93" s="135">
        <f t="shared" si="29"/>
        <v>10.641056885011189</v>
      </c>
      <c r="E93" s="136">
        <f t="shared" si="29"/>
        <v>9.466871297699596</v>
      </c>
      <c r="F93" s="136">
        <f t="shared" si="29"/>
        <v>10.019681300485</v>
      </c>
      <c r="G93" s="136">
        <f t="shared" si="29"/>
        <v>10.019681300485</v>
      </c>
      <c r="H93" s="136">
        <f t="shared" si="29"/>
        <v>10.321025098995802</v>
      </c>
      <c r="I93" s="136">
        <f t="shared" si="29"/>
        <v>10.019681300484987</v>
      </c>
      <c r="J93" s="136">
        <f t="shared" si="29"/>
        <v>10.478598001270553</v>
      </c>
      <c r="K93" s="136">
        <f t="shared" si="29"/>
        <v>10.168121023455141</v>
      </c>
      <c r="L93" s="136">
        <f t="shared" si="29"/>
        <v>10.019681300484987</v>
      </c>
      <c r="M93" s="136">
        <f t="shared" si="29"/>
        <v>9.875513224218999</v>
      </c>
      <c r="N93" s="136">
        <f t="shared" si="30"/>
        <v>10.019681300484987</v>
      </c>
      <c r="O93" s="136">
        <f t="shared" si="30"/>
        <v>10.478598001270568</v>
      </c>
      <c r="P93" s="136">
        <f t="shared" si="30"/>
        <v>7.380087839604529</v>
      </c>
      <c r="Q93" s="136">
        <f t="shared" si="30"/>
        <v>10.321025098995802</v>
      </c>
      <c r="R93" s="136">
        <f t="shared" si="30"/>
        <v>10.019681300484974</v>
      </c>
      <c r="S93" s="136">
        <f t="shared" si="30"/>
        <v>10.019681300484987</v>
      </c>
      <c r="T93" s="136">
        <f t="shared" si="30"/>
        <v>9.875513224219011</v>
      </c>
      <c r="U93" s="136">
        <f t="shared" si="30"/>
        <v>9.875513224219011</v>
      </c>
      <c r="V93" s="417">
        <f t="shared" si="30"/>
        <v>10.168121023455129</v>
      </c>
      <c r="W93" s="428">
        <f t="shared" si="30"/>
        <v>9.957253318200541</v>
      </c>
      <c r="X93" s="137">
        <f t="shared" si="30"/>
        <v>0.678820856753829</v>
      </c>
      <c r="Y93" s="516"/>
      <c r="Z93" s="516"/>
      <c r="AA93" s="79">
        <f t="shared" si="26"/>
        <v>55.16</v>
      </c>
      <c r="AB93" s="60">
        <f t="shared" si="31"/>
        <v>68.94999999999999</v>
      </c>
      <c r="AC93" s="137" t="s">
        <v>7</v>
      </c>
      <c r="AD93" s="153">
        <f t="shared" si="32"/>
        <v>9.957253318200541</v>
      </c>
      <c r="AE93" s="137">
        <f t="shared" si="32"/>
        <v>0.678820856753829</v>
      </c>
    </row>
    <row r="94" spans="1:31" s="55" customFormat="1" ht="12.75" customHeight="1">
      <c r="A94" s="91">
        <f t="shared" si="27"/>
        <v>68.94999999999999</v>
      </c>
      <c r="B94" s="92">
        <f t="shared" si="27"/>
        <v>82.74</v>
      </c>
      <c r="C94" s="60" t="str">
        <f t="shared" si="28"/>
        <v>A</v>
      </c>
      <c r="D94" s="135">
        <f t="shared" si="29"/>
        <v>10.894415382273351</v>
      </c>
      <c r="E94" s="136">
        <f t="shared" si="29"/>
        <v>10.894415382273364</v>
      </c>
      <c r="F94" s="136">
        <f t="shared" si="29"/>
        <v>11.251609329233133</v>
      </c>
      <c r="G94" s="136">
        <f t="shared" si="29"/>
        <v>10.894415382273351</v>
      </c>
      <c r="H94" s="136">
        <f t="shared" si="29"/>
        <v>10.724190141925337</v>
      </c>
      <c r="I94" s="136">
        <f t="shared" si="29"/>
        <v>10.399214683079114</v>
      </c>
      <c r="J94" s="136">
        <f t="shared" si="29"/>
        <v>10.399214683079126</v>
      </c>
      <c r="K94" s="136">
        <f t="shared" si="29"/>
        <v>11.833589122124513</v>
      </c>
      <c r="L94" s="136">
        <f t="shared" si="29"/>
        <v>11.251609329233133</v>
      </c>
      <c r="M94" s="136">
        <f t="shared" si="29"/>
        <v>10.894415382273351</v>
      </c>
      <c r="N94" s="136">
        <f t="shared" si="30"/>
        <v>10.894415382273364</v>
      </c>
      <c r="O94" s="136">
        <f t="shared" si="30"/>
        <v>10.894415382273364</v>
      </c>
      <c r="P94" s="136">
        <f t="shared" si="30"/>
        <v>12.25621730505753</v>
      </c>
      <c r="Q94" s="136">
        <f t="shared" si="30"/>
        <v>13.72696338166444</v>
      </c>
      <c r="R94" s="136">
        <f t="shared" si="30"/>
        <v>12.710151279318925</v>
      </c>
      <c r="S94" s="136">
        <f t="shared" si="30"/>
        <v>12.04119594882846</v>
      </c>
      <c r="T94" s="136">
        <f t="shared" si="30"/>
        <v>10.244002523630177</v>
      </c>
      <c r="U94" s="136">
        <f t="shared" si="30"/>
        <v>10.244002523630177</v>
      </c>
      <c r="V94" s="417">
        <f t="shared" si="30"/>
        <v>11.251609329233133</v>
      </c>
      <c r="W94" s="428">
        <f t="shared" si="30"/>
        <v>11.247371677561967</v>
      </c>
      <c r="X94" s="137">
        <f t="shared" si="30"/>
        <v>0.9053286116641969</v>
      </c>
      <c r="Y94" s="516"/>
      <c r="Z94" s="516"/>
      <c r="AA94" s="79">
        <f t="shared" si="26"/>
        <v>68.94999999999999</v>
      </c>
      <c r="AB94" s="60">
        <f t="shared" si="31"/>
        <v>82.74</v>
      </c>
      <c r="AC94" s="137" t="s">
        <v>9</v>
      </c>
      <c r="AD94" s="153">
        <f t="shared" si="32"/>
        <v>11.247371677561967</v>
      </c>
      <c r="AE94" s="137">
        <f t="shared" si="32"/>
        <v>0.9053286116641969</v>
      </c>
    </row>
    <row r="95" spans="1:31" s="55" customFormat="1" ht="12.75" customHeight="1">
      <c r="A95" s="91">
        <f t="shared" si="27"/>
        <v>68.94999999999999</v>
      </c>
      <c r="B95" s="92">
        <f t="shared" si="27"/>
        <v>82.74</v>
      </c>
      <c r="C95" s="60" t="str">
        <f t="shared" si="28"/>
        <v>B</v>
      </c>
      <c r="D95" s="135">
        <f t="shared" si="29"/>
        <v>11.344597836086312</v>
      </c>
      <c r="E95" s="136">
        <f t="shared" si="29"/>
        <v>10.168121023455141</v>
      </c>
      <c r="F95" s="136">
        <f t="shared" si="29"/>
        <v>11.535263345936478</v>
      </c>
      <c r="G95" s="136">
        <f t="shared" si="29"/>
        <v>10.808632583987738</v>
      </c>
      <c r="H95" s="136">
        <f t="shared" si="29"/>
        <v>10.808632583987738</v>
      </c>
      <c r="I95" s="136">
        <f t="shared" si="29"/>
        <v>11.344597836086312</v>
      </c>
      <c r="J95" s="136">
        <f t="shared" si="29"/>
        <v>11.535263345936494</v>
      </c>
      <c r="K95" s="136">
        <f t="shared" si="29"/>
        <v>10.808632583987738</v>
      </c>
      <c r="L95" s="136">
        <f t="shared" si="29"/>
        <v>11.160132830621484</v>
      </c>
      <c r="M95" s="136">
        <f t="shared" si="29"/>
        <v>11.160132830621501</v>
      </c>
      <c r="N95" s="136">
        <f t="shared" si="30"/>
        <v>10.981570705331533</v>
      </c>
      <c r="O95" s="136">
        <f t="shared" si="30"/>
        <v>11.732447334755912</v>
      </c>
      <c r="P95" s="136">
        <f t="shared" si="30"/>
        <v>20.186710855388863</v>
      </c>
      <c r="Q95" s="136">
        <f t="shared" si="30"/>
        <v>11.732447334755912</v>
      </c>
      <c r="R95" s="136">
        <f t="shared" si="30"/>
        <v>10.981570705331533</v>
      </c>
      <c r="S95" s="136">
        <f t="shared" si="30"/>
        <v>11.344597836086312</v>
      </c>
      <c r="T95" s="136">
        <f t="shared" si="30"/>
        <v>11.344597836086312</v>
      </c>
      <c r="U95" s="136">
        <f t="shared" si="30"/>
        <v>11.160132830621501</v>
      </c>
      <c r="V95" s="417">
        <f t="shared" si="30"/>
        <v>10.808632583987738</v>
      </c>
      <c r="W95" s="428">
        <f t="shared" si="30"/>
        <v>11.628774464371189</v>
      </c>
      <c r="X95" s="137">
        <f t="shared" si="30"/>
        <v>2.107143209919584</v>
      </c>
      <c r="Y95" s="516"/>
      <c r="Z95" s="516"/>
      <c r="AA95" s="79">
        <f t="shared" si="26"/>
        <v>68.94999999999999</v>
      </c>
      <c r="AB95" s="60">
        <f t="shared" si="31"/>
        <v>82.74</v>
      </c>
      <c r="AC95" s="137" t="s">
        <v>7</v>
      </c>
      <c r="AD95" s="153">
        <f t="shared" si="32"/>
        <v>11.628774464371189</v>
      </c>
      <c r="AE95" s="137">
        <f t="shared" si="32"/>
        <v>2.107143209919584</v>
      </c>
    </row>
    <row r="96" spans="1:31" s="55" customFormat="1" ht="12.75" customHeight="1">
      <c r="A96" s="91">
        <f t="shared" si="27"/>
        <v>82.74</v>
      </c>
      <c r="B96" s="92">
        <f t="shared" si="27"/>
        <v>96.53</v>
      </c>
      <c r="C96" s="60" t="str">
        <f t="shared" si="28"/>
        <v>A</v>
      </c>
      <c r="D96" s="135">
        <f t="shared" si="29"/>
        <v>8.913612585496384</v>
      </c>
      <c r="E96" s="136">
        <f t="shared" si="29"/>
        <v>8.799335501066938</v>
      </c>
      <c r="F96" s="136">
        <f t="shared" si="29"/>
        <v>9.40202971346879</v>
      </c>
      <c r="G96" s="136">
        <f t="shared" si="29"/>
        <v>-7.542287572343091</v>
      </c>
      <c r="H96" s="136">
        <f t="shared" si="29"/>
        <v>8.687951507382552</v>
      </c>
      <c r="I96" s="136">
        <f t="shared" si="29"/>
        <v>8.799335501066949</v>
      </c>
      <c r="J96" s="136">
        <f t="shared" si="29"/>
        <v>8.579352113540264</v>
      </c>
      <c r="K96" s="136">
        <f t="shared" si="29"/>
        <v>8.913612585496384</v>
      </c>
      <c r="L96" s="136">
        <f t="shared" si="29"/>
        <v>9.15130892110962</v>
      </c>
      <c r="M96" s="136">
        <f t="shared" si="29"/>
        <v>8.913612585496384</v>
      </c>
      <c r="N96" s="136">
        <f t="shared" si="30"/>
        <v>9.030896961621332</v>
      </c>
      <c r="O96" s="136">
        <f t="shared" si="30"/>
        <v>9.030896961621332</v>
      </c>
      <c r="P96" s="136">
        <f t="shared" si="30"/>
        <v>8.687951507382552</v>
      </c>
      <c r="Q96" s="136">
        <f t="shared" si="30"/>
        <v>8.799335501066938</v>
      </c>
      <c r="R96" s="136">
        <f t="shared" si="30"/>
        <v>9.666875620890448</v>
      </c>
      <c r="S96" s="136">
        <f t="shared" si="30"/>
        <v>8.913612585496374</v>
      </c>
      <c r="T96" s="136">
        <f t="shared" si="30"/>
        <v>9.151308921109612</v>
      </c>
      <c r="U96" s="136">
        <f t="shared" si="30"/>
        <v>8.687951507382552</v>
      </c>
      <c r="V96" s="417">
        <f t="shared" si="30"/>
        <v>8.37009962296612</v>
      </c>
      <c r="W96" s="428">
        <f t="shared" si="30"/>
        <v>8.916615566870083</v>
      </c>
      <c r="X96" s="137">
        <f t="shared" si="30"/>
        <v>0.3015047986242113</v>
      </c>
      <c r="Y96" s="516"/>
      <c r="Z96" s="516"/>
      <c r="AA96" s="79">
        <f t="shared" si="26"/>
        <v>82.74</v>
      </c>
      <c r="AB96" s="60">
        <f t="shared" si="31"/>
        <v>96.53</v>
      </c>
      <c r="AC96" s="137" t="s">
        <v>9</v>
      </c>
      <c r="AD96" s="153">
        <f t="shared" si="32"/>
        <v>8.916615566870083</v>
      </c>
      <c r="AE96" s="137">
        <f t="shared" si="32"/>
        <v>0.3015047986242113</v>
      </c>
    </row>
    <row r="97" spans="1:31" s="55" customFormat="1" ht="12.75" customHeight="1">
      <c r="A97" s="91">
        <f t="shared" si="27"/>
        <v>82.74</v>
      </c>
      <c r="B97" s="92">
        <f t="shared" si="27"/>
        <v>96.53</v>
      </c>
      <c r="C97" s="60" t="str">
        <f t="shared" si="28"/>
        <v>B</v>
      </c>
      <c r="D97" s="135">
        <f t="shared" si="29"/>
        <v>9.151308921109612</v>
      </c>
      <c r="E97" s="136">
        <f t="shared" si="29"/>
        <v>8.579352113540264</v>
      </c>
      <c r="F97" s="136">
        <f t="shared" si="29"/>
        <v>9.27497525788137</v>
      </c>
      <c r="G97" s="136">
        <f t="shared" si="29"/>
        <v>9.274975257881358</v>
      </c>
      <c r="H97" s="136">
        <f t="shared" si="29"/>
        <v>9.27497525788138</v>
      </c>
      <c r="I97" s="136">
        <f t="shared" si="29"/>
        <v>9.402029713468778</v>
      </c>
      <c r="J97" s="136">
        <f t="shared" si="29"/>
        <v>9.15130892110962</v>
      </c>
      <c r="K97" s="136">
        <f t="shared" si="29"/>
        <v>9.030896961621332</v>
      </c>
      <c r="L97" s="136">
        <f t="shared" si="29"/>
        <v>9.532613459489186</v>
      </c>
      <c r="M97" s="136">
        <f t="shared" si="29"/>
        <v>9.030896961621332</v>
      </c>
      <c r="N97" s="136">
        <f t="shared" si="30"/>
        <v>9.40202971346879</v>
      </c>
      <c r="O97" s="136">
        <f t="shared" si="30"/>
        <v>9.27497525788137</v>
      </c>
      <c r="P97" s="136">
        <f t="shared" si="30"/>
        <v>9.532613459489186</v>
      </c>
      <c r="Q97" s="136">
        <f t="shared" si="30"/>
        <v>9.40202971346879</v>
      </c>
      <c r="R97" s="136">
        <f t="shared" si="30"/>
        <v>9.27497525788138</v>
      </c>
      <c r="S97" s="136">
        <f t="shared" si="30"/>
        <v>9.402029713468778</v>
      </c>
      <c r="T97" s="136">
        <f t="shared" si="30"/>
        <v>9.27497525788138</v>
      </c>
      <c r="U97" s="136">
        <f t="shared" si="30"/>
        <v>9.40202971346879</v>
      </c>
      <c r="V97" s="417">
        <f t="shared" si="30"/>
        <v>9.532613459489186</v>
      </c>
      <c r="W97" s="428">
        <f t="shared" si="30"/>
        <v>9.273768651163255</v>
      </c>
      <c r="X97" s="137">
        <f t="shared" si="30"/>
        <v>0.22527089299641198</v>
      </c>
      <c r="Y97" s="516"/>
      <c r="Z97" s="516"/>
      <c r="AA97" s="79">
        <f t="shared" si="26"/>
        <v>82.74</v>
      </c>
      <c r="AB97" s="60">
        <f t="shared" si="31"/>
        <v>96.53</v>
      </c>
      <c r="AC97" s="137" t="s">
        <v>7</v>
      </c>
      <c r="AD97" s="153">
        <f t="shared" si="32"/>
        <v>9.273768651163255</v>
      </c>
      <c r="AE97" s="137">
        <f t="shared" si="32"/>
        <v>0.22527089299641198</v>
      </c>
    </row>
    <row r="98" spans="1:31" s="55" customFormat="1" ht="12.75" customHeight="1">
      <c r="A98" s="91">
        <f t="shared" si="27"/>
        <v>68.94999999999999</v>
      </c>
      <c r="B98" s="92">
        <f t="shared" si="27"/>
        <v>96.53</v>
      </c>
      <c r="C98" s="60" t="str">
        <f t="shared" si="28"/>
        <v>A</v>
      </c>
      <c r="D98" s="135">
        <f t="shared" si="29"/>
        <v>9.804973844046017</v>
      </c>
      <c r="E98" s="136">
        <f t="shared" si="29"/>
        <v>9.735435022457043</v>
      </c>
      <c r="F98" s="136">
        <f t="shared" si="29"/>
        <v>10.244002523630172</v>
      </c>
      <c r="G98" s="136">
        <f t="shared" si="29"/>
        <v>-49.02486922023012</v>
      </c>
      <c r="H98" s="136">
        <f t="shared" si="29"/>
        <v>9.599275092073029</v>
      </c>
      <c r="I98" s="136">
        <f t="shared" si="29"/>
        <v>9.532613459489191</v>
      </c>
      <c r="J98" s="136">
        <f t="shared" si="29"/>
        <v>9.40202971346879</v>
      </c>
      <c r="K98" s="136">
        <f t="shared" si="29"/>
        <v>10.168121023455136</v>
      </c>
      <c r="L98" s="136">
        <f t="shared" si="29"/>
        <v>10.093355427694432</v>
      </c>
      <c r="M98" s="136">
        <f t="shared" si="29"/>
        <v>9.804973844046017</v>
      </c>
      <c r="N98" s="136">
        <f t="shared" si="30"/>
        <v>9.875513224219016</v>
      </c>
      <c r="O98" s="136">
        <f t="shared" si="30"/>
        <v>9.875513224219016</v>
      </c>
      <c r="P98" s="136">
        <f t="shared" si="30"/>
        <v>10.168121023455136</v>
      </c>
      <c r="Q98" s="136">
        <f t="shared" si="30"/>
        <v>10.724190141925337</v>
      </c>
      <c r="R98" s="136">
        <f t="shared" si="30"/>
        <v>10.98157070533155</v>
      </c>
      <c r="S98" s="136">
        <f t="shared" si="30"/>
        <v>10.244002523630172</v>
      </c>
      <c r="T98" s="136">
        <f t="shared" si="30"/>
        <v>9.666875620890442</v>
      </c>
      <c r="U98" s="136">
        <f t="shared" si="30"/>
        <v>9.40202971346879</v>
      </c>
      <c r="V98" s="417">
        <f t="shared" si="30"/>
        <v>9.599275092073029</v>
      </c>
      <c r="W98" s="428">
        <f t="shared" si="30"/>
        <v>9.940103956642908</v>
      </c>
      <c r="X98" s="137">
        <f t="shared" si="30"/>
        <v>0.4304890942887882</v>
      </c>
      <c r="Y98" s="516"/>
      <c r="Z98" s="516"/>
      <c r="AA98" s="79">
        <f t="shared" si="26"/>
        <v>68.94999999999999</v>
      </c>
      <c r="AB98" s="60">
        <f t="shared" si="31"/>
        <v>96.53</v>
      </c>
      <c r="AC98" s="137" t="s">
        <v>9</v>
      </c>
      <c r="AD98" s="153">
        <f t="shared" si="32"/>
        <v>9.940103956642908</v>
      </c>
      <c r="AE98" s="137">
        <f t="shared" si="32"/>
        <v>0.4304890942887882</v>
      </c>
    </row>
    <row r="99" spans="1:31" s="55" customFormat="1" ht="12.75" customHeight="1">
      <c r="A99" s="91">
        <f t="shared" si="27"/>
        <v>68.94999999999999</v>
      </c>
      <c r="B99" s="92">
        <f t="shared" si="27"/>
        <v>96.53</v>
      </c>
      <c r="C99" s="60" t="str">
        <f t="shared" si="28"/>
        <v>B</v>
      </c>
      <c r="D99" s="135">
        <f t="shared" si="29"/>
        <v>10.130600281671164</v>
      </c>
      <c r="E99" s="136">
        <f t="shared" si="29"/>
        <v>9.306415851975887</v>
      </c>
      <c r="F99" s="136">
        <f t="shared" si="29"/>
        <v>10.282369574280462</v>
      </c>
      <c r="G99" s="136">
        <f t="shared" si="29"/>
        <v>9.98324609575594</v>
      </c>
      <c r="H99" s="136">
        <f t="shared" si="29"/>
        <v>9.983246095755952</v>
      </c>
      <c r="I99" s="136">
        <f t="shared" si="29"/>
        <v>10.28236957428047</v>
      </c>
      <c r="J99" s="136">
        <f t="shared" si="29"/>
        <v>10.20592072986203</v>
      </c>
      <c r="K99" s="136">
        <f t="shared" si="29"/>
        <v>9.840117119472707</v>
      </c>
      <c r="L99" s="136">
        <f t="shared" si="29"/>
        <v>10.28236957428047</v>
      </c>
      <c r="M99" s="136">
        <f t="shared" si="29"/>
        <v>9.983246095755952</v>
      </c>
      <c r="N99" s="136">
        <f t="shared" si="30"/>
        <v>10.130600281671164</v>
      </c>
      <c r="O99" s="136">
        <f t="shared" si="30"/>
        <v>10.359972363520319</v>
      </c>
      <c r="P99" s="136">
        <f t="shared" si="30"/>
        <v>12.949965454400402</v>
      </c>
      <c r="Q99" s="136">
        <f t="shared" si="30"/>
        <v>10.438755423318955</v>
      </c>
      <c r="R99" s="136">
        <f t="shared" si="30"/>
        <v>10.056383429790792</v>
      </c>
      <c r="S99" s="136">
        <f t="shared" si="30"/>
        <v>10.28236957428047</v>
      </c>
      <c r="T99" s="136">
        <f t="shared" si="30"/>
        <v>10.205920729862036</v>
      </c>
      <c r="U99" s="136">
        <f t="shared" si="30"/>
        <v>10.205920729862036</v>
      </c>
      <c r="V99" s="417">
        <f t="shared" si="30"/>
        <v>10.130600281671164</v>
      </c>
      <c r="W99" s="428">
        <f t="shared" si="30"/>
        <v>10.26528364534044</v>
      </c>
      <c r="X99" s="137">
        <f t="shared" si="30"/>
        <v>0.695030059041321</v>
      </c>
      <c r="Y99" s="516"/>
      <c r="Z99" s="516"/>
      <c r="AA99" s="79">
        <f t="shared" si="26"/>
        <v>68.94999999999999</v>
      </c>
      <c r="AB99" s="60">
        <f t="shared" si="31"/>
        <v>96.53</v>
      </c>
      <c r="AC99" s="137" t="s">
        <v>7</v>
      </c>
      <c r="AD99" s="153">
        <f t="shared" si="32"/>
        <v>10.26528364534044</v>
      </c>
      <c r="AE99" s="137">
        <f t="shared" si="32"/>
        <v>0.695030059041321</v>
      </c>
    </row>
    <row r="100" spans="1:31" s="55" customFormat="1" ht="12.75" customHeight="1">
      <c r="A100" s="91"/>
      <c r="B100" s="92"/>
      <c r="C100" s="60" t="s">
        <v>0</v>
      </c>
      <c r="D100" s="135">
        <f>AVERAGE(D92:D97)</f>
        <v>10.05783688724094</v>
      </c>
      <c r="E100" s="136">
        <f aca="true" t="shared" si="33" ref="E100:X100">AVERAGE(E92:E97)</f>
        <v>9.509900706524155</v>
      </c>
      <c r="F100" s="136">
        <f t="shared" si="33"/>
        <v>10.010485176757506</v>
      </c>
      <c r="G100" s="136">
        <f t="shared" si="33"/>
        <v>7.121732035027622</v>
      </c>
      <c r="H100" s="136">
        <f t="shared" si="33"/>
        <v>9.697812368856487</v>
      </c>
      <c r="I100" s="136">
        <f t="shared" si="33"/>
        <v>9.757368524621066</v>
      </c>
      <c r="J100" s="136">
        <f t="shared" si="33"/>
        <v>9.86243900442623</v>
      </c>
      <c r="K100" s="136">
        <f t="shared" si="33"/>
        <v>10.00497125576108</v>
      </c>
      <c r="L100" s="136">
        <f t="shared" si="33"/>
        <v>10.024373800426625</v>
      </c>
      <c r="M100" s="136">
        <f t="shared" si="33"/>
        <v>9.760420415269019</v>
      </c>
      <c r="N100" s="136">
        <f t="shared" si="33"/>
        <v>9.854654927374492</v>
      </c>
      <c r="O100" s="136">
        <f t="shared" si="33"/>
        <v>10.093773643152026</v>
      </c>
      <c r="P100" s="136">
        <f t="shared" si="33"/>
        <v>11.199148314672046</v>
      </c>
      <c r="Q100" s="136">
        <f t="shared" si="33"/>
        <v>10.542796047972208</v>
      </c>
      <c r="R100" s="136">
        <f t="shared" si="33"/>
        <v>10.386688297466284</v>
      </c>
      <c r="S100" s="136">
        <f t="shared" si="33"/>
        <v>10.086742147571973</v>
      </c>
      <c r="T100" s="136">
        <f t="shared" si="33"/>
        <v>9.74495831274446</v>
      </c>
      <c r="U100" s="136">
        <f t="shared" si="33"/>
        <v>9.640510664255773</v>
      </c>
      <c r="V100" s="417">
        <f t="shared" si="33"/>
        <v>9.803171254418976</v>
      </c>
      <c r="W100" s="135">
        <f t="shared" si="33"/>
        <v>9.994891279354798</v>
      </c>
      <c r="X100" s="417">
        <f t="shared" si="33"/>
        <v>0.7629449521727577</v>
      </c>
      <c r="Y100" s="516"/>
      <c r="Z100" s="516"/>
      <c r="AA100" s="79"/>
      <c r="AB100" s="60"/>
      <c r="AC100" s="137"/>
      <c r="AD100" s="153">
        <f>W100</f>
        <v>9.994891279354798</v>
      </c>
      <c r="AE100" s="137">
        <f>X100</f>
        <v>0.7629449521727577</v>
      </c>
    </row>
    <row r="101" spans="1:31" s="55" customFormat="1" ht="12.75" customHeight="1">
      <c r="A101" s="79"/>
      <c r="B101" s="516"/>
      <c r="C101" s="60"/>
      <c r="D101" s="135"/>
      <c r="E101" s="517"/>
      <c r="F101" s="517"/>
      <c r="G101" s="517"/>
      <c r="H101" s="517"/>
      <c r="I101" s="517"/>
      <c r="J101" s="517"/>
      <c r="K101" s="517"/>
      <c r="L101" s="517"/>
      <c r="M101" s="517"/>
      <c r="N101" s="517"/>
      <c r="O101" s="517"/>
      <c r="P101" s="517"/>
      <c r="Q101" s="517"/>
      <c r="R101" s="517"/>
      <c r="S101" s="517"/>
      <c r="T101" s="517"/>
      <c r="U101" s="517"/>
      <c r="V101" s="518"/>
      <c r="W101" s="519"/>
      <c r="X101" s="137"/>
      <c r="Y101" s="516"/>
      <c r="Z101" s="516"/>
      <c r="AA101" s="79"/>
      <c r="AB101" s="60"/>
      <c r="AC101" s="137"/>
      <c r="AD101" s="153"/>
      <c r="AE101" s="137"/>
    </row>
    <row r="102" spans="1:31" s="90" customFormat="1" ht="12.75" customHeight="1">
      <c r="A102" s="77" t="s">
        <v>122</v>
      </c>
      <c r="B102" s="59"/>
      <c r="C102" s="60"/>
      <c r="D102" s="135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417"/>
      <c r="W102" s="428"/>
      <c r="X102" s="137"/>
      <c r="Y102" s="516"/>
      <c r="Z102" s="516"/>
      <c r="AA102" s="77" t="str">
        <f>A102</f>
        <v>Coil size at 83 MPa coil pressure [µm]</v>
      </c>
      <c r="AB102" s="163"/>
      <c r="AC102" s="137"/>
      <c r="AD102" s="153"/>
      <c r="AE102" s="137"/>
    </row>
    <row r="103" spans="1:31" s="90" customFormat="1" ht="12.75" customHeight="1">
      <c r="A103" s="79" t="str">
        <f>$C$3</f>
        <v>O-004 3rd sizing</v>
      </c>
      <c r="B103" s="60" t="str">
        <f>$C$4</f>
        <v>outer</v>
      </c>
      <c r="C103" s="92" t="s">
        <v>9</v>
      </c>
      <c r="D103" s="155">
        <f aca="true" t="shared" si="34" ref="D103:M104">D85*1000/39.37</f>
        <v>306.83261366522737</v>
      </c>
      <c r="E103" s="156">
        <f t="shared" si="34"/>
        <v>305.8166116332233</v>
      </c>
      <c r="F103" s="156">
        <f t="shared" si="34"/>
        <v>310.38862077724156</v>
      </c>
      <c r="G103" s="156">
        <f t="shared" si="34"/>
        <v>307.8486156972315</v>
      </c>
      <c r="H103" s="156">
        <f t="shared" si="34"/>
        <v>311.40462280924567</v>
      </c>
      <c r="I103" s="156">
        <f t="shared" si="34"/>
        <v>308.35661671323345</v>
      </c>
      <c r="J103" s="156">
        <f t="shared" si="34"/>
        <v>301.244602489205</v>
      </c>
      <c r="K103" s="156">
        <f t="shared" si="34"/>
        <v>295.6565913131826</v>
      </c>
      <c r="L103" s="156">
        <f t="shared" si="34"/>
        <v>306.83261366522737</v>
      </c>
      <c r="M103" s="156">
        <f t="shared" si="34"/>
        <v>304.8006096012192</v>
      </c>
      <c r="N103" s="156">
        <f aca="true" t="shared" si="35" ref="N103:V104">N85*1000/39.37</f>
        <v>321.0566421132842</v>
      </c>
      <c r="O103" s="156">
        <f t="shared" si="35"/>
        <v>306.3246126492253</v>
      </c>
      <c r="P103" s="156">
        <f t="shared" si="35"/>
        <v>294.13258826517654</v>
      </c>
      <c r="Q103" s="156">
        <f t="shared" si="35"/>
        <v>279.9085598171197</v>
      </c>
      <c r="R103" s="156">
        <f t="shared" si="35"/>
        <v>272.7965455930912</v>
      </c>
      <c r="S103" s="156">
        <f t="shared" si="35"/>
        <v>296.1645923291847</v>
      </c>
      <c r="T103" s="156">
        <f t="shared" si="35"/>
        <v>316.992633985268</v>
      </c>
      <c r="U103" s="156">
        <f t="shared" si="35"/>
        <v>315.9766319532639</v>
      </c>
      <c r="V103" s="418">
        <f t="shared" si="35"/>
        <v>295.14859029718065</v>
      </c>
      <c r="W103" s="155">
        <f>W85*1000/39.37</f>
        <v>303.0359744930016</v>
      </c>
      <c r="X103" s="418">
        <f>X85*1000/39.37</f>
        <v>12.038621874008507</v>
      </c>
      <c r="Y103" s="516"/>
      <c r="Z103" s="516"/>
      <c r="AA103" s="79" t="str">
        <f>$C$3</f>
        <v>O-004 3rd sizing</v>
      </c>
      <c r="AB103" s="60" t="str">
        <f>$C$4</f>
        <v>outer</v>
      </c>
      <c r="AC103" s="76" t="s">
        <v>9</v>
      </c>
      <c r="AD103" s="153">
        <f>W103</f>
        <v>303.0359744930016</v>
      </c>
      <c r="AE103" s="137">
        <f>X103</f>
        <v>12.038621874008507</v>
      </c>
    </row>
    <row r="104" spans="1:32" ht="12.75" customHeight="1">
      <c r="A104" s="164" t="str">
        <f>$C$3</f>
        <v>O-004 3rd sizing</v>
      </c>
      <c r="B104" s="165" t="str">
        <f>$C$4</f>
        <v>outer</v>
      </c>
      <c r="C104" s="93" t="s">
        <v>7</v>
      </c>
      <c r="D104" s="94">
        <f t="shared" si="34"/>
        <v>306.83261366522737</v>
      </c>
      <c r="E104" s="95">
        <f t="shared" si="34"/>
        <v>311.9126238252477</v>
      </c>
      <c r="F104" s="95">
        <f t="shared" si="34"/>
        <v>310.3886207772416</v>
      </c>
      <c r="G104" s="95">
        <f t="shared" si="34"/>
        <v>310.3886207772416</v>
      </c>
      <c r="H104" s="95">
        <f t="shared" si="34"/>
        <v>307.3406146812294</v>
      </c>
      <c r="I104" s="95">
        <f t="shared" si="34"/>
        <v>306.83261366522737</v>
      </c>
      <c r="J104" s="95">
        <f t="shared" si="34"/>
        <v>300.73660147320294</v>
      </c>
      <c r="K104" s="95">
        <f t="shared" si="34"/>
        <v>306.32461264922534</v>
      </c>
      <c r="L104" s="95">
        <f t="shared" si="34"/>
        <v>334.77266954533917</v>
      </c>
      <c r="M104" s="95">
        <f t="shared" si="34"/>
        <v>323.08864617729233</v>
      </c>
      <c r="N104" s="95">
        <f t="shared" si="35"/>
        <v>336.8046736093473</v>
      </c>
      <c r="O104" s="95">
        <f t="shared" si="35"/>
        <v>345.44069088138184</v>
      </c>
      <c r="P104" s="95">
        <f t="shared" si="35"/>
        <v>335.0266700533401</v>
      </c>
      <c r="Q104" s="95">
        <f t="shared" si="35"/>
        <v>339.8526797053594</v>
      </c>
      <c r="R104" s="95">
        <f t="shared" si="35"/>
        <v>339.8526797053594</v>
      </c>
      <c r="S104" s="95">
        <f t="shared" si="35"/>
        <v>315.4686309372619</v>
      </c>
      <c r="T104" s="95">
        <f t="shared" si="35"/>
        <v>325.12065024130044</v>
      </c>
      <c r="U104" s="95">
        <f t="shared" si="35"/>
        <v>342.39268478536957</v>
      </c>
      <c r="V104" s="419">
        <f t="shared" si="35"/>
        <v>348.48869697739394</v>
      </c>
      <c r="W104" s="94">
        <f>W86*1000/39.37</f>
        <v>323.52980495434684</v>
      </c>
      <c r="X104" s="419">
        <f>X86*1000/39.37</f>
        <v>16.003116532741164</v>
      </c>
      <c r="Y104" s="516"/>
      <c r="Z104" s="516"/>
      <c r="AA104" s="164" t="str">
        <f>$C$3</f>
        <v>O-004 3rd sizing</v>
      </c>
      <c r="AB104" s="165" t="str">
        <f>$C$4</f>
        <v>outer</v>
      </c>
      <c r="AC104" s="166" t="s">
        <v>7</v>
      </c>
      <c r="AD104" s="167">
        <f>W104</f>
        <v>323.52980495434684</v>
      </c>
      <c r="AE104" s="168">
        <f>X104</f>
        <v>16.003116532741164</v>
      </c>
      <c r="AF104" s="516"/>
    </row>
    <row r="105" spans="1:32" ht="12.75" customHeight="1">
      <c r="A105" s="516"/>
      <c r="B105" s="516"/>
      <c r="C105" s="516"/>
      <c r="D105" s="520"/>
      <c r="E105" s="520"/>
      <c r="F105" s="520"/>
      <c r="G105" s="520"/>
      <c r="H105" s="520"/>
      <c r="I105" s="520"/>
      <c r="J105" s="520"/>
      <c r="K105" s="520"/>
      <c r="L105" s="520"/>
      <c r="M105" s="520"/>
      <c r="N105" s="520"/>
      <c r="O105" s="520"/>
      <c r="P105" s="520"/>
      <c r="Q105" s="520"/>
      <c r="R105" s="520"/>
      <c r="S105" s="520"/>
      <c r="T105" s="520"/>
      <c r="U105" s="520"/>
      <c r="V105" s="520"/>
      <c r="W105" s="520"/>
      <c r="X105" s="516"/>
      <c r="Y105" s="516"/>
      <c r="Z105" s="516"/>
      <c r="AA105" s="516"/>
      <c r="AB105" s="516"/>
      <c r="AC105" s="516"/>
      <c r="AD105" s="516"/>
      <c r="AE105" s="516"/>
      <c r="AF105" s="516"/>
    </row>
    <row r="106" spans="1:32" ht="12.75" customHeight="1">
      <c r="A106" s="516"/>
      <c r="B106" s="516"/>
      <c r="C106" s="516"/>
      <c r="D106" s="516"/>
      <c r="E106" s="520"/>
      <c r="F106" s="520"/>
      <c r="G106" s="520"/>
      <c r="H106" s="520"/>
      <c r="I106" s="520"/>
      <c r="J106" s="520"/>
      <c r="K106" s="520"/>
      <c r="L106" s="520"/>
      <c r="M106" s="520"/>
      <c r="N106" s="520"/>
      <c r="O106" s="520"/>
      <c r="P106" s="520"/>
      <c r="Q106" s="520"/>
      <c r="R106" s="520"/>
      <c r="S106" s="520"/>
      <c r="T106" s="520"/>
      <c r="U106" s="520"/>
      <c r="V106" s="520"/>
      <c r="W106" s="520"/>
      <c r="X106" s="520"/>
      <c r="Y106" s="516"/>
      <c r="Z106" s="516"/>
      <c r="AA106" s="516"/>
      <c r="AB106" s="516"/>
      <c r="AC106" s="516"/>
      <c r="AD106" s="516"/>
      <c r="AE106" s="516"/>
      <c r="AF106" s="516"/>
    </row>
    <row r="107" spans="1:32" ht="12.75" customHeight="1">
      <c r="A107" s="516"/>
      <c r="B107" s="516"/>
      <c r="C107" s="516"/>
      <c r="D107" s="516"/>
      <c r="E107" s="520"/>
      <c r="F107" s="520"/>
      <c r="G107" s="520"/>
      <c r="H107" s="520"/>
      <c r="I107" s="520"/>
      <c r="J107" s="520"/>
      <c r="K107" s="520"/>
      <c r="L107" s="520"/>
      <c r="M107" s="520"/>
      <c r="N107" s="520"/>
      <c r="O107" s="520"/>
      <c r="P107" s="520"/>
      <c r="Q107" s="520"/>
      <c r="R107" s="520"/>
      <c r="S107" s="520"/>
      <c r="T107" s="520"/>
      <c r="U107" s="520"/>
      <c r="V107" s="520"/>
      <c r="W107" s="520"/>
      <c r="X107" s="520"/>
      <c r="Y107" s="516"/>
      <c r="Z107" s="516"/>
      <c r="AA107" s="516"/>
      <c r="AB107" s="516"/>
      <c r="AC107" s="516"/>
      <c r="AD107" s="516"/>
      <c r="AE107" s="516"/>
      <c r="AF107" s="516"/>
    </row>
    <row r="108" spans="1:32" ht="12.75" customHeight="1">
      <c r="A108" s="516"/>
      <c r="B108" s="516"/>
      <c r="C108" s="516"/>
      <c r="D108" s="516"/>
      <c r="E108" s="520"/>
      <c r="F108" s="520"/>
      <c r="G108" s="520"/>
      <c r="H108" s="520"/>
      <c r="I108" s="520"/>
      <c r="J108" s="520"/>
      <c r="K108" s="520"/>
      <c r="L108" s="520"/>
      <c r="M108" s="520"/>
      <c r="N108" s="520"/>
      <c r="O108" s="520"/>
      <c r="P108" s="520"/>
      <c r="Q108" s="520"/>
      <c r="R108" s="520"/>
      <c r="S108" s="520"/>
      <c r="T108" s="520"/>
      <c r="U108" s="520"/>
      <c r="V108" s="520"/>
      <c r="W108" s="520"/>
      <c r="X108" s="520"/>
      <c r="Y108" s="516"/>
      <c r="Z108" s="516"/>
      <c r="AA108" s="516"/>
      <c r="AB108" s="516"/>
      <c r="AC108" s="516"/>
      <c r="AD108" s="516"/>
      <c r="AE108" s="516"/>
      <c r="AF108" s="516"/>
    </row>
    <row r="109" spans="1:32" ht="12.75" customHeight="1">
      <c r="A109" s="516"/>
      <c r="B109" s="516"/>
      <c r="C109" s="516"/>
      <c r="D109" s="516"/>
      <c r="E109" s="520"/>
      <c r="F109" s="520"/>
      <c r="G109" s="520"/>
      <c r="H109" s="520"/>
      <c r="I109" s="520"/>
      <c r="J109" s="520"/>
      <c r="K109" s="520"/>
      <c r="L109" s="520"/>
      <c r="M109" s="520"/>
      <c r="N109" s="520"/>
      <c r="O109" s="520"/>
      <c r="P109" s="520"/>
      <c r="Q109" s="520"/>
      <c r="R109" s="520"/>
      <c r="S109" s="520"/>
      <c r="T109" s="520"/>
      <c r="U109" s="520"/>
      <c r="V109" s="520"/>
      <c r="W109" s="520"/>
      <c r="X109" s="520"/>
      <c r="Y109" s="516"/>
      <c r="Z109" s="516"/>
      <c r="AA109" s="516"/>
      <c r="AB109" s="516"/>
      <c r="AC109" s="516"/>
      <c r="AD109" s="516"/>
      <c r="AE109" s="516"/>
      <c r="AF109" s="516"/>
    </row>
  </sheetData>
  <printOptions horizontalCentered="1" verticalCentered="1"/>
  <pageMargins left="0" right="0" top="0" bottom="0" header="0.5" footer="0.5"/>
  <pageSetup fitToHeight="1" fitToWidth="1" orientation="portrait" scale="55" r:id="rId2"/>
  <headerFooter alignWithMargins="0">
    <oddHeader>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5"/>
  <sheetViews>
    <sheetView view="pageBreakPreview" zoomScale="60" workbookViewId="0" topLeftCell="A1">
      <selection activeCell="H49" sqref="H49"/>
    </sheetView>
  </sheetViews>
  <sheetFormatPr defaultColWidth="9.00390625" defaultRowHeight="13.5" customHeight="1"/>
  <cols>
    <col min="1" max="1" width="13.875" style="516" customWidth="1"/>
    <col min="2" max="3" width="7.00390625" style="516" customWidth="1"/>
    <col min="4" max="4" width="9.625" style="516" customWidth="1"/>
    <col min="5" max="24" width="9.625" style="520" customWidth="1"/>
    <col min="25" max="25" width="7.00390625" style="516" customWidth="1"/>
    <col min="26" max="26" width="8.125" style="516" customWidth="1"/>
    <col min="27" max="27" width="12.00390625" style="516" customWidth="1"/>
    <col min="28" max="29" width="7.00390625" style="516" customWidth="1"/>
    <col min="30" max="30" width="11.00390625" style="516" customWidth="1"/>
    <col min="31" max="16384" width="7.00390625" style="516" customWidth="1"/>
  </cols>
  <sheetData>
    <row r="1" spans="1:25" s="481" customFormat="1" ht="13.5" customHeight="1">
      <c r="A1" s="68" t="s">
        <v>72</v>
      </c>
      <c r="B1" s="22"/>
      <c r="C1" s="22"/>
      <c r="D1" s="22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22"/>
    </row>
    <row r="2" spans="1:22" s="481" customFormat="1" ht="13.5" customHeight="1">
      <c r="A2" s="22"/>
      <c r="B2" s="22"/>
      <c r="C2" s="22"/>
      <c r="D2" s="22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s="481" customFormat="1" ht="13.5" customHeight="1">
      <c r="A3" s="23" t="s">
        <v>73</v>
      </c>
      <c r="B3" s="461" t="s">
        <v>202</v>
      </c>
      <c r="C3" s="24" t="s">
        <v>201</v>
      </c>
      <c r="D3" s="25"/>
      <c r="E3" s="100"/>
      <c r="F3" s="101"/>
      <c r="G3" s="102" t="s">
        <v>19</v>
      </c>
      <c r="H3" s="103"/>
      <c r="I3" s="102" t="s">
        <v>20</v>
      </c>
      <c r="J3" s="103"/>
      <c r="M3" s="462"/>
      <c r="N3" s="96"/>
      <c r="O3" s="96"/>
      <c r="P3" s="96"/>
      <c r="Q3" s="96"/>
      <c r="R3" s="96"/>
      <c r="S3" s="96"/>
      <c r="T3" s="96"/>
      <c r="U3" s="96"/>
      <c r="V3" s="96"/>
    </row>
    <row r="4" spans="1:22" s="481" customFormat="1" ht="13.5" customHeight="1">
      <c r="A4" s="23" t="s">
        <v>74</v>
      </c>
      <c r="B4" s="461" t="s">
        <v>203</v>
      </c>
      <c r="C4" s="24" t="s">
        <v>123</v>
      </c>
      <c r="D4" s="25"/>
      <c r="E4" s="104" t="s">
        <v>76</v>
      </c>
      <c r="F4" s="105"/>
      <c r="G4" s="106">
        <v>34</v>
      </c>
      <c r="H4" s="107"/>
      <c r="I4" s="106">
        <v>24.6</v>
      </c>
      <c r="J4" s="107"/>
      <c r="M4" s="462"/>
      <c r="N4" s="96"/>
      <c r="O4" s="96"/>
      <c r="P4" s="96"/>
      <c r="Q4" s="96"/>
      <c r="R4" s="96"/>
      <c r="S4" s="96"/>
      <c r="T4" s="96"/>
      <c r="U4" s="96"/>
      <c r="V4" s="96"/>
    </row>
    <row r="5" spans="1:22" s="481" customFormat="1" ht="13.5" customHeight="1">
      <c r="A5" s="23" t="s">
        <v>77</v>
      </c>
      <c r="B5" s="461"/>
      <c r="C5" s="24" t="s">
        <v>78</v>
      </c>
      <c r="D5" s="25"/>
      <c r="E5" s="108" t="s">
        <v>79</v>
      </c>
      <c r="F5" s="109"/>
      <c r="G5" s="110">
        <v>1.68515</v>
      </c>
      <c r="H5" s="111"/>
      <c r="I5" s="110">
        <v>2.31845</v>
      </c>
      <c r="J5" s="112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63" s="481" customFormat="1" ht="13.5" customHeight="1">
      <c r="A6" s="23" t="s">
        <v>53</v>
      </c>
      <c r="B6" s="461"/>
      <c r="C6" s="24"/>
      <c r="D6" s="25"/>
      <c r="E6" s="113" t="s">
        <v>80</v>
      </c>
      <c r="F6" s="114"/>
      <c r="G6" s="115">
        <f>G5*G4*PI()/180</f>
        <v>0.9999881402594031</v>
      </c>
      <c r="H6" s="116"/>
      <c r="I6" s="115">
        <f>I5*I4*PI()/180</f>
        <v>0.9954288166544184</v>
      </c>
      <c r="J6" s="117"/>
      <c r="K6" s="96"/>
      <c r="L6" s="96"/>
      <c r="M6" s="462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22"/>
      <c r="BI6" s="9"/>
      <c r="BJ6" s="12"/>
      <c r="BK6" s="12"/>
    </row>
    <row r="7" spans="1:63" s="481" customFormat="1" ht="13.5" customHeight="1">
      <c r="A7" s="96" t="s">
        <v>81</v>
      </c>
      <c r="B7" s="96"/>
      <c r="C7" s="178">
        <v>34244</v>
      </c>
      <c r="D7" s="25"/>
      <c r="E7" s="96"/>
      <c r="F7" s="96"/>
      <c r="G7" s="96"/>
      <c r="H7" s="96"/>
      <c r="I7" s="96"/>
      <c r="J7" s="96"/>
      <c r="K7" s="96"/>
      <c r="L7" s="96"/>
      <c r="M7" s="462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22"/>
      <c r="BI7" s="9"/>
      <c r="BJ7" s="12"/>
      <c r="BK7" s="12"/>
    </row>
    <row r="8" spans="1:63" s="481" customFormat="1" ht="13.5" customHeight="1">
      <c r="A8" s="96" t="s">
        <v>82</v>
      </c>
      <c r="B8" s="96"/>
      <c r="C8" s="454" t="s">
        <v>204</v>
      </c>
      <c r="D8" s="25"/>
      <c r="E8" s="96"/>
      <c r="F8" s="96"/>
      <c r="G8" s="96"/>
      <c r="H8" s="96"/>
      <c r="I8" s="96"/>
      <c r="J8" s="96"/>
      <c r="K8" s="96"/>
      <c r="L8" s="96"/>
      <c r="M8" s="462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22"/>
      <c r="BI8" s="9"/>
      <c r="BJ8" s="12"/>
      <c r="BK8" s="12"/>
    </row>
    <row r="9" spans="1:63" s="481" customFormat="1" ht="13.5" customHeight="1">
      <c r="A9" s="23"/>
      <c r="B9" s="461"/>
      <c r="C9" s="47"/>
      <c r="D9" s="47"/>
      <c r="E9" s="96"/>
      <c r="F9" s="96"/>
      <c r="G9" s="96"/>
      <c r="H9" s="96"/>
      <c r="I9" s="96"/>
      <c r="J9" s="96"/>
      <c r="K9" s="96"/>
      <c r="L9" s="96"/>
      <c r="M9" s="462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22"/>
      <c r="BF9" s="9"/>
      <c r="BI9" s="10"/>
      <c r="BJ9" s="12"/>
      <c r="BK9" s="12"/>
    </row>
    <row r="10" spans="1:63" s="481" customFormat="1" ht="13.5" customHeight="1">
      <c r="A10" s="491"/>
      <c r="B10" s="491" t="s">
        <v>84</v>
      </c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N10" s="493"/>
      <c r="O10" s="493" t="s">
        <v>84</v>
      </c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5" t="e">
        <f>AVERAGE(#REF!,#REF!,#REF!,#REF!,#REF!,Z2:Z4,Z6:Z8)</f>
        <v>#REF!</v>
      </c>
      <c r="AA10" s="180" t="e">
        <f>STDEV(#REF!,#REF!,#REF!,#REF!,#REF!,Z2:Z4,Z6:Z8)</f>
        <v>#REF!</v>
      </c>
      <c r="AB10" s="495" t="e">
        <f>AVERAGE(#REF!,#REF!,#REF!,#REF!,#REF!,AB2:AB4,AB6:AB8)</f>
        <v>#REF!</v>
      </c>
      <c r="AC10" s="180" t="e">
        <f>STDEV(#REF!,#REF!,#REF!,#REF!,#REF!,AB2:AB4,AB6:AB8)</f>
        <v>#REF!</v>
      </c>
      <c r="AD10" s="96"/>
      <c r="AE10" s="462"/>
      <c r="AF10" s="96"/>
      <c r="BF10" s="9"/>
      <c r="BI10" s="10"/>
      <c r="BJ10" s="12"/>
      <c r="BK10" s="12"/>
    </row>
    <row r="11" spans="1:63" s="481" customFormat="1" ht="13.5" customHeight="1">
      <c r="A11" s="492"/>
      <c r="B11" s="496" t="s">
        <v>85</v>
      </c>
      <c r="C11" s="188"/>
      <c r="D11" s="496" t="s">
        <v>85</v>
      </c>
      <c r="E11" s="188"/>
      <c r="F11" s="496" t="s">
        <v>85</v>
      </c>
      <c r="G11" s="188"/>
      <c r="H11" s="496" t="s">
        <v>85</v>
      </c>
      <c r="I11" s="188"/>
      <c r="J11" s="496" t="s">
        <v>85</v>
      </c>
      <c r="K11" s="188"/>
      <c r="L11" s="492"/>
      <c r="N11" s="494"/>
      <c r="O11" s="497" t="s">
        <v>85</v>
      </c>
      <c r="P11" s="498"/>
      <c r="Q11" s="497" t="s">
        <v>85</v>
      </c>
      <c r="R11" s="498"/>
      <c r="S11" s="497" t="s">
        <v>85</v>
      </c>
      <c r="T11" s="498"/>
      <c r="U11" s="497" t="s">
        <v>85</v>
      </c>
      <c r="V11" s="498"/>
      <c r="W11" s="497" t="s">
        <v>85</v>
      </c>
      <c r="X11" s="498"/>
      <c r="Y11" s="494"/>
      <c r="Z11" s="495" t="e">
        <f>AVERAGE(#REF!,#REF!,#REF!,#REF!,#REF!,Z3:Z5,Z7:Z9)</f>
        <v>#REF!</v>
      </c>
      <c r="AA11" s="180" t="e">
        <f>STDEV(#REF!,#REF!,#REF!,#REF!,#REF!,Z3:Z5,Z7:Z9)</f>
        <v>#REF!</v>
      </c>
      <c r="AB11" s="495" t="e">
        <f>AVERAGE(#REF!,#REF!,#REF!,#REF!,#REF!,AB3:AB5,AB7:AB9)</f>
        <v>#REF!</v>
      </c>
      <c r="AC11" s="180" t="e">
        <f>STDEV(#REF!,#REF!,#REF!,#REF!,#REF!,AB3:AB5,AB7:AB9)</f>
        <v>#REF!</v>
      </c>
      <c r="AD11" s="96"/>
      <c r="AE11" s="462"/>
      <c r="AF11" s="96"/>
      <c r="BF11" s="9"/>
      <c r="BI11" s="10"/>
      <c r="BJ11" s="12"/>
      <c r="BK11" s="12"/>
    </row>
    <row r="12" spans="1:63" s="481" customFormat="1" ht="13.5" customHeight="1">
      <c r="A12" s="492" t="s">
        <v>86</v>
      </c>
      <c r="B12" s="499"/>
      <c r="C12" s="189"/>
      <c r="D12" s="499">
        <v>3135</v>
      </c>
      <c r="E12" s="189"/>
      <c r="F12" s="499">
        <v>3918</v>
      </c>
      <c r="G12" s="189"/>
      <c r="H12" s="499">
        <v>4703</v>
      </c>
      <c r="I12" s="189"/>
      <c r="J12" s="499">
        <v>5486</v>
      </c>
      <c r="K12" s="189"/>
      <c r="L12" s="492" t="s">
        <v>86</v>
      </c>
      <c r="N12" s="494" t="s">
        <v>86</v>
      </c>
      <c r="O12" s="500"/>
      <c r="P12" s="501"/>
      <c r="Q12" s="500">
        <v>3135</v>
      </c>
      <c r="R12" s="501"/>
      <c r="S12" s="500">
        <v>3918</v>
      </c>
      <c r="T12" s="501"/>
      <c r="U12" s="500">
        <v>4703</v>
      </c>
      <c r="V12" s="501"/>
      <c r="W12" s="500">
        <v>5486</v>
      </c>
      <c r="X12" s="501"/>
      <c r="Y12" s="494" t="s">
        <v>86</v>
      </c>
      <c r="BF12" s="9"/>
      <c r="BI12" s="10"/>
      <c r="BJ12" s="12"/>
      <c r="BK12" s="12"/>
    </row>
    <row r="13" spans="1:63" s="481" customFormat="1" ht="13.5" customHeight="1">
      <c r="A13" s="492" t="s">
        <v>87</v>
      </c>
      <c r="B13" s="502" t="s">
        <v>88</v>
      </c>
      <c r="C13" s="190"/>
      <c r="D13" s="502" t="s">
        <v>89</v>
      </c>
      <c r="E13" s="190"/>
      <c r="F13" s="502" t="s">
        <v>90</v>
      </c>
      <c r="G13" s="190"/>
      <c r="H13" s="502" t="s">
        <v>91</v>
      </c>
      <c r="I13" s="190"/>
      <c r="J13" s="502" t="s">
        <v>92</v>
      </c>
      <c r="K13" s="190"/>
      <c r="L13" s="492" t="s">
        <v>87</v>
      </c>
      <c r="N13" s="494" t="s">
        <v>87</v>
      </c>
      <c r="O13" s="503" t="s">
        <v>88</v>
      </c>
      <c r="P13" s="504"/>
      <c r="Q13" s="503" t="s">
        <v>89</v>
      </c>
      <c r="R13" s="504"/>
      <c r="S13" s="503" t="s">
        <v>90</v>
      </c>
      <c r="T13" s="504"/>
      <c r="U13" s="503" t="s">
        <v>91</v>
      </c>
      <c r="V13" s="504"/>
      <c r="W13" s="503" t="s">
        <v>92</v>
      </c>
      <c r="X13" s="504"/>
      <c r="Y13" s="494" t="s">
        <v>87</v>
      </c>
      <c r="BF13" s="9"/>
      <c r="BI13" s="10"/>
      <c r="BJ13" s="12"/>
      <c r="BK13" s="12"/>
    </row>
    <row r="14" spans="1:63" s="481" customFormat="1" ht="13.5" customHeight="1">
      <c r="A14" s="492" t="s">
        <v>93</v>
      </c>
      <c r="B14" s="492"/>
      <c r="C14" s="492"/>
      <c r="D14" s="492"/>
      <c r="E14" s="492"/>
      <c r="F14" s="492"/>
      <c r="G14" s="492"/>
      <c r="H14" s="492"/>
      <c r="I14" s="492"/>
      <c r="J14" s="492"/>
      <c r="K14" s="492"/>
      <c r="L14" s="492" t="s">
        <v>93</v>
      </c>
      <c r="N14" s="494" t="s">
        <v>93</v>
      </c>
      <c r="O14" s="494"/>
      <c r="P14" s="494"/>
      <c r="Q14" s="494"/>
      <c r="R14" s="494"/>
      <c r="S14" s="494"/>
      <c r="T14" s="494"/>
      <c r="U14" s="494"/>
      <c r="V14" s="494"/>
      <c r="W14" s="494"/>
      <c r="X14" s="494"/>
      <c r="Y14" s="494" t="s">
        <v>93</v>
      </c>
      <c r="BF14" s="9"/>
      <c r="BI14" s="10"/>
      <c r="BJ14" s="12"/>
      <c r="BK14" s="12"/>
    </row>
    <row r="15" spans="1:63" s="481" customFormat="1" ht="13.5" customHeight="1">
      <c r="A15" s="492" t="s">
        <v>6</v>
      </c>
      <c r="B15" s="492" t="s">
        <v>94</v>
      </c>
      <c r="C15" s="492" t="s">
        <v>95</v>
      </c>
      <c r="D15" s="539" t="s">
        <v>94</v>
      </c>
      <c r="E15" s="539" t="s">
        <v>95</v>
      </c>
      <c r="F15" s="539" t="s">
        <v>94</v>
      </c>
      <c r="G15" s="539" t="s">
        <v>95</v>
      </c>
      <c r="H15" s="539" t="s">
        <v>94</v>
      </c>
      <c r="I15" s="539" t="s">
        <v>95</v>
      </c>
      <c r="J15" s="539" t="s">
        <v>94</v>
      </c>
      <c r="K15" s="539" t="s">
        <v>95</v>
      </c>
      <c r="L15" s="539" t="s">
        <v>8</v>
      </c>
      <c r="N15" s="540" t="s">
        <v>8</v>
      </c>
      <c r="O15" s="540" t="s">
        <v>94</v>
      </c>
      <c r="P15" s="540" t="s">
        <v>95</v>
      </c>
      <c r="Q15" s="540" t="s">
        <v>94</v>
      </c>
      <c r="R15" s="540" t="s">
        <v>95</v>
      </c>
      <c r="S15" s="540" t="s">
        <v>94</v>
      </c>
      <c r="T15" s="540" t="s">
        <v>95</v>
      </c>
      <c r="U15" s="540" t="s">
        <v>94</v>
      </c>
      <c r="V15" s="540" t="s">
        <v>95</v>
      </c>
      <c r="W15" s="540" t="s">
        <v>94</v>
      </c>
      <c r="X15" s="540" t="s">
        <v>95</v>
      </c>
      <c r="Y15" s="494" t="s">
        <v>8</v>
      </c>
      <c r="BF15" s="9"/>
      <c r="BI15" s="10"/>
      <c r="BJ15" s="12"/>
      <c r="BK15" s="12"/>
    </row>
    <row r="16" spans="1:63" s="481" customFormat="1" ht="12" customHeight="1">
      <c r="A16" s="492" t="s">
        <v>96</v>
      </c>
      <c r="B16" s="492"/>
      <c r="C16" s="492"/>
      <c r="D16" s="543">
        <v>-0.01324</v>
      </c>
      <c r="E16" s="543">
        <v>0</v>
      </c>
      <c r="F16" s="543">
        <v>-0.00968</v>
      </c>
      <c r="G16" s="543">
        <v>0.0019</v>
      </c>
      <c r="H16" s="543">
        <v>-0.0063</v>
      </c>
      <c r="I16" s="543">
        <v>0.00408</v>
      </c>
      <c r="J16" s="543">
        <v>-0.00298</v>
      </c>
      <c r="K16" s="543">
        <v>0.00608</v>
      </c>
      <c r="L16" s="506" t="s">
        <v>96</v>
      </c>
      <c r="M16" s="543"/>
      <c r="N16" s="507" t="s">
        <v>96</v>
      </c>
      <c r="O16" s="507"/>
      <c r="P16" s="507"/>
      <c r="Q16" s="543">
        <v>-0.01426</v>
      </c>
      <c r="R16" s="543">
        <v>0</v>
      </c>
      <c r="S16" s="543">
        <v>-0.01076</v>
      </c>
      <c r="T16" s="543">
        <v>0.00202</v>
      </c>
      <c r="U16" s="543">
        <v>-0.00726</v>
      </c>
      <c r="V16" s="543">
        <v>0.0041</v>
      </c>
      <c r="W16" s="543">
        <v>-0.00386</v>
      </c>
      <c r="X16" s="543">
        <v>0.00624</v>
      </c>
      <c r="Y16" s="494" t="s">
        <v>96</v>
      </c>
      <c r="BF16" s="9"/>
      <c r="BI16" s="10"/>
      <c r="BJ16" s="12"/>
      <c r="BK16" s="12"/>
    </row>
    <row r="17" spans="1:63" s="182" customFormat="1" ht="0.75" customHeight="1">
      <c r="A17" s="492" t="s">
        <v>97</v>
      </c>
      <c r="B17" s="492"/>
      <c r="C17" s="492"/>
      <c r="D17" s="543">
        <v>-0.00844</v>
      </c>
      <c r="E17" s="543">
        <v>0.00176</v>
      </c>
      <c r="F17" s="543">
        <v>-0.00594</v>
      </c>
      <c r="G17" s="543">
        <v>0.00386</v>
      </c>
      <c r="H17" s="543">
        <v>-0.0033</v>
      </c>
      <c r="I17" s="543">
        <v>0.0057</v>
      </c>
      <c r="J17" s="543">
        <v>-0.00288</v>
      </c>
      <c r="K17" s="543">
        <v>0.00608</v>
      </c>
      <c r="L17" s="506" t="s">
        <v>97</v>
      </c>
      <c r="M17" s="543"/>
      <c r="N17" s="507" t="s">
        <v>97</v>
      </c>
      <c r="O17" s="507"/>
      <c r="P17" s="507"/>
      <c r="Q17" s="543">
        <v>-0.0092</v>
      </c>
      <c r="R17" s="543">
        <v>0.00178</v>
      </c>
      <c r="S17" s="543">
        <v>-0.00672</v>
      </c>
      <c r="T17" s="543">
        <v>0.00382</v>
      </c>
      <c r="U17" s="543">
        <v>-0.00406</v>
      </c>
      <c r="V17" s="543">
        <v>0.00558</v>
      </c>
      <c r="W17" s="543">
        <v>-0.00378</v>
      </c>
      <c r="X17" s="543">
        <v>0.00624</v>
      </c>
      <c r="Y17" s="494" t="s">
        <v>97</v>
      </c>
      <c r="BF17" s="68"/>
      <c r="BI17" s="183"/>
      <c r="BJ17" s="184"/>
      <c r="BK17" s="184"/>
    </row>
    <row r="18" spans="1:63" s="481" customFormat="1" ht="12" customHeight="1">
      <c r="A18" s="492">
        <v>2</v>
      </c>
      <c r="B18" s="492"/>
      <c r="C18" s="492"/>
      <c r="D18" s="543">
        <v>-0.01316</v>
      </c>
      <c r="E18" s="543"/>
      <c r="F18" s="543">
        <v>-0.00968</v>
      </c>
      <c r="G18" s="543"/>
      <c r="H18" s="543">
        <v>-0.00638</v>
      </c>
      <c r="I18" s="543"/>
      <c r="J18" s="543">
        <v>-0.003</v>
      </c>
      <c r="K18" s="543"/>
      <c r="L18" s="544">
        <v>2</v>
      </c>
      <c r="M18" s="545"/>
      <c r="N18" s="546">
        <v>2</v>
      </c>
      <c r="O18" s="507"/>
      <c r="P18" s="507"/>
      <c r="Q18" s="543">
        <v>-0.0142</v>
      </c>
      <c r="R18" s="543"/>
      <c r="S18" s="543">
        <v>-0.01068</v>
      </c>
      <c r="T18" s="543"/>
      <c r="U18" s="543">
        <v>-0.00726</v>
      </c>
      <c r="V18" s="543"/>
      <c r="W18" s="543">
        <v>-0.00382</v>
      </c>
      <c r="X18" s="543"/>
      <c r="Y18" s="494">
        <v>2</v>
      </c>
      <c r="BF18" s="9"/>
      <c r="BI18" s="10"/>
      <c r="BJ18" s="12"/>
      <c r="BK18" s="12"/>
    </row>
    <row r="19" spans="1:63" s="481" customFormat="1" ht="12" customHeight="1">
      <c r="A19" s="492">
        <v>3</v>
      </c>
      <c r="B19" s="492"/>
      <c r="C19" s="492"/>
      <c r="D19" s="543">
        <v>-0.0135</v>
      </c>
      <c r="E19" s="543"/>
      <c r="F19" s="543">
        <v>-0.01012</v>
      </c>
      <c r="G19" s="543"/>
      <c r="H19" s="543">
        <v>-0.00674</v>
      </c>
      <c r="I19" s="543"/>
      <c r="J19" s="543">
        <v>-0.00348</v>
      </c>
      <c r="K19" s="543"/>
      <c r="L19" s="544">
        <v>3</v>
      </c>
      <c r="M19" s="545"/>
      <c r="N19" s="546">
        <v>3</v>
      </c>
      <c r="O19" s="507"/>
      <c r="P19" s="507"/>
      <c r="Q19" s="543">
        <v>-0.01412</v>
      </c>
      <c r="R19" s="543"/>
      <c r="S19" s="543">
        <v>-0.01062</v>
      </c>
      <c r="T19" s="543"/>
      <c r="U19" s="543">
        <v>-0.0072</v>
      </c>
      <c r="V19" s="543"/>
      <c r="W19" s="543">
        <v>-0.00376</v>
      </c>
      <c r="X19" s="543"/>
      <c r="Y19" s="494">
        <v>3</v>
      </c>
      <c r="BF19" s="9"/>
      <c r="BI19" s="10"/>
      <c r="BJ19" s="12"/>
      <c r="BK19" s="12"/>
    </row>
    <row r="20" spans="1:63" s="481" customFormat="1" ht="12" customHeight="1">
      <c r="A20" s="492" t="s">
        <v>98</v>
      </c>
      <c r="B20" s="492"/>
      <c r="C20" s="492"/>
      <c r="D20" s="543">
        <v>-0.0132</v>
      </c>
      <c r="E20" s="543"/>
      <c r="F20" s="543">
        <v>-0.0098</v>
      </c>
      <c r="G20" s="543"/>
      <c r="H20" s="543">
        <v>-0.00646</v>
      </c>
      <c r="I20" s="543"/>
      <c r="J20" s="543">
        <v>-0.00308</v>
      </c>
      <c r="K20" s="543"/>
      <c r="L20" s="544" t="s">
        <v>98</v>
      </c>
      <c r="M20" s="545"/>
      <c r="N20" s="546" t="s">
        <v>98</v>
      </c>
      <c r="O20" s="507"/>
      <c r="P20" s="507"/>
      <c r="Q20" s="543">
        <v>-0.014</v>
      </c>
      <c r="R20" s="543"/>
      <c r="S20" s="543">
        <v>-0.01054</v>
      </c>
      <c r="T20" s="543"/>
      <c r="U20" s="543">
        <v>-0.00712</v>
      </c>
      <c r="V20" s="543"/>
      <c r="W20" s="543">
        <v>-0.00372</v>
      </c>
      <c r="X20" s="543"/>
      <c r="Y20" s="494" t="s">
        <v>98</v>
      </c>
      <c r="BF20" s="9"/>
      <c r="BI20" s="10"/>
      <c r="BJ20" s="12"/>
      <c r="BK20" s="12"/>
    </row>
    <row r="21" spans="1:63" s="182" customFormat="1" ht="1.5" customHeight="1">
      <c r="A21" s="492" t="s">
        <v>99</v>
      </c>
      <c r="B21" s="492"/>
      <c r="C21" s="492"/>
      <c r="D21" s="543">
        <v>-0.00832</v>
      </c>
      <c r="E21" s="543"/>
      <c r="F21" s="543">
        <v>-0.00578</v>
      </c>
      <c r="G21" s="543"/>
      <c r="H21" s="543">
        <v>-0.0033</v>
      </c>
      <c r="I21" s="543"/>
      <c r="J21" s="543">
        <v>-0.00302</v>
      </c>
      <c r="K21" s="543"/>
      <c r="L21" s="544" t="s">
        <v>99</v>
      </c>
      <c r="M21" s="545"/>
      <c r="N21" s="546" t="s">
        <v>99</v>
      </c>
      <c r="O21" s="507"/>
      <c r="P21" s="507"/>
      <c r="Q21" s="543">
        <v>-0.00898</v>
      </c>
      <c r="R21" s="543"/>
      <c r="S21" s="543">
        <v>-0.00646</v>
      </c>
      <c r="T21" s="543"/>
      <c r="U21" s="543">
        <v>-0.0039</v>
      </c>
      <c r="V21" s="543"/>
      <c r="W21" s="543">
        <v>-0.00362</v>
      </c>
      <c r="X21" s="543"/>
      <c r="Y21" s="494" t="s">
        <v>99</v>
      </c>
      <c r="BF21" s="68"/>
      <c r="BI21" s="183"/>
      <c r="BJ21" s="184"/>
      <c r="BK21" s="184"/>
    </row>
    <row r="22" spans="1:63" s="481" customFormat="1" ht="12" customHeight="1">
      <c r="A22" s="492">
        <v>5</v>
      </c>
      <c r="B22" s="492"/>
      <c r="C22" s="492"/>
      <c r="D22" s="543"/>
      <c r="E22" s="543"/>
      <c r="F22" s="543"/>
      <c r="G22" s="543"/>
      <c r="H22" s="543"/>
      <c r="I22" s="543"/>
      <c r="J22" s="543"/>
      <c r="K22" s="543"/>
      <c r="L22" s="544">
        <v>5</v>
      </c>
      <c r="M22" s="545"/>
      <c r="N22" s="546">
        <v>5</v>
      </c>
      <c r="O22" s="507"/>
      <c r="P22" s="507"/>
      <c r="Q22" s="543"/>
      <c r="R22" s="543"/>
      <c r="S22" s="543"/>
      <c r="T22" s="543"/>
      <c r="U22" s="543"/>
      <c r="V22" s="543"/>
      <c r="W22" s="543"/>
      <c r="X22" s="543"/>
      <c r="Y22" s="494">
        <v>5</v>
      </c>
      <c r="BF22" s="9"/>
      <c r="BI22" s="10"/>
      <c r="BJ22" s="12"/>
      <c r="BK22" s="12"/>
    </row>
    <row r="23" spans="1:63" s="481" customFormat="1" ht="12" customHeight="1">
      <c r="A23" s="492">
        <v>6</v>
      </c>
      <c r="B23" s="492"/>
      <c r="C23" s="492"/>
      <c r="D23" s="543">
        <v>-0.01338</v>
      </c>
      <c r="E23" s="543"/>
      <c r="F23" s="543">
        <v>-0.00992</v>
      </c>
      <c r="G23" s="543"/>
      <c r="H23" s="543">
        <v>-0.00656</v>
      </c>
      <c r="I23" s="543"/>
      <c r="J23" s="543">
        <v>-0.00324</v>
      </c>
      <c r="K23" s="543"/>
      <c r="L23" s="544">
        <v>6</v>
      </c>
      <c r="M23" s="545"/>
      <c r="N23" s="546">
        <v>6</v>
      </c>
      <c r="O23" s="507"/>
      <c r="P23" s="507"/>
      <c r="Q23" s="543">
        <v>-0.01422</v>
      </c>
      <c r="R23" s="543"/>
      <c r="S23" s="543">
        <v>-0.01074</v>
      </c>
      <c r="T23" s="543"/>
      <c r="U23" s="543">
        <v>-0.00726</v>
      </c>
      <c r="V23" s="543"/>
      <c r="W23" s="543">
        <v>-0.00392</v>
      </c>
      <c r="X23" s="543"/>
      <c r="Y23" s="494">
        <v>6</v>
      </c>
      <c r="BF23" s="9"/>
      <c r="BI23" s="10"/>
      <c r="BJ23" s="12"/>
      <c r="BK23" s="12"/>
    </row>
    <row r="24" spans="1:63" s="481" customFormat="1" ht="12" customHeight="1">
      <c r="A24" s="492" t="s">
        <v>100</v>
      </c>
      <c r="B24" s="492"/>
      <c r="C24" s="492"/>
      <c r="D24" s="543">
        <v>-0.01284</v>
      </c>
      <c r="E24" s="543"/>
      <c r="F24" s="543">
        <v>-0.0094</v>
      </c>
      <c r="G24" s="543"/>
      <c r="H24" s="543">
        <v>-0.0061</v>
      </c>
      <c r="I24" s="543"/>
      <c r="J24" s="543">
        <v>-0.00278</v>
      </c>
      <c r="K24" s="543"/>
      <c r="L24" s="544" t="s">
        <v>100</v>
      </c>
      <c r="M24" s="545"/>
      <c r="N24" s="546" t="s">
        <v>100</v>
      </c>
      <c r="O24" s="507"/>
      <c r="P24" s="507"/>
      <c r="Q24" s="543">
        <v>-0.01404</v>
      </c>
      <c r="R24" s="543"/>
      <c r="S24" s="543">
        <v>-0.01056</v>
      </c>
      <c r="T24" s="543"/>
      <c r="U24" s="543">
        <v>-0.00716</v>
      </c>
      <c r="V24" s="543"/>
      <c r="W24" s="543">
        <v>-0.00376</v>
      </c>
      <c r="X24" s="543"/>
      <c r="Y24" s="494" t="s">
        <v>100</v>
      </c>
      <c r="BF24" s="9"/>
      <c r="BI24" s="10"/>
      <c r="BJ24" s="12"/>
      <c r="BK24" s="12"/>
    </row>
    <row r="25" spans="1:63" s="182" customFormat="1" ht="1.5" customHeight="1">
      <c r="A25" s="492" t="s">
        <v>101</v>
      </c>
      <c r="B25" s="492"/>
      <c r="C25" s="492"/>
      <c r="D25" s="543">
        <v>-0.00804</v>
      </c>
      <c r="E25" s="543"/>
      <c r="F25" s="543">
        <v>-0.00554</v>
      </c>
      <c r="G25" s="543"/>
      <c r="H25" s="543">
        <v>-0.00312</v>
      </c>
      <c r="I25" s="543"/>
      <c r="J25" s="543">
        <v>-0.00266</v>
      </c>
      <c r="K25" s="543"/>
      <c r="L25" s="544" t="s">
        <v>101</v>
      </c>
      <c r="M25" s="545"/>
      <c r="N25" s="546" t="s">
        <v>101</v>
      </c>
      <c r="O25" s="507"/>
      <c r="P25" s="507"/>
      <c r="Q25" s="543">
        <v>-0.00898</v>
      </c>
      <c r="R25" s="543"/>
      <c r="S25" s="543">
        <v>-0.00652</v>
      </c>
      <c r="T25" s="543"/>
      <c r="U25" s="543">
        <v>-0.0039</v>
      </c>
      <c r="V25" s="543"/>
      <c r="W25" s="543">
        <v>-0.00356</v>
      </c>
      <c r="X25" s="543"/>
      <c r="Y25" s="494" t="s">
        <v>101</v>
      </c>
      <c r="BF25" s="68"/>
      <c r="BI25" s="183"/>
      <c r="BJ25" s="184"/>
      <c r="BK25" s="184"/>
    </row>
    <row r="26" spans="1:63" s="481" customFormat="1" ht="12" customHeight="1">
      <c r="A26" s="492">
        <v>8</v>
      </c>
      <c r="B26" s="492"/>
      <c r="C26" s="492"/>
      <c r="D26" s="543">
        <v>-0.0127</v>
      </c>
      <c r="E26" s="543"/>
      <c r="F26" s="543">
        <v>-0.00924</v>
      </c>
      <c r="G26" s="543"/>
      <c r="H26" s="543">
        <v>-0.00598</v>
      </c>
      <c r="I26" s="543"/>
      <c r="J26" s="543">
        <v>-0.00268</v>
      </c>
      <c r="K26" s="543"/>
      <c r="L26" s="544">
        <v>8</v>
      </c>
      <c r="M26" s="545"/>
      <c r="N26" s="546">
        <v>8</v>
      </c>
      <c r="O26" s="507"/>
      <c r="P26" s="507"/>
      <c r="Q26" s="543">
        <v>-0.0139</v>
      </c>
      <c r="R26" s="543"/>
      <c r="S26" s="543">
        <v>-0.01044</v>
      </c>
      <c r="T26" s="543"/>
      <c r="U26" s="543">
        <v>-0.00702</v>
      </c>
      <c r="V26" s="543"/>
      <c r="W26" s="543">
        <v>-0.00364</v>
      </c>
      <c r="X26" s="543"/>
      <c r="Y26" s="494">
        <v>8</v>
      </c>
      <c r="BF26" s="9"/>
      <c r="BI26" s="10"/>
      <c r="BJ26" s="12"/>
      <c r="BK26" s="12"/>
    </row>
    <row r="27" spans="1:63" s="481" customFormat="1" ht="12" customHeight="1">
      <c r="A27" s="492">
        <v>9</v>
      </c>
      <c r="B27" s="492"/>
      <c r="C27" s="492"/>
      <c r="D27" s="543">
        <v>-0.0131</v>
      </c>
      <c r="E27" s="543"/>
      <c r="F27" s="543">
        <v>-0.00964</v>
      </c>
      <c r="G27" s="543"/>
      <c r="H27" s="543">
        <v>-0.00634</v>
      </c>
      <c r="I27" s="543"/>
      <c r="J27" s="543">
        <v>-0.00296</v>
      </c>
      <c r="K27" s="543"/>
      <c r="L27" s="544">
        <v>9</v>
      </c>
      <c r="M27" s="545"/>
      <c r="N27" s="546">
        <v>9</v>
      </c>
      <c r="O27" s="507"/>
      <c r="P27" s="507"/>
      <c r="Q27" s="543">
        <v>-0.01432</v>
      </c>
      <c r="R27" s="543"/>
      <c r="S27" s="543">
        <v>-0.01086</v>
      </c>
      <c r="T27" s="543"/>
      <c r="U27" s="543">
        <v>-0.00742</v>
      </c>
      <c r="V27" s="543"/>
      <c r="W27" s="543">
        <v>-0.004</v>
      </c>
      <c r="X27" s="543"/>
      <c r="Y27" s="494">
        <v>9</v>
      </c>
      <c r="BF27" s="9"/>
      <c r="BI27" s="10"/>
      <c r="BJ27" s="12"/>
      <c r="BK27" s="12"/>
    </row>
    <row r="28" spans="1:63" s="481" customFormat="1" ht="12" customHeight="1">
      <c r="A28" s="492" t="s">
        <v>102</v>
      </c>
      <c r="B28" s="492"/>
      <c r="C28" s="492"/>
      <c r="D28" s="543"/>
      <c r="E28" s="543"/>
      <c r="F28" s="543"/>
      <c r="G28" s="543"/>
      <c r="H28" s="543"/>
      <c r="I28" s="543"/>
      <c r="J28" s="543"/>
      <c r="K28" s="543"/>
      <c r="L28" s="544" t="s">
        <v>102</v>
      </c>
      <c r="M28" s="545"/>
      <c r="N28" s="546" t="s">
        <v>102</v>
      </c>
      <c r="O28" s="507"/>
      <c r="P28" s="507"/>
      <c r="Q28" s="543"/>
      <c r="R28" s="543"/>
      <c r="S28" s="543"/>
      <c r="T28" s="543"/>
      <c r="U28" s="543"/>
      <c r="V28" s="543"/>
      <c r="W28" s="543"/>
      <c r="X28" s="543"/>
      <c r="Y28" s="494" t="s">
        <v>102</v>
      </c>
      <c r="BF28" s="9"/>
      <c r="BI28" s="10"/>
      <c r="BJ28" s="12"/>
      <c r="BK28" s="12"/>
    </row>
    <row r="29" spans="1:63" s="182" customFormat="1" ht="12" customHeight="1" hidden="1">
      <c r="A29" s="492" t="s">
        <v>103</v>
      </c>
      <c r="B29" s="492"/>
      <c r="C29" s="492"/>
      <c r="D29" s="543"/>
      <c r="E29" s="543"/>
      <c r="F29" s="543"/>
      <c r="G29" s="543"/>
      <c r="H29" s="543"/>
      <c r="I29" s="543"/>
      <c r="J29" s="543"/>
      <c r="K29" s="543"/>
      <c r="L29" s="544" t="s">
        <v>103</v>
      </c>
      <c r="M29" s="545"/>
      <c r="N29" s="546" t="s">
        <v>103</v>
      </c>
      <c r="O29" s="507"/>
      <c r="P29" s="507"/>
      <c r="Q29" s="543"/>
      <c r="R29" s="543"/>
      <c r="S29" s="543"/>
      <c r="T29" s="543"/>
      <c r="U29" s="543"/>
      <c r="V29" s="543"/>
      <c r="W29" s="543"/>
      <c r="X29" s="543"/>
      <c r="Y29" s="494" t="s">
        <v>103</v>
      </c>
      <c r="BF29" s="68"/>
      <c r="BI29" s="183"/>
      <c r="BJ29" s="184"/>
      <c r="BK29" s="184"/>
    </row>
    <row r="30" spans="1:63" s="481" customFormat="1" ht="12" customHeight="1">
      <c r="A30" s="492">
        <v>11</v>
      </c>
      <c r="B30" s="492"/>
      <c r="C30" s="492"/>
      <c r="D30" s="543">
        <v>-0.01376</v>
      </c>
      <c r="E30" s="543"/>
      <c r="F30" s="543">
        <v>-0.01028</v>
      </c>
      <c r="G30" s="543"/>
      <c r="H30" s="543">
        <v>-0.00692</v>
      </c>
      <c r="I30" s="543"/>
      <c r="J30" s="543">
        <v>-0.00354</v>
      </c>
      <c r="K30" s="543"/>
      <c r="L30" s="544">
        <v>11</v>
      </c>
      <c r="M30" s="545"/>
      <c r="N30" s="546">
        <v>11</v>
      </c>
      <c r="O30" s="507"/>
      <c r="P30" s="507"/>
      <c r="Q30" s="543">
        <v>-0.0145</v>
      </c>
      <c r="R30" s="543"/>
      <c r="S30" s="543">
        <v>-0.011</v>
      </c>
      <c r="T30" s="543"/>
      <c r="U30" s="543">
        <v>-0.0075</v>
      </c>
      <c r="V30" s="543"/>
      <c r="W30" s="543">
        <v>-0.00404</v>
      </c>
      <c r="X30" s="543"/>
      <c r="Y30" s="494">
        <v>11</v>
      </c>
      <c r="BF30" s="9"/>
      <c r="BI30" s="10"/>
      <c r="BJ30" s="12"/>
      <c r="BK30" s="12"/>
    </row>
    <row r="31" spans="1:63" s="481" customFormat="1" ht="12" customHeight="1">
      <c r="A31" s="492">
        <v>12</v>
      </c>
      <c r="B31" s="492"/>
      <c r="C31" s="492"/>
      <c r="D31" s="543">
        <v>-0.01334</v>
      </c>
      <c r="E31" s="543"/>
      <c r="F31" s="543">
        <v>-0.0099</v>
      </c>
      <c r="G31" s="543"/>
      <c r="H31" s="543">
        <v>-0.00656</v>
      </c>
      <c r="I31" s="543"/>
      <c r="J31" s="543">
        <v>-0.00322</v>
      </c>
      <c r="K31" s="543"/>
      <c r="L31" s="544">
        <v>12</v>
      </c>
      <c r="M31" s="545"/>
      <c r="N31" s="546">
        <v>12</v>
      </c>
      <c r="O31" s="507"/>
      <c r="P31" s="507"/>
      <c r="Q31" s="543">
        <v>-0.01464</v>
      </c>
      <c r="R31" s="543"/>
      <c r="S31" s="543">
        <v>-0.0111</v>
      </c>
      <c r="T31" s="543"/>
      <c r="U31" s="543">
        <v>-0.0076</v>
      </c>
      <c r="V31" s="543"/>
      <c r="W31" s="543">
        <v>-0.00424</v>
      </c>
      <c r="X31" s="543"/>
      <c r="Y31" s="494">
        <v>12</v>
      </c>
      <c r="BF31" s="9"/>
      <c r="BI31" s="10"/>
      <c r="BJ31" s="12"/>
      <c r="BK31" s="12"/>
    </row>
    <row r="32" spans="1:63" s="481" customFormat="1" ht="12" customHeight="1">
      <c r="A32" s="492" t="s">
        <v>104</v>
      </c>
      <c r="B32" s="492"/>
      <c r="C32" s="492"/>
      <c r="D32" s="543">
        <v>-0.01264</v>
      </c>
      <c r="E32" s="543"/>
      <c r="F32" s="543">
        <v>-0.00916</v>
      </c>
      <c r="G32" s="543"/>
      <c r="H32" s="543">
        <v>-0.00592</v>
      </c>
      <c r="I32" s="543"/>
      <c r="J32" s="543">
        <v>-0.00264</v>
      </c>
      <c r="K32" s="543"/>
      <c r="L32" s="544" t="s">
        <v>104</v>
      </c>
      <c r="M32" s="545"/>
      <c r="N32" s="546" t="s">
        <v>104</v>
      </c>
      <c r="O32" s="507"/>
      <c r="P32" s="543"/>
      <c r="Q32" s="543">
        <v>-0.01442</v>
      </c>
      <c r="R32" s="543"/>
      <c r="S32" s="543">
        <v>-0.01092</v>
      </c>
      <c r="T32" s="543"/>
      <c r="U32" s="543">
        <v>-0.00742</v>
      </c>
      <c r="V32" s="543"/>
      <c r="W32" s="543">
        <v>-0.00402</v>
      </c>
      <c r="X32" s="543"/>
      <c r="Y32" s="494" t="s">
        <v>104</v>
      </c>
      <c r="BF32" s="9"/>
      <c r="BI32" s="10"/>
      <c r="BJ32" s="12"/>
      <c r="BK32" s="12"/>
    </row>
    <row r="33" spans="1:63" s="182" customFormat="1" ht="12" customHeight="1" hidden="1">
      <c r="A33" s="492" t="s">
        <v>105</v>
      </c>
      <c r="B33" s="492"/>
      <c r="C33" s="492"/>
      <c r="D33" s="543">
        <v>-0.00788</v>
      </c>
      <c r="E33" s="543"/>
      <c r="F33" s="543">
        <v>-0.00526</v>
      </c>
      <c r="G33" s="543"/>
      <c r="H33" s="543">
        <v>-0.00286</v>
      </c>
      <c r="I33" s="543"/>
      <c r="J33" s="543">
        <v>-0.00258</v>
      </c>
      <c r="K33" s="543"/>
      <c r="L33" s="544" t="s">
        <v>105</v>
      </c>
      <c r="M33" s="545"/>
      <c r="N33" s="546" t="s">
        <v>105</v>
      </c>
      <c r="O33" s="507"/>
      <c r="P33" s="543"/>
      <c r="Q33" s="543">
        <v>-0.00932</v>
      </c>
      <c r="R33" s="543"/>
      <c r="S33" s="543">
        <v>-0.0067</v>
      </c>
      <c r="T33" s="543"/>
      <c r="U33" s="543">
        <v>-0.0041</v>
      </c>
      <c r="V33" s="543"/>
      <c r="W33" s="543">
        <v>-0.00382</v>
      </c>
      <c r="X33" s="543"/>
      <c r="Y33" s="494" t="s">
        <v>105</v>
      </c>
      <c r="BF33" s="68"/>
      <c r="BI33" s="183"/>
      <c r="BJ33" s="184"/>
      <c r="BK33" s="184"/>
    </row>
    <row r="34" spans="1:63" s="481" customFormat="1" ht="12" customHeight="1">
      <c r="A34" s="492">
        <v>14</v>
      </c>
      <c r="B34" s="492"/>
      <c r="C34" s="492"/>
      <c r="D34" s="543">
        <v>-0.01222</v>
      </c>
      <c r="E34" s="543"/>
      <c r="F34" s="543">
        <v>-0.00876</v>
      </c>
      <c r="G34" s="543"/>
      <c r="H34" s="543">
        <v>-0.00552</v>
      </c>
      <c r="I34" s="543"/>
      <c r="J34" s="543">
        <v>-0.00238</v>
      </c>
      <c r="K34" s="543"/>
      <c r="L34" s="544">
        <v>14</v>
      </c>
      <c r="M34" s="545"/>
      <c r="N34" s="546">
        <v>14</v>
      </c>
      <c r="O34" s="507"/>
      <c r="P34" s="543"/>
      <c r="Q34" s="543">
        <v>-0.01438</v>
      </c>
      <c r="R34" s="543"/>
      <c r="S34" s="543">
        <v>-0.01086</v>
      </c>
      <c r="T34" s="543"/>
      <c r="U34" s="543">
        <v>-0.0074</v>
      </c>
      <c r="V34" s="543"/>
      <c r="W34" s="543">
        <v>-0.004</v>
      </c>
      <c r="X34" s="543"/>
      <c r="Y34" s="494">
        <v>14</v>
      </c>
      <c r="BF34" s="9"/>
      <c r="BI34" s="10"/>
      <c r="BJ34" s="12"/>
      <c r="BK34" s="12"/>
    </row>
    <row r="35" spans="1:63" s="481" customFormat="1" ht="12" customHeight="1">
      <c r="A35" s="492">
        <v>15</v>
      </c>
      <c r="B35" s="492"/>
      <c r="C35" s="492"/>
      <c r="D35" s="543"/>
      <c r="E35" s="543"/>
      <c r="F35" s="543"/>
      <c r="G35" s="543"/>
      <c r="H35" s="543"/>
      <c r="I35" s="543"/>
      <c r="J35" s="543"/>
      <c r="K35" s="543"/>
      <c r="L35" s="544">
        <v>15</v>
      </c>
      <c r="M35" s="545"/>
      <c r="N35" s="546">
        <v>15</v>
      </c>
      <c r="O35" s="507"/>
      <c r="P35" s="543"/>
      <c r="Q35" s="543"/>
      <c r="R35" s="543"/>
      <c r="S35" s="543"/>
      <c r="T35" s="543"/>
      <c r="U35" s="543"/>
      <c r="V35" s="543"/>
      <c r="W35" s="543"/>
      <c r="X35" s="543"/>
      <c r="Y35" s="494">
        <v>15</v>
      </c>
      <c r="BF35" s="9"/>
      <c r="BI35" s="10"/>
      <c r="BJ35" s="12"/>
      <c r="BK35" s="12"/>
    </row>
    <row r="36" spans="1:63" s="481" customFormat="1" ht="12" customHeight="1">
      <c r="A36" s="492" t="s">
        <v>106</v>
      </c>
      <c r="B36" s="492"/>
      <c r="C36" s="492"/>
      <c r="D36" s="543">
        <v>-0.0128</v>
      </c>
      <c r="E36" s="543"/>
      <c r="F36" s="543">
        <v>-0.00928</v>
      </c>
      <c r="G36" s="543"/>
      <c r="H36" s="543">
        <v>-0.00604</v>
      </c>
      <c r="I36" s="543"/>
      <c r="J36" s="543">
        <v>-0.0027</v>
      </c>
      <c r="K36" s="543"/>
      <c r="L36" s="544" t="s">
        <v>106</v>
      </c>
      <c r="M36" s="545"/>
      <c r="N36" s="546" t="s">
        <v>106</v>
      </c>
      <c r="O36" s="507"/>
      <c r="P36" s="543"/>
      <c r="Q36" s="543">
        <v>-0.01388</v>
      </c>
      <c r="R36" s="543"/>
      <c r="S36" s="543">
        <v>-0.01038</v>
      </c>
      <c r="T36" s="543"/>
      <c r="U36" s="543">
        <v>-0.00712</v>
      </c>
      <c r="V36" s="543"/>
      <c r="W36" s="543">
        <v>-0.00364</v>
      </c>
      <c r="X36" s="543"/>
      <c r="Y36" s="494" t="s">
        <v>106</v>
      </c>
      <c r="BF36" s="9"/>
      <c r="BI36" s="10"/>
      <c r="BJ36" s="12"/>
      <c r="BK36" s="12"/>
    </row>
    <row r="37" spans="1:63" s="182" customFormat="1" ht="12" customHeight="1" hidden="1">
      <c r="A37" s="492" t="s">
        <v>107</v>
      </c>
      <c r="B37" s="492"/>
      <c r="C37" s="492"/>
      <c r="D37" s="543">
        <v>-0.00798</v>
      </c>
      <c r="E37" s="543"/>
      <c r="F37" s="543">
        <v>-0.00534</v>
      </c>
      <c r="G37" s="543"/>
      <c r="H37" s="543">
        <v>-0.00292</v>
      </c>
      <c r="I37" s="543"/>
      <c r="J37" s="543">
        <v>-0.00254</v>
      </c>
      <c r="K37" s="543"/>
      <c r="L37" s="544" t="s">
        <v>107</v>
      </c>
      <c r="M37" s="545"/>
      <c r="N37" s="546" t="s">
        <v>107</v>
      </c>
      <c r="O37" s="507"/>
      <c r="P37" s="543"/>
      <c r="Q37" s="543">
        <v>-0.00878</v>
      </c>
      <c r="R37" s="543"/>
      <c r="S37" s="543">
        <v>-0.00628</v>
      </c>
      <c r="T37" s="543"/>
      <c r="U37" s="543">
        <v>-0.00382</v>
      </c>
      <c r="V37" s="543"/>
      <c r="W37" s="543">
        <v>-0.00358</v>
      </c>
      <c r="X37" s="543"/>
      <c r="Y37" s="494" t="s">
        <v>107</v>
      </c>
      <c r="BF37" s="68"/>
      <c r="BI37" s="183"/>
      <c r="BJ37" s="184"/>
      <c r="BK37" s="184"/>
    </row>
    <row r="38" spans="1:63" s="481" customFormat="1" ht="12" customHeight="1">
      <c r="A38" s="492">
        <v>17</v>
      </c>
      <c r="B38" s="492"/>
      <c r="C38" s="492"/>
      <c r="D38" s="543">
        <v>-0.01334</v>
      </c>
      <c r="E38" s="543"/>
      <c r="F38" s="543">
        <v>-0.00982</v>
      </c>
      <c r="G38" s="543"/>
      <c r="H38" s="543">
        <v>-0.00646</v>
      </c>
      <c r="I38" s="543"/>
      <c r="J38" s="543">
        <v>-0.00314</v>
      </c>
      <c r="K38" s="543"/>
      <c r="L38" s="544">
        <v>17</v>
      </c>
      <c r="M38" s="545"/>
      <c r="N38" s="546">
        <v>17</v>
      </c>
      <c r="O38" s="507"/>
      <c r="P38" s="543"/>
      <c r="Q38" s="543">
        <v>-0.01398</v>
      </c>
      <c r="R38" s="543"/>
      <c r="S38" s="543">
        <v>-0.01046</v>
      </c>
      <c r="T38" s="543"/>
      <c r="U38" s="543">
        <v>-0.0071</v>
      </c>
      <c r="V38" s="543"/>
      <c r="W38" s="543">
        <v>-0.0037</v>
      </c>
      <c r="X38" s="543"/>
      <c r="Y38" s="494">
        <v>17</v>
      </c>
      <c r="BF38" s="9"/>
      <c r="BI38" s="10"/>
      <c r="BJ38" s="12"/>
      <c r="BK38" s="12"/>
    </row>
    <row r="39" spans="1:63" s="481" customFormat="1" ht="12" customHeight="1">
      <c r="A39" s="492">
        <v>18</v>
      </c>
      <c r="B39" s="492"/>
      <c r="C39" s="492"/>
      <c r="D39" s="543">
        <v>-0.01326</v>
      </c>
      <c r="E39" s="543"/>
      <c r="F39" s="543">
        <v>-0.00964</v>
      </c>
      <c r="G39" s="543"/>
      <c r="H39" s="543">
        <v>-0.0063</v>
      </c>
      <c r="I39" s="543"/>
      <c r="J39" s="543">
        <v>-0.00294</v>
      </c>
      <c r="K39" s="543"/>
      <c r="L39" s="544">
        <v>18</v>
      </c>
      <c r="M39" s="545"/>
      <c r="N39" s="546">
        <v>18</v>
      </c>
      <c r="O39" s="507"/>
      <c r="P39" s="543"/>
      <c r="Q39" s="543">
        <v>-0.01492</v>
      </c>
      <c r="R39" s="543"/>
      <c r="S39" s="543">
        <v>-0.0114</v>
      </c>
      <c r="T39" s="543"/>
      <c r="U39" s="543">
        <v>-0.0078</v>
      </c>
      <c r="V39" s="543"/>
      <c r="W39" s="543">
        <v>-0.00446</v>
      </c>
      <c r="X39" s="543"/>
      <c r="Y39" s="494">
        <v>18</v>
      </c>
      <c r="BF39" s="9"/>
      <c r="BI39" s="10"/>
      <c r="BJ39" s="12"/>
      <c r="BK39" s="12"/>
    </row>
    <row r="40" spans="1:63" s="481" customFormat="1" ht="12" customHeight="1">
      <c r="A40" s="492" t="s">
        <v>108</v>
      </c>
      <c r="B40" s="492"/>
      <c r="C40" s="492"/>
      <c r="D40" s="543">
        <v>-0.01272</v>
      </c>
      <c r="E40" s="543">
        <v>6E-05</v>
      </c>
      <c r="F40" s="543">
        <v>-0.00912</v>
      </c>
      <c r="G40" s="543">
        <v>0.00206</v>
      </c>
      <c r="H40" s="543">
        <v>-0.0057</v>
      </c>
      <c r="I40" s="543">
        <v>0.00418</v>
      </c>
      <c r="J40" s="543">
        <v>-0.00248</v>
      </c>
      <c r="K40" s="543">
        <v>0.00632</v>
      </c>
      <c r="L40" s="506" t="s">
        <v>108</v>
      </c>
      <c r="M40" s="543"/>
      <c r="N40" s="507" t="s">
        <v>108</v>
      </c>
      <c r="O40" s="507"/>
      <c r="P40" s="507"/>
      <c r="Q40" s="543">
        <v>-0.0146</v>
      </c>
      <c r="R40" s="543">
        <v>4E-05</v>
      </c>
      <c r="S40" s="543">
        <v>-0.01108</v>
      </c>
      <c r="T40" s="543">
        <v>0.00204</v>
      </c>
      <c r="U40" s="543">
        <v>-0.0076</v>
      </c>
      <c r="V40" s="543">
        <v>0.00412</v>
      </c>
      <c r="W40" s="543">
        <v>-0.00414</v>
      </c>
      <c r="X40" s="543">
        <v>0.00622</v>
      </c>
      <c r="Y40" s="494" t="s">
        <v>108</v>
      </c>
      <c r="BF40" s="9"/>
      <c r="BI40" s="10"/>
      <c r="BJ40" s="12"/>
      <c r="BK40" s="12"/>
    </row>
    <row r="41" spans="1:63" s="182" customFormat="1" ht="12" customHeight="1" hidden="1">
      <c r="A41" s="492" t="s">
        <v>109</v>
      </c>
      <c r="B41" s="492"/>
      <c r="C41" s="492"/>
      <c r="D41" s="505">
        <v>-0.00798</v>
      </c>
      <c r="E41" s="505">
        <v>0.00194</v>
      </c>
      <c r="F41" s="505">
        <v>-0.00536</v>
      </c>
      <c r="G41" s="505">
        <v>0.0039</v>
      </c>
      <c r="H41" s="505">
        <v>-0.00286</v>
      </c>
      <c r="I41" s="505">
        <v>0.00568</v>
      </c>
      <c r="J41" s="505">
        <v>-0.0023</v>
      </c>
      <c r="K41" s="505">
        <v>0.00632</v>
      </c>
      <c r="L41" s="541" t="s">
        <v>109</v>
      </c>
      <c r="M41" s="505"/>
      <c r="N41" s="542" t="s">
        <v>109</v>
      </c>
      <c r="O41" s="542"/>
      <c r="P41" s="542"/>
      <c r="Q41" s="505">
        <v>-0.0094</v>
      </c>
      <c r="R41" s="505">
        <v>0.00186</v>
      </c>
      <c r="S41" s="505">
        <v>-0.00672</v>
      </c>
      <c r="T41" s="505">
        <v>0.00386</v>
      </c>
      <c r="U41" s="505">
        <v>-0.00426</v>
      </c>
      <c r="V41" s="505">
        <v>0.00574</v>
      </c>
      <c r="W41" s="505">
        <v>-0.00404</v>
      </c>
      <c r="X41" s="505">
        <v>0.00622</v>
      </c>
      <c r="Y41" s="494" t="s">
        <v>109</v>
      </c>
      <c r="BF41" s="68"/>
      <c r="BI41" s="183"/>
      <c r="BJ41" s="184"/>
      <c r="BK41" s="184"/>
    </row>
    <row r="42" spans="1:63" s="481" customFormat="1" ht="12" customHeight="1">
      <c r="A42" s="23"/>
      <c r="B42" s="461"/>
      <c r="C42" s="47"/>
      <c r="D42" s="495">
        <f>AVERAGE(D16,D18:D20,D23:D24,D26:D27,D30:D32,D34,D36,D38:D40)</f>
        <v>-0.013075000000000002</v>
      </c>
      <c r="E42" s="180"/>
      <c r="F42" s="495">
        <f>AVERAGE(F16,F18:F20,F23:F24,F26:F27,F30:F32,F34,F36,F38:F40)</f>
        <v>-0.00959</v>
      </c>
      <c r="G42" s="180"/>
      <c r="H42" s="495">
        <f>AVERAGE(H16,H18:H20,H23:H24,H26:H27,H30:H32,H34,H36,H38:H40)</f>
        <v>-0.006267499999999999</v>
      </c>
      <c r="I42" s="180"/>
      <c r="J42" s="495">
        <f>AVERAGE(J16,J18:J20,J23:J24,J26:J27,J30:J32,J34,J36,J38:J40)</f>
        <v>-0.0029525000000000003</v>
      </c>
      <c r="K42" s="180"/>
      <c r="L42" s="96"/>
      <c r="M42" s="462"/>
      <c r="N42" s="96"/>
      <c r="O42" s="96"/>
      <c r="P42" s="96"/>
      <c r="Q42" s="495">
        <f>AVERAGE(Q16,Q18:Q20,Q23:Q24,Q26:Q27,Q30:Q32,Q34,Q36,Q38:Q40)</f>
        <v>-0.014273749999999998</v>
      </c>
      <c r="R42" s="180"/>
      <c r="S42" s="495">
        <f>AVERAGE(S16,S18:S20,S23:S24,S26:S27,S30:S32,S34,S36,S38:S40)</f>
        <v>-0.010775</v>
      </c>
      <c r="T42" s="180"/>
      <c r="U42" s="495">
        <f>AVERAGE(U16,U18:U20,U23:U24,U26:U27,U30:U32,U34,U36,U38:U40)</f>
        <v>-0.0073275</v>
      </c>
      <c r="V42" s="180"/>
      <c r="W42" s="495">
        <f>AVERAGE(W16,W18:W20,W23:W24,W26:W27,W30:W32,W34,W36,W38:W40)</f>
        <v>-0.00392</v>
      </c>
      <c r="X42" s="180"/>
      <c r="Y42" s="22"/>
      <c r="BF42" s="9"/>
      <c r="BI42" s="10"/>
      <c r="BJ42" s="12"/>
      <c r="BK42" s="12"/>
    </row>
    <row r="43" spans="1:63" s="481" customFormat="1" ht="12" customHeight="1">
      <c r="A43" s="23" t="s">
        <v>150</v>
      </c>
      <c r="B43" s="461"/>
      <c r="C43" s="47"/>
      <c r="D43" s="180">
        <f>AVERAGE(E16,E40)</f>
        <v>3E-05</v>
      </c>
      <c r="E43" s="180"/>
      <c r="F43" s="180">
        <f>AVERAGE(G16,G40)</f>
        <v>0.00198</v>
      </c>
      <c r="G43" s="180"/>
      <c r="H43" s="180">
        <f>AVERAGE(I16,I40)</f>
        <v>0.00413</v>
      </c>
      <c r="I43" s="180"/>
      <c r="J43" s="180">
        <f>AVERAGE(K16,K40)</f>
        <v>0.006200000000000001</v>
      </c>
      <c r="L43" s="96"/>
      <c r="M43" s="462"/>
      <c r="N43" s="96"/>
      <c r="O43" s="96"/>
      <c r="P43" s="96"/>
      <c r="Q43" s="180">
        <f>AVERAGE(R16,R40)</f>
        <v>2E-05</v>
      </c>
      <c r="R43" s="180"/>
      <c r="S43" s="180">
        <f>AVERAGE(T16,T40)</f>
        <v>0.00203</v>
      </c>
      <c r="T43" s="180"/>
      <c r="U43" s="180">
        <f>AVERAGE(V16,V40)</f>
        <v>0.004110000000000001</v>
      </c>
      <c r="V43" s="180"/>
      <c r="W43" s="180">
        <f>AVERAGE(X16,X40)</f>
        <v>0.006229999999999999</v>
      </c>
      <c r="X43" s="96"/>
      <c r="Y43" s="180"/>
      <c r="BF43" s="9"/>
      <c r="BI43" s="10"/>
      <c r="BJ43" s="12"/>
      <c r="BK43" s="12"/>
    </row>
    <row r="44" spans="1:25" s="481" customFormat="1" ht="13.5" customHeight="1">
      <c r="A44" s="25"/>
      <c r="B44" s="25"/>
      <c r="C44" s="25"/>
      <c r="D44" s="25"/>
      <c r="E44" s="97"/>
      <c r="F44" s="509">
        <f>F42-D42</f>
        <v>0.003485000000000002</v>
      </c>
      <c r="G44" s="97"/>
      <c r="H44" s="509">
        <f>H42-F42</f>
        <v>0.003322500000000001</v>
      </c>
      <c r="I44" s="97"/>
      <c r="J44" s="509">
        <f>J42-H42</f>
        <v>0.0033149999999999985</v>
      </c>
      <c r="K44" s="97"/>
      <c r="L44" s="97"/>
      <c r="M44" s="97"/>
      <c r="N44" s="97"/>
      <c r="O44" s="97"/>
      <c r="P44" s="97"/>
      <c r="Q44" s="97"/>
      <c r="R44" s="99"/>
      <c r="S44" s="509">
        <f>S42-Q42</f>
        <v>0.0034987499999999984</v>
      </c>
      <c r="T44" s="98"/>
      <c r="U44" s="509">
        <f>U42-S42</f>
        <v>0.0034475</v>
      </c>
      <c r="V44" s="98"/>
      <c r="W44" s="509">
        <f>W42-U42</f>
        <v>0.0034075</v>
      </c>
      <c r="X44" s="98"/>
      <c r="Y44" s="26"/>
    </row>
    <row r="45" spans="1:24" s="481" customFormat="1" ht="13.5" customHeight="1">
      <c r="A45" s="68" t="s">
        <v>110</v>
      </c>
      <c r="B45" s="48"/>
      <c r="C45" s="25"/>
      <c r="D45" s="25"/>
      <c r="E45" s="462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9"/>
    </row>
    <row r="46" spans="1:25" s="173" customFormat="1" ht="13.5" customHeight="1">
      <c r="A46" s="140" t="s">
        <v>111</v>
      </c>
      <c r="B46" s="141"/>
      <c r="C46" s="142"/>
      <c r="D46" s="170">
        <v>1</v>
      </c>
      <c r="E46" s="171">
        <f aca="true" t="shared" si="0" ref="E46:V46">D46+1</f>
        <v>2</v>
      </c>
      <c r="F46" s="171">
        <f t="shared" si="0"/>
        <v>3</v>
      </c>
      <c r="G46" s="171">
        <f t="shared" si="0"/>
        <v>4</v>
      </c>
      <c r="H46" s="171">
        <f t="shared" si="0"/>
        <v>5</v>
      </c>
      <c r="I46" s="171">
        <f t="shared" si="0"/>
        <v>6</v>
      </c>
      <c r="J46" s="171">
        <f t="shared" si="0"/>
        <v>7</v>
      </c>
      <c r="K46" s="171">
        <f t="shared" si="0"/>
        <v>8</v>
      </c>
      <c r="L46" s="171">
        <f t="shared" si="0"/>
        <v>9</v>
      </c>
      <c r="M46" s="171">
        <f t="shared" si="0"/>
        <v>10</v>
      </c>
      <c r="N46" s="171">
        <f t="shared" si="0"/>
        <v>11</v>
      </c>
      <c r="O46" s="171">
        <f t="shared" si="0"/>
        <v>12</v>
      </c>
      <c r="P46" s="171">
        <f t="shared" si="0"/>
        <v>13</v>
      </c>
      <c r="Q46" s="171">
        <f t="shared" si="0"/>
        <v>14</v>
      </c>
      <c r="R46" s="171">
        <f t="shared" si="0"/>
        <v>15</v>
      </c>
      <c r="S46" s="171">
        <f t="shared" si="0"/>
        <v>16</v>
      </c>
      <c r="T46" s="171">
        <f t="shared" si="0"/>
        <v>17</v>
      </c>
      <c r="U46" s="171">
        <f t="shared" si="0"/>
        <v>18</v>
      </c>
      <c r="V46" s="171">
        <f t="shared" si="0"/>
        <v>19</v>
      </c>
      <c r="W46" s="422" t="s">
        <v>0</v>
      </c>
      <c r="X46" s="429" t="s">
        <v>117</v>
      </c>
      <c r="Y46" s="481"/>
    </row>
    <row r="47" spans="1:24" s="481" customFormat="1" ht="13.5" customHeight="1">
      <c r="A47" s="45" t="s">
        <v>112</v>
      </c>
      <c r="B47" s="46" t="s">
        <v>113</v>
      </c>
      <c r="C47" s="420" t="s">
        <v>35</v>
      </c>
      <c r="D47" s="120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510"/>
      <c r="T47" s="121"/>
      <c r="U47" s="121"/>
      <c r="V47" s="122"/>
      <c r="W47" s="170"/>
      <c r="X47" s="172"/>
    </row>
    <row r="48" spans="1:24" s="481" customFormat="1" ht="13.5" customHeight="1">
      <c r="A48" s="456">
        <v>1111</v>
      </c>
      <c r="B48" s="25">
        <v>8000</v>
      </c>
      <c r="C48" s="25" t="s">
        <v>9</v>
      </c>
      <c r="D48" s="458">
        <f>-D16+$D$43</f>
        <v>0.01327</v>
      </c>
      <c r="E48" s="459">
        <f>-D18+$D$43</f>
        <v>0.01319</v>
      </c>
      <c r="F48" s="459">
        <f>-D19+$D$43</f>
        <v>0.01353</v>
      </c>
      <c r="G48" s="459">
        <f>-D20+$D$43</f>
        <v>0.01323</v>
      </c>
      <c r="H48" s="459"/>
      <c r="I48" s="459">
        <f>-D23+$D$43</f>
        <v>0.01341</v>
      </c>
      <c r="J48" s="459">
        <f>-D24+$D$43</f>
        <v>0.012870000000000001</v>
      </c>
      <c r="K48" s="459">
        <f>-D26+$D$43</f>
        <v>0.01273</v>
      </c>
      <c r="L48" s="459">
        <f>-D27+$D$43</f>
        <v>0.013130000000000001</v>
      </c>
      <c r="M48" s="459"/>
      <c r="N48" s="459">
        <f>-D30+$D$43</f>
        <v>0.01379</v>
      </c>
      <c r="O48" s="459">
        <f>-D31+$D$43</f>
        <v>0.01337</v>
      </c>
      <c r="P48" s="459">
        <f>-D32+$D$43</f>
        <v>0.01267</v>
      </c>
      <c r="Q48" s="459">
        <f>-D34+$D$43</f>
        <v>0.01225</v>
      </c>
      <c r="R48" s="459"/>
      <c r="S48" s="459">
        <f>-D36+$D$43</f>
        <v>0.012830000000000001</v>
      </c>
      <c r="T48" s="459">
        <f>-D38+$D$43</f>
        <v>0.01337</v>
      </c>
      <c r="U48" s="459">
        <f>-D39+$D$43</f>
        <v>0.01329</v>
      </c>
      <c r="V48" s="511">
        <f>-D40+$D$43</f>
        <v>0.012750000000000001</v>
      </c>
      <c r="W48" s="604">
        <f>AVERAGE(D48:G48,I48:L48,N48:Q48,S48:V48)</f>
        <v>0.013105</v>
      </c>
      <c r="X48" s="465">
        <f>STDEV(D48:G48,I48:L48,N48:Q48,S48:V48)</f>
        <v>0.00039038442591884405</v>
      </c>
    </row>
    <row r="49" spans="1:24" s="481" customFormat="1" ht="13.5" customHeight="1">
      <c r="A49" s="456">
        <v>1111</v>
      </c>
      <c r="B49" s="25">
        <v>8000</v>
      </c>
      <c r="C49" s="25" t="s">
        <v>7</v>
      </c>
      <c r="D49" s="458">
        <f>-Q16+$Q$43</f>
        <v>0.01428</v>
      </c>
      <c r="E49" s="459">
        <f>-Q18+$Q$43</f>
        <v>0.01422</v>
      </c>
      <c r="F49" s="459">
        <f>-Q19+$Q$43</f>
        <v>0.01414</v>
      </c>
      <c r="G49" s="459">
        <f>-Q20+$Q$43</f>
        <v>0.01402</v>
      </c>
      <c r="H49" s="459"/>
      <c r="I49" s="459">
        <f>-Q23+$Q$43</f>
        <v>0.01424</v>
      </c>
      <c r="J49" s="459">
        <f>-Q24+$Q$43</f>
        <v>0.01406</v>
      </c>
      <c r="K49" s="459">
        <f>-Q26+$Q$43</f>
        <v>0.013919999999999998</v>
      </c>
      <c r="L49" s="459">
        <f>-Q27+$Q$43</f>
        <v>0.014339999999999999</v>
      </c>
      <c r="M49" s="459"/>
      <c r="N49" s="459">
        <f>-Q30+$Q$43</f>
        <v>0.01452</v>
      </c>
      <c r="O49" s="459">
        <f>-Q31+$Q$43</f>
        <v>0.01466</v>
      </c>
      <c r="P49" s="459">
        <f>-Q32+$Q$43</f>
        <v>0.01444</v>
      </c>
      <c r="Q49" s="459">
        <f>-Q34+$Q$43</f>
        <v>0.0144</v>
      </c>
      <c r="R49" s="459"/>
      <c r="S49" s="459">
        <f>-Q36+$Q$43</f>
        <v>0.0139</v>
      </c>
      <c r="T49" s="459">
        <f>-Q38+$Q$43</f>
        <v>0.013999999999999999</v>
      </c>
      <c r="U49" s="459">
        <f>-Q39+$Q$43</f>
        <v>0.014939999999999998</v>
      </c>
      <c r="V49" s="511">
        <f>-Q40+$Q$43</f>
        <v>0.01462</v>
      </c>
      <c r="W49" s="604">
        <f aca="true" t="shared" si="1" ref="W49:W55">AVERAGE(D49:G49,I49:L49,N49:Q49,S49:V49)</f>
        <v>0.01429375</v>
      </c>
      <c r="X49" s="465">
        <f aca="true" t="shared" si="2" ref="X49:X55">STDEV(D49:G49,I49:L49,N49:Q49,S49:V49)</f>
        <v>0.0002929135253505894</v>
      </c>
    </row>
    <row r="50" spans="1:24" s="481" customFormat="1" ht="13.5" customHeight="1">
      <c r="A50" s="456">
        <v>2222</v>
      </c>
      <c r="B50" s="25">
        <v>10000</v>
      </c>
      <c r="C50" s="25" t="s">
        <v>9</v>
      </c>
      <c r="D50" s="458">
        <f>-F16+$F$43</f>
        <v>0.01166</v>
      </c>
      <c r="E50" s="459">
        <f>-F18+$F$43</f>
        <v>0.01166</v>
      </c>
      <c r="F50" s="459">
        <f>-F19+$F$43</f>
        <v>0.0121</v>
      </c>
      <c r="G50" s="459">
        <f>-F20+$F$43</f>
        <v>0.011779999999999999</v>
      </c>
      <c r="H50" s="459"/>
      <c r="I50" s="459">
        <f>-F23+$F$43</f>
        <v>0.0119</v>
      </c>
      <c r="J50" s="459">
        <f>-F24+$F$43</f>
        <v>0.011380000000000001</v>
      </c>
      <c r="K50" s="459">
        <f>-F26+$F$43</f>
        <v>0.01122</v>
      </c>
      <c r="L50" s="459">
        <f>-F27+$F$43</f>
        <v>0.011619999999999998</v>
      </c>
      <c r="M50" s="459"/>
      <c r="N50" s="459">
        <f>-F30+$F$43</f>
        <v>0.01226</v>
      </c>
      <c r="O50" s="459">
        <f>-F31+$F$43</f>
        <v>0.011880000000000002</v>
      </c>
      <c r="P50" s="459">
        <f>-F32+$F$43</f>
        <v>0.01114</v>
      </c>
      <c r="Q50" s="459">
        <f>-F34+$F$43</f>
        <v>0.01074</v>
      </c>
      <c r="R50" s="459"/>
      <c r="S50" s="459">
        <f>-F36+$F$43</f>
        <v>0.01126</v>
      </c>
      <c r="T50" s="459">
        <f>-F38+$F$43</f>
        <v>0.011800000000000001</v>
      </c>
      <c r="U50" s="459">
        <f>-F39+$F$43</f>
        <v>0.011619999999999998</v>
      </c>
      <c r="V50" s="511">
        <f>-F40+$F$43</f>
        <v>0.011099999999999999</v>
      </c>
      <c r="W50" s="604">
        <f t="shared" si="1"/>
        <v>0.011569999999999999</v>
      </c>
      <c r="X50" s="465">
        <f t="shared" si="2"/>
        <v>0.0004024591076536523</v>
      </c>
    </row>
    <row r="51" spans="1:24" s="481" customFormat="1" ht="13.5" customHeight="1">
      <c r="A51" s="456">
        <v>2222</v>
      </c>
      <c r="B51" s="25">
        <v>10000</v>
      </c>
      <c r="C51" s="25" t="s">
        <v>7</v>
      </c>
      <c r="D51" s="458">
        <f>-S16+$S$43</f>
        <v>0.012790000000000001</v>
      </c>
      <c r="E51" s="459">
        <f>-S18+$S$43</f>
        <v>0.01271</v>
      </c>
      <c r="F51" s="459">
        <f>-S19+$S$43</f>
        <v>0.01265</v>
      </c>
      <c r="G51" s="459">
        <f>-S20+$S$43</f>
        <v>0.012570000000000001</v>
      </c>
      <c r="H51" s="459"/>
      <c r="I51" s="459">
        <f>-S23+$S$43</f>
        <v>0.01277</v>
      </c>
      <c r="J51" s="459">
        <f>-S24+$S$43</f>
        <v>0.01259</v>
      </c>
      <c r="K51" s="459">
        <f>-S26+$S$43</f>
        <v>0.01247</v>
      </c>
      <c r="L51" s="459">
        <f>-S27+$S$43</f>
        <v>0.01289</v>
      </c>
      <c r="M51" s="459"/>
      <c r="N51" s="459">
        <f>-S30+$S$43</f>
        <v>0.01303</v>
      </c>
      <c r="O51" s="459">
        <f>-S31+$S$43</f>
        <v>0.013130000000000001</v>
      </c>
      <c r="P51" s="459">
        <f>-S32+$S$43</f>
        <v>0.01295</v>
      </c>
      <c r="Q51" s="459">
        <f>-S34+$S$43</f>
        <v>0.01289</v>
      </c>
      <c r="R51" s="459"/>
      <c r="S51" s="459">
        <f>-S36+$S$43</f>
        <v>0.012410000000000001</v>
      </c>
      <c r="T51" s="459">
        <f>-S38+$S$43</f>
        <v>0.012490000000000001</v>
      </c>
      <c r="U51" s="459">
        <f>-S39+$S$43</f>
        <v>0.013430000000000001</v>
      </c>
      <c r="V51" s="511">
        <f>-S40+$S$43</f>
        <v>0.01311</v>
      </c>
      <c r="W51" s="604">
        <f t="shared" si="1"/>
        <v>0.012805</v>
      </c>
      <c r="X51" s="465">
        <f t="shared" si="2"/>
        <v>0.0002803331351564843</v>
      </c>
    </row>
    <row r="52" spans="1:24" s="481" customFormat="1" ht="13.5" customHeight="1">
      <c r="A52" s="456">
        <v>3333</v>
      </c>
      <c r="B52" s="25">
        <v>12000</v>
      </c>
      <c r="C52" s="25" t="s">
        <v>9</v>
      </c>
      <c r="D52" s="458">
        <f>-H16+$H$43</f>
        <v>0.01043</v>
      </c>
      <c r="E52" s="459">
        <f>-H18+$H$43</f>
        <v>0.01051</v>
      </c>
      <c r="F52" s="459">
        <f>-H19+$H$43</f>
        <v>0.010870000000000001</v>
      </c>
      <c r="G52" s="459">
        <f>-H20+$H$43</f>
        <v>0.010589999999999999</v>
      </c>
      <c r="H52" s="459"/>
      <c r="I52" s="459">
        <f>-H23+$H$43</f>
        <v>0.01069</v>
      </c>
      <c r="J52" s="459">
        <f>-H24+$H$43</f>
        <v>0.01023</v>
      </c>
      <c r="K52" s="459">
        <f>-H26+$H$43</f>
        <v>0.010110000000000001</v>
      </c>
      <c r="L52" s="459">
        <f>-H27+$H$43</f>
        <v>0.01047</v>
      </c>
      <c r="M52" s="459"/>
      <c r="N52" s="459">
        <f>-H30+$H$43</f>
        <v>0.01105</v>
      </c>
      <c r="O52" s="459">
        <f>-H31+$H$43</f>
        <v>0.01069</v>
      </c>
      <c r="P52" s="459">
        <f>-H32+$H$43</f>
        <v>0.01005</v>
      </c>
      <c r="Q52" s="459">
        <f>-H34+$H$43</f>
        <v>0.009649999999999999</v>
      </c>
      <c r="R52" s="459"/>
      <c r="S52" s="459">
        <f>-H36+$H$43</f>
        <v>0.01017</v>
      </c>
      <c r="T52" s="459">
        <f>-H38+$H$43</f>
        <v>0.010589999999999999</v>
      </c>
      <c r="U52" s="459">
        <f>-H39+$H$43</f>
        <v>0.01043</v>
      </c>
      <c r="V52" s="511">
        <f>-H40+$H$43</f>
        <v>0.00983</v>
      </c>
      <c r="W52" s="604">
        <f t="shared" si="1"/>
        <v>0.0103975</v>
      </c>
      <c r="X52" s="465">
        <f t="shared" si="2"/>
        <v>0.0003722275289837173</v>
      </c>
    </row>
    <row r="53" spans="1:24" s="481" customFormat="1" ht="13.5" customHeight="1">
      <c r="A53" s="456">
        <v>3333</v>
      </c>
      <c r="B53" s="25">
        <v>12000</v>
      </c>
      <c r="C53" s="25" t="s">
        <v>7</v>
      </c>
      <c r="D53" s="458">
        <f>-U16+$U$43</f>
        <v>0.011370000000000002</v>
      </c>
      <c r="E53" s="459">
        <f>-U18+$U$43</f>
        <v>0.011370000000000002</v>
      </c>
      <c r="F53" s="459">
        <f>-U19+$U$43</f>
        <v>0.01131</v>
      </c>
      <c r="G53" s="459">
        <f>-U20+$U$43</f>
        <v>0.01123</v>
      </c>
      <c r="H53" s="459"/>
      <c r="I53" s="459">
        <f>-U23+$U$43</f>
        <v>0.011370000000000002</v>
      </c>
      <c r="J53" s="459">
        <f>-U24+$U$43</f>
        <v>0.01127</v>
      </c>
      <c r="K53" s="459">
        <f>-U26+$U$43</f>
        <v>0.011130000000000001</v>
      </c>
      <c r="L53" s="459">
        <f>-U27+$U$43</f>
        <v>0.011530000000000002</v>
      </c>
      <c r="M53" s="459"/>
      <c r="N53" s="459">
        <f>-U30+$U$43</f>
        <v>0.01161</v>
      </c>
      <c r="O53" s="459">
        <f>-U31+$U$43</f>
        <v>0.011710000000000002</v>
      </c>
      <c r="P53" s="459">
        <f>-U32+$U$43</f>
        <v>0.011530000000000002</v>
      </c>
      <c r="Q53" s="459">
        <f>-U34+$U$43</f>
        <v>0.011510000000000001</v>
      </c>
      <c r="R53" s="459"/>
      <c r="S53" s="459">
        <f>-U36+$U$43</f>
        <v>0.01123</v>
      </c>
      <c r="T53" s="459">
        <f>-U38+$U$43</f>
        <v>0.011210000000000001</v>
      </c>
      <c r="U53" s="459">
        <f>-U39+$U$43</f>
        <v>0.01191</v>
      </c>
      <c r="V53" s="511">
        <f>-U40+$U$43</f>
        <v>0.011710000000000002</v>
      </c>
      <c r="W53" s="604">
        <f t="shared" si="1"/>
        <v>0.0114375</v>
      </c>
      <c r="X53" s="465">
        <f t="shared" si="2"/>
        <v>0.00021822007240409382</v>
      </c>
    </row>
    <row r="54" spans="1:24" s="481" customFormat="1" ht="13.5" customHeight="1">
      <c r="A54" s="456">
        <v>4444</v>
      </c>
      <c r="B54" s="25">
        <v>14000</v>
      </c>
      <c r="C54" s="25" t="s">
        <v>9</v>
      </c>
      <c r="D54" s="458">
        <f>-J16+$J$43</f>
        <v>0.00918</v>
      </c>
      <c r="E54" s="459">
        <f>-J18+$J$43</f>
        <v>0.0092</v>
      </c>
      <c r="F54" s="459">
        <f>-J19+$J$43</f>
        <v>0.009680000000000001</v>
      </c>
      <c r="G54" s="459">
        <f>-J20+$J$43</f>
        <v>0.00928</v>
      </c>
      <c r="H54" s="459"/>
      <c r="I54" s="459">
        <f>-J23+$J$43</f>
        <v>0.00944</v>
      </c>
      <c r="J54" s="459">
        <f>-J24+$J$43</f>
        <v>0.00898</v>
      </c>
      <c r="K54" s="459">
        <f>-J26+$J$43</f>
        <v>0.00888</v>
      </c>
      <c r="L54" s="459">
        <f>-J27+$J$43</f>
        <v>0.009160000000000001</v>
      </c>
      <c r="M54" s="459"/>
      <c r="N54" s="459">
        <f>-J30+$J$43</f>
        <v>0.00974</v>
      </c>
      <c r="O54" s="459">
        <f>-J31+$J$43</f>
        <v>0.009420000000000001</v>
      </c>
      <c r="P54" s="459">
        <f>-J32+$J$43</f>
        <v>0.00884</v>
      </c>
      <c r="Q54" s="459">
        <f>-J34+$J$43</f>
        <v>0.00858</v>
      </c>
      <c r="R54" s="459"/>
      <c r="S54" s="459">
        <f>-J36+$J$43</f>
        <v>0.008900000000000002</v>
      </c>
      <c r="T54" s="459">
        <f>-J38+$J$43</f>
        <v>0.009340000000000001</v>
      </c>
      <c r="U54" s="459">
        <f>-J39+$J$43</f>
        <v>0.00914</v>
      </c>
      <c r="V54" s="511">
        <f>-J40+$J$43</f>
        <v>0.00868</v>
      </c>
      <c r="W54" s="604">
        <f t="shared" si="1"/>
        <v>0.009152500000000001</v>
      </c>
      <c r="X54" s="465">
        <f t="shared" si="2"/>
        <v>0.0003315317983743489</v>
      </c>
    </row>
    <row r="55" spans="1:24" s="481" customFormat="1" ht="13.5" customHeight="1">
      <c r="A55" s="468">
        <v>4444</v>
      </c>
      <c r="B55" s="24">
        <v>14000</v>
      </c>
      <c r="C55" s="24" t="s">
        <v>7</v>
      </c>
      <c r="D55" s="521">
        <f>-W16+$W$43</f>
        <v>0.01009</v>
      </c>
      <c r="E55" s="508">
        <f>-W18+$W$43</f>
        <v>0.01005</v>
      </c>
      <c r="F55" s="508">
        <f>-W19+$W$43</f>
        <v>0.009989999999999999</v>
      </c>
      <c r="G55" s="508">
        <f>-W20+$W$43</f>
        <v>0.00995</v>
      </c>
      <c r="H55" s="508"/>
      <c r="I55" s="508">
        <f>-W23+$W$43</f>
        <v>0.01015</v>
      </c>
      <c r="J55" s="508">
        <f>-W24+$W$43</f>
        <v>0.009989999999999999</v>
      </c>
      <c r="K55" s="508">
        <f>-W26+$W$43</f>
        <v>0.00987</v>
      </c>
      <c r="L55" s="508">
        <f>-W27+$W$43</f>
        <v>0.01023</v>
      </c>
      <c r="M55" s="508"/>
      <c r="N55" s="508">
        <f>-W30+$W$43</f>
        <v>0.01027</v>
      </c>
      <c r="O55" s="508">
        <f>-W31+$W$43</f>
        <v>0.01047</v>
      </c>
      <c r="P55" s="508">
        <f>-W32+$W$43</f>
        <v>0.010249999999999999</v>
      </c>
      <c r="Q55" s="508">
        <f>-W34+$W$43</f>
        <v>0.01023</v>
      </c>
      <c r="R55" s="508"/>
      <c r="S55" s="508">
        <f>-W36+$W$43</f>
        <v>0.00987</v>
      </c>
      <c r="T55" s="508">
        <f>-W38+$W$43</f>
        <v>0.00993</v>
      </c>
      <c r="U55" s="508">
        <f>-W39+$W$43</f>
        <v>0.01069</v>
      </c>
      <c r="V55" s="522">
        <f>-W40+$W$43</f>
        <v>0.010369999999999999</v>
      </c>
      <c r="W55" s="605">
        <f t="shared" si="1"/>
        <v>0.01015</v>
      </c>
      <c r="X55" s="474">
        <f t="shared" si="2"/>
        <v>0.00022943408639522294</v>
      </c>
    </row>
    <row r="56" spans="1:23" s="481" customFormat="1" ht="13.5" customHeight="1">
      <c r="A56" s="25"/>
      <c r="B56" s="25"/>
      <c r="C56" s="25"/>
      <c r="D56" s="512"/>
      <c r="E56" s="512"/>
      <c r="F56" s="512"/>
      <c r="G56" s="512"/>
      <c r="H56" s="512"/>
      <c r="I56" s="512"/>
      <c r="J56" s="512"/>
      <c r="K56" s="512"/>
      <c r="L56" s="512"/>
      <c r="M56" s="512"/>
      <c r="N56" s="512"/>
      <c r="O56" s="512"/>
      <c r="P56" s="512"/>
      <c r="Q56" s="512"/>
      <c r="R56" s="512"/>
      <c r="S56" s="512"/>
      <c r="T56" s="512"/>
      <c r="U56" s="512"/>
      <c r="V56" s="512"/>
      <c r="W56" s="512"/>
    </row>
    <row r="57" spans="1:23" s="481" customFormat="1" ht="13.5" customHeight="1">
      <c r="A57" s="25"/>
      <c r="B57" s="25"/>
      <c r="C57" s="25"/>
      <c r="D57" s="512"/>
      <c r="E57" s="512"/>
      <c r="F57" s="512"/>
      <c r="G57" s="512"/>
      <c r="H57" s="512"/>
      <c r="I57" s="512"/>
      <c r="J57" s="512"/>
      <c r="K57" s="512"/>
      <c r="L57" s="512"/>
      <c r="M57" s="512"/>
      <c r="N57" s="512"/>
      <c r="O57" s="512"/>
      <c r="P57" s="512"/>
      <c r="Q57" s="512"/>
      <c r="R57" s="512"/>
      <c r="S57" s="512"/>
      <c r="T57" s="512"/>
      <c r="U57" s="512"/>
      <c r="V57" s="512"/>
      <c r="W57" s="512"/>
    </row>
    <row r="58" spans="1:23" s="481" customFormat="1" ht="13.5" customHeight="1">
      <c r="A58" s="67" t="s">
        <v>66</v>
      </c>
      <c r="B58" s="2"/>
      <c r="C58" s="2"/>
      <c r="D58" s="512"/>
      <c r="E58" s="512"/>
      <c r="F58" s="512"/>
      <c r="G58" s="512"/>
      <c r="H58" s="512"/>
      <c r="I58" s="512"/>
      <c r="J58" s="512"/>
      <c r="K58" s="512"/>
      <c r="L58" s="512"/>
      <c r="M58" s="512"/>
      <c r="N58" s="512"/>
      <c r="O58" s="512"/>
      <c r="P58" s="512"/>
      <c r="Q58" s="512"/>
      <c r="R58" s="512"/>
      <c r="S58" s="512"/>
      <c r="T58" s="512"/>
      <c r="U58" s="512"/>
      <c r="V58" s="512"/>
      <c r="W58" s="512"/>
    </row>
    <row r="59" spans="1:26" s="143" customFormat="1" ht="13.5" customHeight="1">
      <c r="A59" s="144" t="s">
        <v>111</v>
      </c>
      <c r="B59" s="145"/>
      <c r="C59" s="146"/>
      <c r="D59" s="513">
        <v>1</v>
      </c>
      <c r="E59" s="514">
        <f aca="true" t="shared" si="3" ref="E59:V59">D59+1</f>
        <v>2</v>
      </c>
      <c r="F59" s="514">
        <f t="shared" si="3"/>
        <v>3</v>
      </c>
      <c r="G59" s="514">
        <f t="shared" si="3"/>
        <v>4</v>
      </c>
      <c r="H59" s="514">
        <f t="shared" si="3"/>
        <v>5</v>
      </c>
      <c r="I59" s="514">
        <f t="shared" si="3"/>
        <v>6</v>
      </c>
      <c r="J59" s="514">
        <f t="shared" si="3"/>
        <v>7</v>
      </c>
      <c r="K59" s="514">
        <f t="shared" si="3"/>
        <v>8</v>
      </c>
      <c r="L59" s="514">
        <f t="shared" si="3"/>
        <v>9</v>
      </c>
      <c r="M59" s="514">
        <f t="shared" si="3"/>
        <v>10</v>
      </c>
      <c r="N59" s="514">
        <f t="shared" si="3"/>
        <v>11</v>
      </c>
      <c r="O59" s="514">
        <f t="shared" si="3"/>
        <v>12</v>
      </c>
      <c r="P59" s="514">
        <f t="shared" si="3"/>
        <v>13</v>
      </c>
      <c r="Q59" s="514">
        <f t="shared" si="3"/>
        <v>14</v>
      </c>
      <c r="R59" s="514">
        <f t="shared" si="3"/>
        <v>15</v>
      </c>
      <c r="S59" s="514">
        <f t="shared" si="3"/>
        <v>16</v>
      </c>
      <c r="T59" s="514">
        <f t="shared" si="3"/>
        <v>17</v>
      </c>
      <c r="U59" s="514">
        <f t="shared" si="3"/>
        <v>18</v>
      </c>
      <c r="V59" s="514">
        <f t="shared" si="3"/>
        <v>19</v>
      </c>
      <c r="W59" s="533" t="s">
        <v>0</v>
      </c>
      <c r="X59" s="547" t="s">
        <v>117</v>
      </c>
      <c r="Y59" s="481"/>
      <c r="Z59" s="145"/>
    </row>
    <row r="60" spans="1:26" s="49" customFormat="1" ht="13.5" customHeight="1">
      <c r="A60" s="82" t="s">
        <v>114</v>
      </c>
      <c r="B60" s="83"/>
      <c r="C60" s="421" t="s">
        <v>35</v>
      </c>
      <c r="D60" s="124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6"/>
      <c r="W60" s="513"/>
      <c r="X60" s="548"/>
      <c r="Y60" s="481"/>
      <c r="Z60" s="154"/>
    </row>
    <row r="61" spans="1:26" s="51" customFormat="1" ht="13.5" customHeight="1">
      <c r="A61" s="85">
        <v>8</v>
      </c>
      <c r="B61" s="86">
        <v>10</v>
      </c>
      <c r="C61" s="86" t="s">
        <v>9</v>
      </c>
      <c r="D61" s="85">
        <f aca="true" t="shared" si="4" ref="D61:V66">IF($C$4="inner",(-0.000001*($B50-$B48)/((D50-D48)/($G$6))),(-0.000001*($B50-$B48)/((D50-D48)/($I$6))))</f>
        <v>1.2365575362166685</v>
      </c>
      <c r="E61" s="86">
        <f t="shared" si="4"/>
        <v>1.3012141394175403</v>
      </c>
      <c r="F61" s="86">
        <f t="shared" si="4"/>
        <v>1.392208135181004</v>
      </c>
      <c r="G61" s="86">
        <f t="shared" si="4"/>
        <v>1.3730052643509205</v>
      </c>
      <c r="H61" s="86"/>
      <c r="I61" s="86">
        <f t="shared" si="4"/>
        <v>1.3184487637806874</v>
      </c>
      <c r="J61" s="86">
        <f t="shared" si="4"/>
        <v>1.3361460626233803</v>
      </c>
      <c r="K61" s="86">
        <f t="shared" si="4"/>
        <v>1.3184487637806874</v>
      </c>
      <c r="L61" s="86">
        <f t="shared" si="4"/>
        <v>1.3184487637806843</v>
      </c>
      <c r="M61" s="86"/>
      <c r="N61" s="86">
        <f t="shared" si="4"/>
        <v>1.3012141394175403</v>
      </c>
      <c r="O61" s="86">
        <f t="shared" si="4"/>
        <v>1.3361460626233819</v>
      </c>
      <c r="P61" s="86">
        <f t="shared" si="4"/>
        <v>1.3012141394175403</v>
      </c>
      <c r="Q61" s="86">
        <f t="shared" si="4"/>
        <v>1.3184487637806859</v>
      </c>
      <c r="R61" s="86"/>
      <c r="S61" s="86">
        <f t="shared" si="4"/>
        <v>1.2680621868209134</v>
      </c>
      <c r="T61" s="86">
        <f t="shared" si="4"/>
        <v>1.2680621868209165</v>
      </c>
      <c r="U61" s="86">
        <f t="shared" si="4"/>
        <v>1.192130319346608</v>
      </c>
      <c r="V61" s="72">
        <f t="shared" si="4"/>
        <v>1.206580383823536</v>
      </c>
      <c r="W61" s="85">
        <f>AVERAGE(D61:G61,I61:L61,N61:Q61,S61:V61)</f>
        <v>1.2991459756989183</v>
      </c>
      <c r="X61" s="413">
        <f>STDEV(D61:G61,I61:L61,N61:Q61,S61:V61)</f>
        <v>0.05430006227713761</v>
      </c>
      <c r="Y61" s="481"/>
      <c r="Z61" s="86"/>
    </row>
    <row r="62" spans="1:26" s="51" customFormat="1" ht="13.5" customHeight="1">
      <c r="A62" s="85">
        <v>8</v>
      </c>
      <c r="B62" s="86">
        <v>10</v>
      </c>
      <c r="C62" s="86" t="s">
        <v>7</v>
      </c>
      <c r="D62" s="85">
        <f t="shared" si="4"/>
        <v>1.3361460626233819</v>
      </c>
      <c r="E62" s="86">
        <f t="shared" si="4"/>
        <v>1.3184487637806874</v>
      </c>
      <c r="F62" s="86">
        <f t="shared" si="4"/>
        <v>1.3361460626233803</v>
      </c>
      <c r="G62" s="86">
        <f t="shared" si="4"/>
        <v>1.3730052643509238</v>
      </c>
      <c r="H62" s="86"/>
      <c r="I62" s="86">
        <f t="shared" si="4"/>
        <v>1.3543249206182573</v>
      </c>
      <c r="J62" s="86">
        <f t="shared" si="4"/>
        <v>1.3543249206182573</v>
      </c>
      <c r="K62" s="86">
        <f t="shared" si="4"/>
        <v>1.3730052643509238</v>
      </c>
      <c r="L62" s="86">
        <f t="shared" si="4"/>
        <v>1.3730052643509238</v>
      </c>
      <c r="M62" s="86"/>
      <c r="N62" s="86">
        <f t="shared" si="4"/>
        <v>1.3361460626233803</v>
      </c>
      <c r="O62" s="86">
        <f t="shared" si="4"/>
        <v>1.3012141394175418</v>
      </c>
      <c r="P62" s="86">
        <f t="shared" si="4"/>
        <v>1.3361460626233803</v>
      </c>
      <c r="Q62" s="86">
        <f t="shared" si="4"/>
        <v>1.3184487637806874</v>
      </c>
      <c r="R62" s="86"/>
      <c r="S62" s="86">
        <f t="shared" si="4"/>
        <v>1.3361460626233819</v>
      </c>
      <c r="T62" s="86">
        <f t="shared" si="4"/>
        <v>1.318448763780689</v>
      </c>
      <c r="U62" s="86">
        <f t="shared" si="4"/>
        <v>1.318448763780689</v>
      </c>
      <c r="V62" s="72">
        <f t="shared" si="4"/>
        <v>1.3184487637806874</v>
      </c>
      <c r="W62" s="85">
        <f aca="true" t="shared" si="5" ref="W62:W68">AVERAGE(D62:G62,I62:L62,N62:Q62,S62:V62)</f>
        <v>1.3376158691079485</v>
      </c>
      <c r="X62" s="413">
        <f aca="true" t="shared" si="6" ref="X62:X68">STDEV(D62:G62,I62:L62,N62:Q62,S62:V62)</f>
        <v>0.0223433657638068</v>
      </c>
      <c r="Y62" s="481"/>
      <c r="Z62" s="86"/>
    </row>
    <row r="63" spans="1:26" s="51" customFormat="1" ht="13.5" customHeight="1">
      <c r="A63" s="85">
        <v>10</v>
      </c>
      <c r="B63" s="86">
        <v>12</v>
      </c>
      <c r="C63" s="86" t="s">
        <v>9</v>
      </c>
      <c r="D63" s="85">
        <f t="shared" si="4"/>
        <v>1.618583441714501</v>
      </c>
      <c r="E63" s="86">
        <f t="shared" si="4"/>
        <v>1.7311805507033364</v>
      </c>
      <c r="F63" s="86">
        <f t="shared" si="4"/>
        <v>1.6185834417145035</v>
      </c>
      <c r="G63" s="86">
        <f t="shared" si="4"/>
        <v>1.672989607822552</v>
      </c>
      <c r="H63" s="86"/>
      <c r="I63" s="86">
        <f t="shared" si="4"/>
        <v>1.6453368870320952</v>
      </c>
      <c r="J63" s="86">
        <f t="shared" si="4"/>
        <v>1.7311805507033338</v>
      </c>
      <c r="K63" s="86">
        <f t="shared" si="4"/>
        <v>1.7935654354133665</v>
      </c>
      <c r="L63" s="86">
        <f t="shared" si="4"/>
        <v>1.731180550703339</v>
      </c>
      <c r="M63" s="86"/>
      <c r="N63" s="86">
        <f t="shared" si="4"/>
        <v>1.6453368870320975</v>
      </c>
      <c r="O63" s="86">
        <f t="shared" si="4"/>
        <v>1.6729896078225495</v>
      </c>
      <c r="P63" s="86">
        <f t="shared" si="4"/>
        <v>1.8264748929438859</v>
      </c>
      <c r="Q63" s="86">
        <f t="shared" si="4"/>
        <v>1.8264748929438859</v>
      </c>
      <c r="R63" s="86"/>
      <c r="S63" s="86">
        <f t="shared" si="4"/>
        <v>1.8264748929438888</v>
      </c>
      <c r="T63" s="86">
        <f t="shared" si="4"/>
        <v>1.6453368870320928</v>
      </c>
      <c r="U63" s="86">
        <f t="shared" si="4"/>
        <v>1.6729896078225543</v>
      </c>
      <c r="V63" s="72">
        <f t="shared" si="4"/>
        <v>1.5676044356762513</v>
      </c>
      <c r="W63" s="85">
        <f t="shared" si="5"/>
        <v>1.7016426606265147</v>
      </c>
      <c r="X63" s="413">
        <f t="shared" si="6"/>
        <v>0.08228180933702181</v>
      </c>
      <c r="Y63" s="481"/>
      <c r="Z63" s="86"/>
    </row>
    <row r="64" spans="1:26" s="51" customFormat="1" ht="13.5" customHeight="1">
      <c r="A64" s="85">
        <v>10</v>
      </c>
      <c r="B64" s="86">
        <v>12</v>
      </c>
      <c r="C64" s="86" t="s">
        <v>7</v>
      </c>
      <c r="D64" s="85">
        <f t="shared" si="4"/>
        <v>1.4020124178231252</v>
      </c>
      <c r="E64" s="86">
        <f t="shared" si="4"/>
        <v>1.4857146517230135</v>
      </c>
      <c r="F64" s="86">
        <f t="shared" si="4"/>
        <v>1.4857146517230135</v>
      </c>
      <c r="G64" s="86">
        <f t="shared" si="4"/>
        <v>1.4857146517230115</v>
      </c>
      <c r="H64" s="86"/>
      <c r="I64" s="86">
        <f t="shared" si="4"/>
        <v>1.4220411666491706</v>
      </c>
      <c r="J64" s="86">
        <f t="shared" si="4"/>
        <v>1.508225479779422</v>
      </c>
      <c r="K64" s="86">
        <f t="shared" si="4"/>
        <v>1.4857146517230135</v>
      </c>
      <c r="L64" s="86">
        <f t="shared" si="4"/>
        <v>1.4638659068447348</v>
      </c>
      <c r="M64" s="86"/>
      <c r="N64" s="86">
        <f t="shared" si="4"/>
        <v>1.4020124178231252</v>
      </c>
      <c r="O64" s="86">
        <f t="shared" si="4"/>
        <v>1.4020124178231252</v>
      </c>
      <c r="P64" s="86">
        <f t="shared" si="4"/>
        <v>1.4020124178231268</v>
      </c>
      <c r="Q64" s="86">
        <f t="shared" si="4"/>
        <v>1.4426504589194478</v>
      </c>
      <c r="R64" s="86"/>
      <c r="S64" s="86">
        <f t="shared" si="4"/>
        <v>1.6871674858549457</v>
      </c>
      <c r="T64" s="86">
        <f t="shared" si="4"/>
        <v>1.555357526022529</v>
      </c>
      <c r="U64" s="86">
        <f t="shared" si="4"/>
        <v>1.3097747587558133</v>
      </c>
      <c r="V64" s="72">
        <f t="shared" si="4"/>
        <v>1.4220411666491706</v>
      </c>
      <c r="W64" s="85">
        <f t="shared" si="5"/>
        <v>1.4601270142287366</v>
      </c>
      <c r="X64" s="413">
        <f t="shared" si="6"/>
        <v>0.08361981270559508</v>
      </c>
      <c r="Y64" s="481"/>
      <c r="Z64" s="86"/>
    </row>
    <row r="65" spans="1:26" s="51" customFormat="1" ht="13.5" customHeight="1">
      <c r="A65" s="85">
        <v>12</v>
      </c>
      <c r="B65" s="86">
        <v>14</v>
      </c>
      <c r="C65" s="86" t="s">
        <v>9</v>
      </c>
      <c r="D65" s="85">
        <f t="shared" si="4"/>
        <v>1.5926861066470703</v>
      </c>
      <c r="E65" s="86">
        <f t="shared" si="4"/>
        <v>1.5197386513807911</v>
      </c>
      <c r="F65" s="86">
        <f t="shared" si="4"/>
        <v>1.672989607822552</v>
      </c>
      <c r="G65" s="86">
        <f t="shared" si="4"/>
        <v>1.5197386513807931</v>
      </c>
      <c r="H65" s="86"/>
      <c r="I65" s="86">
        <f t="shared" si="4"/>
        <v>1.5926861066470703</v>
      </c>
      <c r="J65" s="86">
        <f t="shared" si="4"/>
        <v>1.5926861066470703</v>
      </c>
      <c r="K65" s="86">
        <f t="shared" si="4"/>
        <v>1.618583441714501</v>
      </c>
      <c r="L65" s="86">
        <f t="shared" si="4"/>
        <v>1.5197386513807931</v>
      </c>
      <c r="M65" s="86"/>
      <c r="N65" s="86">
        <f t="shared" si="4"/>
        <v>1.5197386513807911</v>
      </c>
      <c r="O65" s="86">
        <f t="shared" si="4"/>
        <v>1.5676044356762513</v>
      </c>
      <c r="P65" s="86">
        <f t="shared" si="4"/>
        <v>1.6453368870320975</v>
      </c>
      <c r="Q65" s="86">
        <f t="shared" si="4"/>
        <v>1.8606146105690098</v>
      </c>
      <c r="R65" s="86"/>
      <c r="S65" s="86">
        <f t="shared" si="4"/>
        <v>1.5676044356762513</v>
      </c>
      <c r="T65" s="86">
        <f t="shared" si="4"/>
        <v>1.5926861066470726</v>
      </c>
      <c r="U65" s="86">
        <f t="shared" si="4"/>
        <v>1.5433004909370833</v>
      </c>
      <c r="V65" s="72">
        <f t="shared" si="4"/>
        <v>1.7311805507033364</v>
      </c>
      <c r="W65" s="85">
        <f t="shared" si="5"/>
        <v>1.6035570932651582</v>
      </c>
      <c r="X65" s="413">
        <f t="shared" si="6"/>
        <v>0.09090266368778825</v>
      </c>
      <c r="Y65" s="481"/>
      <c r="Z65" s="86"/>
    </row>
    <row r="66" spans="1:26" s="51" customFormat="1" ht="13.5" customHeight="1">
      <c r="A66" s="85">
        <v>12</v>
      </c>
      <c r="B66" s="86">
        <v>14</v>
      </c>
      <c r="C66" s="86" t="s">
        <v>7</v>
      </c>
      <c r="D66" s="85">
        <f t="shared" si="4"/>
        <v>1.555357526022527</v>
      </c>
      <c r="E66" s="86">
        <f t="shared" si="4"/>
        <v>1.50822547977942</v>
      </c>
      <c r="F66" s="86">
        <f t="shared" si="4"/>
        <v>1.50822547977942</v>
      </c>
      <c r="G66" s="86">
        <f t="shared" si="4"/>
        <v>1.555357526022529</v>
      </c>
      <c r="H66" s="86"/>
      <c r="I66" s="86">
        <f t="shared" si="4"/>
        <v>1.631850519105601</v>
      </c>
      <c r="J66" s="86">
        <f t="shared" si="4"/>
        <v>1.555357526022527</v>
      </c>
      <c r="K66" s="86">
        <f t="shared" si="4"/>
        <v>1.5800457407212982</v>
      </c>
      <c r="L66" s="86">
        <f t="shared" si="4"/>
        <v>1.5314289486991024</v>
      </c>
      <c r="M66" s="86"/>
      <c r="N66" s="86">
        <f t="shared" si="4"/>
        <v>1.4857146517230115</v>
      </c>
      <c r="O66" s="86">
        <f t="shared" si="4"/>
        <v>1.6055303494426083</v>
      </c>
      <c r="P66" s="86">
        <f t="shared" si="4"/>
        <v>1.5553575260225248</v>
      </c>
      <c r="Q66" s="86">
        <f t="shared" si="4"/>
        <v>1.555357526022527</v>
      </c>
      <c r="R66" s="86"/>
      <c r="S66" s="86">
        <f t="shared" si="4"/>
        <v>1.4638659068447328</v>
      </c>
      <c r="T66" s="86">
        <f t="shared" si="4"/>
        <v>1.555357526022527</v>
      </c>
      <c r="U66" s="86">
        <f t="shared" si="4"/>
        <v>1.6318505191056032</v>
      </c>
      <c r="V66" s="72">
        <f t="shared" si="4"/>
        <v>1.4857146517230095</v>
      </c>
      <c r="W66" s="85">
        <f t="shared" si="5"/>
        <v>1.5477873376911853</v>
      </c>
      <c r="X66" s="413">
        <f t="shared" si="6"/>
        <v>0.04966465191975436</v>
      </c>
      <c r="Y66" s="481"/>
      <c r="Z66" s="86"/>
    </row>
    <row r="67" spans="1:26" s="51" customFormat="1" ht="13.5" customHeight="1">
      <c r="A67" s="85">
        <v>10</v>
      </c>
      <c r="B67" s="86">
        <v>14</v>
      </c>
      <c r="C67" s="86" t="s">
        <v>9</v>
      </c>
      <c r="D67" s="85">
        <f aca="true" t="shared" si="7" ref="D67:V68">IF($C$4="inner",(-0.000001*($B54-$B50)/((D54-D50)/($G$6))),(-0.000001*($B54-$B50)/((D54-D50)/($I$6))))</f>
        <v>1.6055303494426107</v>
      </c>
      <c r="E67" s="86">
        <f t="shared" si="7"/>
        <v>1.618583441714501</v>
      </c>
      <c r="F67" s="86">
        <f t="shared" si="7"/>
        <v>1.6453368870320975</v>
      </c>
      <c r="G67" s="86">
        <f t="shared" si="7"/>
        <v>1.5926861066470703</v>
      </c>
      <c r="H67" s="86"/>
      <c r="I67" s="86">
        <f t="shared" si="7"/>
        <v>1.618583441714501</v>
      </c>
      <c r="J67" s="86">
        <f t="shared" si="7"/>
        <v>1.6590480277573632</v>
      </c>
      <c r="K67" s="86">
        <f t="shared" si="7"/>
        <v>1.7015877207767836</v>
      </c>
      <c r="L67" s="86">
        <f t="shared" si="7"/>
        <v>1.6185834417145035</v>
      </c>
      <c r="M67" s="86"/>
      <c r="N67" s="86">
        <f t="shared" si="7"/>
        <v>1.580045740721299</v>
      </c>
      <c r="O67" s="86">
        <f t="shared" si="7"/>
        <v>1.618583441714501</v>
      </c>
      <c r="P67" s="86">
        <f t="shared" si="7"/>
        <v>1.7311805507033364</v>
      </c>
      <c r="Q67" s="86">
        <f t="shared" si="7"/>
        <v>1.8433866975081836</v>
      </c>
      <c r="R67" s="86"/>
      <c r="S67" s="86">
        <f t="shared" si="7"/>
        <v>1.6871674858549481</v>
      </c>
      <c r="T67" s="86">
        <f t="shared" si="7"/>
        <v>1.618583441714501</v>
      </c>
      <c r="U67" s="86">
        <f t="shared" si="7"/>
        <v>1.6055303494426119</v>
      </c>
      <c r="V67" s="72">
        <f t="shared" si="7"/>
        <v>1.6453368870320975</v>
      </c>
      <c r="W67" s="85">
        <f t="shared" si="5"/>
        <v>1.6493596257181822</v>
      </c>
      <c r="X67" s="413">
        <f t="shared" si="6"/>
        <v>0.06593875308982713</v>
      </c>
      <c r="Y67" s="481"/>
      <c r="Z67" s="86"/>
    </row>
    <row r="68" spans="1:26" s="51" customFormat="1" ht="13.5" customHeight="1">
      <c r="A68" s="87">
        <v>10</v>
      </c>
      <c r="B68" s="88">
        <v>14</v>
      </c>
      <c r="C68" s="88" t="s">
        <v>7</v>
      </c>
      <c r="D68" s="87">
        <f t="shared" si="7"/>
        <v>1.4747093580065451</v>
      </c>
      <c r="E68" s="88">
        <f t="shared" si="7"/>
        <v>1.4968854385780723</v>
      </c>
      <c r="F68" s="88">
        <f t="shared" si="7"/>
        <v>1.4968854385780723</v>
      </c>
      <c r="G68" s="88">
        <f t="shared" si="7"/>
        <v>1.5197386513807911</v>
      </c>
      <c r="H68" s="88"/>
      <c r="I68" s="88">
        <f t="shared" si="7"/>
        <v>1.5197386513807911</v>
      </c>
      <c r="J68" s="88">
        <f t="shared" si="7"/>
        <v>1.5314289486991044</v>
      </c>
      <c r="K68" s="88">
        <f t="shared" si="7"/>
        <v>1.5314289486991053</v>
      </c>
      <c r="L68" s="88">
        <f t="shared" si="7"/>
        <v>1.4968854385780723</v>
      </c>
      <c r="M68" s="88"/>
      <c r="N68" s="88">
        <f t="shared" si="7"/>
        <v>1.4426504589194469</v>
      </c>
      <c r="O68" s="88">
        <f t="shared" si="7"/>
        <v>1.4968854385780723</v>
      </c>
      <c r="P68" s="88">
        <f t="shared" si="7"/>
        <v>1.4747093580065451</v>
      </c>
      <c r="Q68" s="88">
        <f t="shared" si="7"/>
        <v>1.4968854385780723</v>
      </c>
      <c r="R68" s="88"/>
      <c r="S68" s="88">
        <f t="shared" si="7"/>
        <v>1.567604435676249</v>
      </c>
      <c r="T68" s="88">
        <f t="shared" si="7"/>
        <v>1.555357526022528</v>
      </c>
      <c r="U68" s="88">
        <f t="shared" si="7"/>
        <v>1.4531807542400261</v>
      </c>
      <c r="V68" s="89">
        <f t="shared" si="7"/>
        <v>1.4531807542400261</v>
      </c>
      <c r="W68" s="87">
        <f t="shared" si="5"/>
        <v>1.5005096898850951</v>
      </c>
      <c r="X68" s="414">
        <f t="shared" si="6"/>
        <v>0.035950182417373355</v>
      </c>
      <c r="Y68" s="481"/>
      <c r="Z68" s="88"/>
    </row>
    <row r="69" spans="1:26" s="49" customFormat="1" ht="13.5" customHeight="1">
      <c r="A69" s="3"/>
      <c r="B69" s="3"/>
      <c r="C69" s="3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Y69" s="481"/>
      <c r="Z69" s="3"/>
    </row>
    <row r="70" spans="1:31" s="49" customFormat="1" ht="13.5" customHeight="1">
      <c r="A70" s="67" t="s">
        <v>69</v>
      </c>
      <c r="D70" s="462" t="str">
        <f>$C$3</f>
        <v>O-004 4th sizing</v>
      </c>
      <c r="E70" s="462"/>
      <c r="F70" s="462" t="str">
        <f>$C$4</f>
        <v>outer</v>
      </c>
      <c r="G70" s="462" t="s">
        <v>115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7"/>
      <c r="Y70" s="481"/>
      <c r="AA70" s="67" t="s">
        <v>69</v>
      </c>
      <c r="AD70" s="51" t="str">
        <f>D70</f>
        <v>O-004 4th sizing</v>
      </c>
      <c r="AE70" s="51" t="str">
        <f>F70</f>
        <v>outer</v>
      </c>
    </row>
    <row r="71" spans="1:31" s="173" customFormat="1" ht="13.5" customHeight="1">
      <c r="A71" s="144" t="s">
        <v>116</v>
      </c>
      <c r="B71" s="141"/>
      <c r="C71" s="142"/>
      <c r="D71" s="422">
        <v>1</v>
      </c>
      <c r="E71" s="423">
        <f aca="true" t="shared" si="8" ref="E71:V71">D71+1</f>
        <v>2</v>
      </c>
      <c r="F71" s="423">
        <f t="shared" si="8"/>
        <v>3</v>
      </c>
      <c r="G71" s="423">
        <f t="shared" si="8"/>
        <v>4</v>
      </c>
      <c r="H71" s="423">
        <f t="shared" si="8"/>
        <v>5</v>
      </c>
      <c r="I71" s="423">
        <f t="shared" si="8"/>
        <v>6</v>
      </c>
      <c r="J71" s="423">
        <f t="shared" si="8"/>
        <v>7</v>
      </c>
      <c r="K71" s="423">
        <f t="shared" si="8"/>
        <v>8</v>
      </c>
      <c r="L71" s="423">
        <f t="shared" si="8"/>
        <v>9</v>
      </c>
      <c r="M71" s="423">
        <f t="shared" si="8"/>
        <v>10</v>
      </c>
      <c r="N71" s="423">
        <f t="shared" si="8"/>
        <v>11</v>
      </c>
      <c r="O71" s="423">
        <f t="shared" si="8"/>
        <v>12</v>
      </c>
      <c r="P71" s="423">
        <f t="shared" si="8"/>
        <v>13</v>
      </c>
      <c r="Q71" s="423">
        <f t="shared" si="8"/>
        <v>14</v>
      </c>
      <c r="R71" s="423">
        <f t="shared" si="8"/>
        <v>15</v>
      </c>
      <c r="S71" s="423">
        <f t="shared" si="8"/>
        <v>16</v>
      </c>
      <c r="T71" s="423">
        <f t="shared" si="8"/>
        <v>17</v>
      </c>
      <c r="U71" s="423">
        <f t="shared" si="8"/>
        <v>18</v>
      </c>
      <c r="V71" s="423">
        <f t="shared" si="8"/>
        <v>19</v>
      </c>
      <c r="W71" s="422" t="s">
        <v>0</v>
      </c>
      <c r="X71" s="429" t="s">
        <v>117</v>
      </c>
      <c r="Y71" s="481"/>
      <c r="Z71" s="148"/>
      <c r="AA71" s="144" t="s">
        <v>116</v>
      </c>
      <c r="AB71" s="141"/>
      <c r="AC71" s="142"/>
      <c r="AD71" s="171" t="s">
        <v>0</v>
      </c>
      <c r="AE71" s="172" t="s">
        <v>117</v>
      </c>
    </row>
    <row r="72" spans="1:31" s="173" customFormat="1" ht="13.5" customHeight="1">
      <c r="A72" s="144" t="s">
        <v>118</v>
      </c>
      <c r="B72" s="141"/>
      <c r="C72" s="142"/>
      <c r="D72" s="515"/>
      <c r="E72" s="515"/>
      <c r="F72" s="515"/>
      <c r="G72" s="515"/>
      <c r="H72" s="515"/>
      <c r="I72" s="515"/>
      <c r="J72" s="515"/>
      <c r="K72" s="515"/>
      <c r="L72" s="515"/>
      <c r="M72" s="515"/>
      <c r="N72" s="515"/>
      <c r="O72" s="515"/>
      <c r="P72" s="515"/>
      <c r="Q72" s="515"/>
      <c r="R72" s="515"/>
      <c r="S72" s="515"/>
      <c r="T72" s="515"/>
      <c r="U72" s="515"/>
      <c r="V72" s="515"/>
      <c r="W72" s="170"/>
      <c r="X72" s="172"/>
      <c r="Y72" s="481"/>
      <c r="Z72" s="148"/>
      <c r="AA72" s="144" t="s">
        <v>118</v>
      </c>
      <c r="AB72" s="141"/>
      <c r="AC72" s="142"/>
      <c r="AD72" s="171"/>
      <c r="AE72" s="172"/>
    </row>
    <row r="73" spans="1:31" s="49" customFormat="1" ht="13.5" customHeight="1">
      <c r="A73" s="82" t="s">
        <v>114</v>
      </c>
      <c r="B73" s="83"/>
      <c r="C73" s="421" t="s">
        <v>35</v>
      </c>
      <c r="D73" s="80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5"/>
      <c r="X73" s="72"/>
      <c r="Y73" s="481"/>
      <c r="Z73" s="154"/>
      <c r="AA73" s="82" t="s">
        <v>114</v>
      </c>
      <c r="AB73" s="83"/>
      <c r="AC73" s="84" t="s">
        <v>35</v>
      </c>
      <c r="AD73" s="151"/>
      <c r="AE73" s="129"/>
    </row>
    <row r="74" spans="1:31" s="51" customFormat="1" ht="13.5" customHeight="1">
      <c r="A74" s="71">
        <f aca="true" t="shared" si="9" ref="A74:B81">A61</f>
        <v>8</v>
      </c>
      <c r="B74" s="56">
        <f t="shared" si="9"/>
        <v>10</v>
      </c>
      <c r="C74" s="86" t="s">
        <v>6</v>
      </c>
      <c r="D74" s="80">
        <f aca="true" t="shared" si="10" ref="D74:X81">D61</f>
        <v>1.2365575362166685</v>
      </c>
      <c r="E74" s="81">
        <f t="shared" si="10"/>
        <v>1.3012141394175403</v>
      </c>
      <c r="F74" s="81">
        <f t="shared" si="10"/>
        <v>1.392208135181004</v>
      </c>
      <c r="G74" s="81">
        <f t="shared" si="10"/>
        <v>1.3730052643509205</v>
      </c>
      <c r="H74" s="81"/>
      <c r="I74" s="81">
        <f t="shared" si="10"/>
        <v>1.3184487637806874</v>
      </c>
      <c r="J74" s="81">
        <f t="shared" si="10"/>
        <v>1.3361460626233803</v>
      </c>
      <c r="K74" s="81">
        <f t="shared" si="10"/>
        <v>1.3184487637806874</v>
      </c>
      <c r="L74" s="81">
        <f t="shared" si="10"/>
        <v>1.3184487637806843</v>
      </c>
      <c r="M74" s="81"/>
      <c r="N74" s="81">
        <f t="shared" si="10"/>
        <v>1.3012141394175403</v>
      </c>
      <c r="O74" s="81">
        <f t="shared" si="10"/>
        <v>1.3361460626233819</v>
      </c>
      <c r="P74" s="81">
        <f t="shared" si="10"/>
        <v>1.3012141394175403</v>
      </c>
      <c r="Q74" s="81">
        <f t="shared" si="10"/>
        <v>1.3184487637806859</v>
      </c>
      <c r="R74" s="81"/>
      <c r="S74" s="81">
        <f t="shared" si="10"/>
        <v>1.2680621868209134</v>
      </c>
      <c r="T74" s="81">
        <f t="shared" si="10"/>
        <v>1.2680621868209165</v>
      </c>
      <c r="U74" s="81">
        <f t="shared" si="10"/>
        <v>1.192130319346608</v>
      </c>
      <c r="V74" s="81">
        <f t="shared" si="10"/>
        <v>1.206580383823536</v>
      </c>
      <c r="W74" s="85">
        <f t="shared" si="10"/>
        <v>1.2991459756989183</v>
      </c>
      <c r="X74" s="72">
        <f t="shared" si="10"/>
        <v>0.05430006227713761</v>
      </c>
      <c r="Y74" s="481"/>
      <c r="Z74" s="86"/>
      <c r="AA74" s="71">
        <f aca="true" t="shared" si="11" ref="AA74:AB81">A74</f>
        <v>8</v>
      </c>
      <c r="AB74" s="56">
        <f t="shared" si="11"/>
        <v>10</v>
      </c>
      <c r="AC74" s="72" t="s">
        <v>9</v>
      </c>
      <c r="AD74" s="86">
        <f aca="true" t="shared" si="12" ref="AD74:AE81">W74</f>
        <v>1.2991459756989183</v>
      </c>
      <c r="AE74" s="72">
        <f t="shared" si="12"/>
        <v>0.05430006227713761</v>
      </c>
    </row>
    <row r="75" spans="1:31" s="51" customFormat="1" ht="13.5" customHeight="1">
      <c r="A75" s="71">
        <f t="shared" si="9"/>
        <v>8</v>
      </c>
      <c r="B75" s="56">
        <f t="shared" si="9"/>
        <v>10</v>
      </c>
      <c r="C75" s="86" t="s">
        <v>8</v>
      </c>
      <c r="D75" s="80">
        <f t="shared" si="10"/>
        <v>1.3361460626233819</v>
      </c>
      <c r="E75" s="81">
        <f t="shared" si="10"/>
        <v>1.3184487637806874</v>
      </c>
      <c r="F75" s="81">
        <f t="shared" si="10"/>
        <v>1.3361460626233803</v>
      </c>
      <c r="G75" s="81">
        <f t="shared" si="10"/>
        <v>1.3730052643509238</v>
      </c>
      <c r="H75" s="81"/>
      <c r="I75" s="81">
        <f t="shared" si="10"/>
        <v>1.3543249206182573</v>
      </c>
      <c r="J75" s="81">
        <f t="shared" si="10"/>
        <v>1.3543249206182573</v>
      </c>
      <c r="K75" s="81">
        <f t="shared" si="10"/>
        <v>1.3730052643509238</v>
      </c>
      <c r="L75" s="81">
        <f t="shared" si="10"/>
        <v>1.3730052643509238</v>
      </c>
      <c r="M75" s="81"/>
      <c r="N75" s="81">
        <f t="shared" si="10"/>
        <v>1.3361460626233803</v>
      </c>
      <c r="O75" s="81">
        <f t="shared" si="10"/>
        <v>1.3012141394175418</v>
      </c>
      <c r="P75" s="81">
        <f t="shared" si="10"/>
        <v>1.3361460626233803</v>
      </c>
      <c r="Q75" s="81">
        <f t="shared" si="10"/>
        <v>1.3184487637806874</v>
      </c>
      <c r="R75" s="81"/>
      <c r="S75" s="81">
        <f t="shared" si="10"/>
        <v>1.3361460626233819</v>
      </c>
      <c r="T75" s="81">
        <f t="shared" si="10"/>
        <v>1.318448763780689</v>
      </c>
      <c r="U75" s="81">
        <f t="shared" si="10"/>
        <v>1.318448763780689</v>
      </c>
      <c r="V75" s="81">
        <f t="shared" si="10"/>
        <v>1.3184487637806874</v>
      </c>
      <c r="W75" s="85">
        <f t="shared" si="10"/>
        <v>1.3376158691079485</v>
      </c>
      <c r="X75" s="72">
        <f t="shared" si="10"/>
        <v>0.0223433657638068</v>
      </c>
      <c r="Y75" s="481"/>
      <c r="Z75" s="86"/>
      <c r="AA75" s="71">
        <f t="shared" si="11"/>
        <v>8</v>
      </c>
      <c r="AB75" s="56">
        <f t="shared" si="11"/>
        <v>10</v>
      </c>
      <c r="AC75" s="72" t="s">
        <v>7</v>
      </c>
      <c r="AD75" s="86">
        <f t="shared" si="12"/>
        <v>1.3376158691079485</v>
      </c>
      <c r="AE75" s="72">
        <f t="shared" si="12"/>
        <v>0.0223433657638068</v>
      </c>
    </row>
    <row r="76" spans="1:31" s="51" customFormat="1" ht="13.5" customHeight="1">
      <c r="A76" s="71">
        <f t="shared" si="9"/>
        <v>10</v>
      </c>
      <c r="B76" s="56">
        <f t="shared" si="9"/>
        <v>12</v>
      </c>
      <c r="C76" s="86" t="s">
        <v>6</v>
      </c>
      <c r="D76" s="80">
        <f t="shared" si="10"/>
        <v>1.618583441714501</v>
      </c>
      <c r="E76" s="81">
        <f t="shared" si="10"/>
        <v>1.7311805507033364</v>
      </c>
      <c r="F76" s="81">
        <f t="shared" si="10"/>
        <v>1.6185834417145035</v>
      </c>
      <c r="G76" s="81">
        <f t="shared" si="10"/>
        <v>1.672989607822552</v>
      </c>
      <c r="H76" s="81"/>
      <c r="I76" s="81">
        <f t="shared" si="10"/>
        <v>1.6453368870320952</v>
      </c>
      <c r="J76" s="81">
        <f t="shared" si="10"/>
        <v>1.7311805507033338</v>
      </c>
      <c r="K76" s="81">
        <f t="shared" si="10"/>
        <v>1.7935654354133665</v>
      </c>
      <c r="L76" s="81">
        <f t="shared" si="10"/>
        <v>1.731180550703339</v>
      </c>
      <c r="M76" s="81"/>
      <c r="N76" s="81">
        <f t="shared" si="10"/>
        <v>1.6453368870320975</v>
      </c>
      <c r="O76" s="81">
        <f t="shared" si="10"/>
        <v>1.6729896078225495</v>
      </c>
      <c r="P76" s="81">
        <f t="shared" si="10"/>
        <v>1.8264748929438859</v>
      </c>
      <c r="Q76" s="81">
        <f t="shared" si="10"/>
        <v>1.8264748929438859</v>
      </c>
      <c r="R76" s="81"/>
      <c r="S76" s="81">
        <f t="shared" si="10"/>
        <v>1.8264748929438888</v>
      </c>
      <c r="T76" s="81">
        <f t="shared" si="10"/>
        <v>1.6453368870320928</v>
      </c>
      <c r="U76" s="81">
        <f t="shared" si="10"/>
        <v>1.6729896078225543</v>
      </c>
      <c r="V76" s="81">
        <f t="shared" si="10"/>
        <v>1.5676044356762513</v>
      </c>
      <c r="W76" s="85">
        <f t="shared" si="10"/>
        <v>1.7016426606265147</v>
      </c>
      <c r="X76" s="72">
        <f t="shared" si="10"/>
        <v>0.08228180933702181</v>
      </c>
      <c r="Y76" s="481"/>
      <c r="Z76" s="86"/>
      <c r="AA76" s="71">
        <f t="shared" si="11"/>
        <v>10</v>
      </c>
      <c r="AB76" s="56">
        <f t="shared" si="11"/>
        <v>12</v>
      </c>
      <c r="AC76" s="72" t="s">
        <v>9</v>
      </c>
      <c r="AD76" s="86">
        <f t="shared" si="12"/>
        <v>1.7016426606265147</v>
      </c>
      <c r="AE76" s="72">
        <f t="shared" si="12"/>
        <v>0.08228180933702181</v>
      </c>
    </row>
    <row r="77" spans="1:31" s="51" customFormat="1" ht="13.5" customHeight="1">
      <c r="A77" s="71">
        <f t="shared" si="9"/>
        <v>10</v>
      </c>
      <c r="B77" s="56">
        <f t="shared" si="9"/>
        <v>12</v>
      </c>
      <c r="C77" s="86" t="s">
        <v>8</v>
      </c>
      <c r="D77" s="80">
        <f t="shared" si="10"/>
        <v>1.4020124178231252</v>
      </c>
      <c r="E77" s="81">
        <f t="shared" si="10"/>
        <v>1.4857146517230135</v>
      </c>
      <c r="F77" s="81">
        <f t="shared" si="10"/>
        <v>1.4857146517230135</v>
      </c>
      <c r="G77" s="81">
        <f t="shared" si="10"/>
        <v>1.4857146517230115</v>
      </c>
      <c r="H77" s="81"/>
      <c r="I77" s="81">
        <f t="shared" si="10"/>
        <v>1.4220411666491706</v>
      </c>
      <c r="J77" s="81">
        <f t="shared" si="10"/>
        <v>1.508225479779422</v>
      </c>
      <c r="K77" s="81">
        <f t="shared" si="10"/>
        <v>1.4857146517230135</v>
      </c>
      <c r="L77" s="81">
        <f t="shared" si="10"/>
        <v>1.4638659068447348</v>
      </c>
      <c r="M77" s="81"/>
      <c r="N77" s="81">
        <f t="shared" si="10"/>
        <v>1.4020124178231252</v>
      </c>
      <c r="O77" s="81">
        <f t="shared" si="10"/>
        <v>1.4020124178231252</v>
      </c>
      <c r="P77" s="81">
        <f t="shared" si="10"/>
        <v>1.4020124178231268</v>
      </c>
      <c r="Q77" s="81">
        <f t="shared" si="10"/>
        <v>1.4426504589194478</v>
      </c>
      <c r="R77" s="81"/>
      <c r="S77" s="81">
        <f t="shared" si="10"/>
        <v>1.6871674858549457</v>
      </c>
      <c r="T77" s="81">
        <f t="shared" si="10"/>
        <v>1.555357526022529</v>
      </c>
      <c r="U77" s="81">
        <f t="shared" si="10"/>
        <v>1.3097747587558133</v>
      </c>
      <c r="V77" s="81">
        <f t="shared" si="10"/>
        <v>1.4220411666491706</v>
      </c>
      <c r="W77" s="85">
        <f t="shared" si="10"/>
        <v>1.4601270142287366</v>
      </c>
      <c r="X77" s="72">
        <f t="shared" si="10"/>
        <v>0.08361981270559508</v>
      </c>
      <c r="Y77" s="481"/>
      <c r="Z77" s="86"/>
      <c r="AA77" s="71">
        <f t="shared" si="11"/>
        <v>10</v>
      </c>
      <c r="AB77" s="56">
        <f t="shared" si="11"/>
        <v>12</v>
      </c>
      <c r="AC77" s="72" t="s">
        <v>7</v>
      </c>
      <c r="AD77" s="86">
        <f t="shared" si="12"/>
        <v>1.4601270142287366</v>
      </c>
      <c r="AE77" s="72">
        <f t="shared" si="12"/>
        <v>0.08361981270559508</v>
      </c>
    </row>
    <row r="78" spans="1:31" s="51" customFormat="1" ht="13.5" customHeight="1">
      <c r="A78" s="71">
        <f t="shared" si="9"/>
        <v>12</v>
      </c>
      <c r="B78" s="56">
        <f t="shared" si="9"/>
        <v>14</v>
      </c>
      <c r="C78" s="86" t="s">
        <v>6</v>
      </c>
      <c r="D78" s="80">
        <f t="shared" si="10"/>
        <v>1.5926861066470703</v>
      </c>
      <c r="E78" s="81">
        <f t="shared" si="10"/>
        <v>1.5197386513807911</v>
      </c>
      <c r="F78" s="81">
        <f t="shared" si="10"/>
        <v>1.672989607822552</v>
      </c>
      <c r="G78" s="81">
        <f t="shared" si="10"/>
        <v>1.5197386513807931</v>
      </c>
      <c r="H78" s="81"/>
      <c r="I78" s="81">
        <f t="shared" si="10"/>
        <v>1.5926861066470703</v>
      </c>
      <c r="J78" s="81">
        <f t="shared" si="10"/>
        <v>1.5926861066470703</v>
      </c>
      <c r="K78" s="81">
        <f t="shared" si="10"/>
        <v>1.618583441714501</v>
      </c>
      <c r="L78" s="81">
        <f t="shared" si="10"/>
        <v>1.5197386513807931</v>
      </c>
      <c r="M78" s="81"/>
      <c r="N78" s="81">
        <f t="shared" si="10"/>
        <v>1.5197386513807911</v>
      </c>
      <c r="O78" s="81">
        <f t="shared" si="10"/>
        <v>1.5676044356762513</v>
      </c>
      <c r="P78" s="81">
        <f t="shared" si="10"/>
        <v>1.6453368870320975</v>
      </c>
      <c r="Q78" s="81">
        <f t="shared" si="10"/>
        <v>1.8606146105690098</v>
      </c>
      <c r="R78" s="81"/>
      <c r="S78" s="81">
        <f t="shared" si="10"/>
        <v>1.5676044356762513</v>
      </c>
      <c r="T78" s="81">
        <f t="shared" si="10"/>
        <v>1.5926861066470726</v>
      </c>
      <c r="U78" s="81">
        <f t="shared" si="10"/>
        <v>1.5433004909370833</v>
      </c>
      <c r="V78" s="81">
        <f t="shared" si="10"/>
        <v>1.7311805507033364</v>
      </c>
      <c r="W78" s="85">
        <f t="shared" si="10"/>
        <v>1.6035570932651582</v>
      </c>
      <c r="X78" s="72">
        <f t="shared" si="10"/>
        <v>0.09090266368778825</v>
      </c>
      <c r="Y78" s="481"/>
      <c r="Z78" s="86"/>
      <c r="AA78" s="71">
        <f t="shared" si="11"/>
        <v>12</v>
      </c>
      <c r="AB78" s="56">
        <f t="shared" si="11"/>
        <v>14</v>
      </c>
      <c r="AC78" s="72" t="s">
        <v>9</v>
      </c>
      <c r="AD78" s="86">
        <f t="shared" si="12"/>
        <v>1.6035570932651582</v>
      </c>
      <c r="AE78" s="72">
        <f t="shared" si="12"/>
        <v>0.09090266368778825</v>
      </c>
    </row>
    <row r="79" spans="1:31" s="51" customFormat="1" ht="13.5" customHeight="1">
      <c r="A79" s="71">
        <f t="shared" si="9"/>
        <v>12</v>
      </c>
      <c r="B79" s="56">
        <f t="shared" si="9"/>
        <v>14</v>
      </c>
      <c r="C79" s="86" t="s">
        <v>8</v>
      </c>
      <c r="D79" s="80">
        <f t="shared" si="10"/>
        <v>1.555357526022527</v>
      </c>
      <c r="E79" s="81">
        <f t="shared" si="10"/>
        <v>1.50822547977942</v>
      </c>
      <c r="F79" s="81">
        <f t="shared" si="10"/>
        <v>1.50822547977942</v>
      </c>
      <c r="G79" s="81">
        <f t="shared" si="10"/>
        <v>1.555357526022529</v>
      </c>
      <c r="H79" s="81"/>
      <c r="I79" s="81">
        <f t="shared" si="10"/>
        <v>1.631850519105601</v>
      </c>
      <c r="J79" s="81">
        <f t="shared" si="10"/>
        <v>1.555357526022527</v>
      </c>
      <c r="K79" s="81">
        <f t="shared" si="10"/>
        <v>1.5800457407212982</v>
      </c>
      <c r="L79" s="81">
        <f t="shared" si="10"/>
        <v>1.5314289486991024</v>
      </c>
      <c r="M79" s="81"/>
      <c r="N79" s="81">
        <f t="shared" si="10"/>
        <v>1.4857146517230115</v>
      </c>
      <c r="O79" s="81">
        <f t="shared" si="10"/>
        <v>1.6055303494426083</v>
      </c>
      <c r="P79" s="81">
        <f t="shared" si="10"/>
        <v>1.5553575260225248</v>
      </c>
      <c r="Q79" s="81">
        <f t="shared" si="10"/>
        <v>1.555357526022527</v>
      </c>
      <c r="R79" s="81"/>
      <c r="S79" s="81">
        <f t="shared" si="10"/>
        <v>1.4638659068447328</v>
      </c>
      <c r="T79" s="81">
        <f t="shared" si="10"/>
        <v>1.555357526022527</v>
      </c>
      <c r="U79" s="81">
        <f t="shared" si="10"/>
        <v>1.6318505191056032</v>
      </c>
      <c r="V79" s="81">
        <f t="shared" si="10"/>
        <v>1.4857146517230095</v>
      </c>
      <c r="W79" s="85">
        <f t="shared" si="10"/>
        <v>1.5477873376911853</v>
      </c>
      <c r="X79" s="72">
        <f t="shared" si="10"/>
        <v>0.04966465191975436</v>
      </c>
      <c r="Y79" s="481"/>
      <c r="Z79" s="86"/>
      <c r="AA79" s="71">
        <f t="shared" si="11"/>
        <v>12</v>
      </c>
      <c r="AB79" s="56">
        <f t="shared" si="11"/>
        <v>14</v>
      </c>
      <c r="AC79" s="72" t="s">
        <v>7</v>
      </c>
      <c r="AD79" s="86">
        <f t="shared" si="12"/>
        <v>1.5477873376911853</v>
      </c>
      <c r="AE79" s="72">
        <f t="shared" si="12"/>
        <v>0.04966465191975436</v>
      </c>
    </row>
    <row r="80" spans="1:31" s="51" customFormat="1" ht="13.5" customHeight="1">
      <c r="A80" s="71">
        <f t="shared" si="9"/>
        <v>10</v>
      </c>
      <c r="B80" s="56">
        <f t="shared" si="9"/>
        <v>14</v>
      </c>
      <c r="C80" s="86" t="s">
        <v>6</v>
      </c>
      <c r="D80" s="80">
        <f t="shared" si="10"/>
        <v>1.6055303494426107</v>
      </c>
      <c r="E80" s="81">
        <f t="shared" si="10"/>
        <v>1.618583441714501</v>
      </c>
      <c r="F80" s="81">
        <f t="shared" si="10"/>
        <v>1.6453368870320975</v>
      </c>
      <c r="G80" s="81">
        <f t="shared" si="10"/>
        <v>1.5926861066470703</v>
      </c>
      <c r="H80" s="81"/>
      <c r="I80" s="81">
        <f t="shared" si="10"/>
        <v>1.618583441714501</v>
      </c>
      <c r="J80" s="81">
        <f t="shared" si="10"/>
        <v>1.6590480277573632</v>
      </c>
      <c r="K80" s="81">
        <f t="shared" si="10"/>
        <v>1.7015877207767836</v>
      </c>
      <c r="L80" s="81">
        <f t="shared" si="10"/>
        <v>1.6185834417145035</v>
      </c>
      <c r="M80" s="81"/>
      <c r="N80" s="81">
        <f t="shared" si="10"/>
        <v>1.580045740721299</v>
      </c>
      <c r="O80" s="81">
        <f t="shared" si="10"/>
        <v>1.618583441714501</v>
      </c>
      <c r="P80" s="81">
        <f t="shared" si="10"/>
        <v>1.7311805507033364</v>
      </c>
      <c r="Q80" s="81">
        <f t="shared" si="10"/>
        <v>1.8433866975081836</v>
      </c>
      <c r="R80" s="81"/>
      <c r="S80" s="81">
        <f t="shared" si="10"/>
        <v>1.6871674858549481</v>
      </c>
      <c r="T80" s="81">
        <f t="shared" si="10"/>
        <v>1.618583441714501</v>
      </c>
      <c r="U80" s="81">
        <f t="shared" si="10"/>
        <v>1.6055303494426119</v>
      </c>
      <c r="V80" s="81">
        <f t="shared" si="10"/>
        <v>1.6453368870320975</v>
      </c>
      <c r="W80" s="85">
        <f t="shared" si="10"/>
        <v>1.6493596257181822</v>
      </c>
      <c r="X80" s="72">
        <f t="shared" si="10"/>
        <v>0.06593875308982713</v>
      </c>
      <c r="Y80" s="481"/>
      <c r="Z80" s="86"/>
      <c r="AA80" s="71">
        <f t="shared" si="11"/>
        <v>10</v>
      </c>
      <c r="AB80" s="56">
        <f t="shared" si="11"/>
        <v>14</v>
      </c>
      <c r="AC80" s="72" t="s">
        <v>9</v>
      </c>
      <c r="AD80" s="86">
        <f t="shared" si="12"/>
        <v>1.6493596257181822</v>
      </c>
      <c r="AE80" s="72">
        <f t="shared" si="12"/>
        <v>0.06593875308982713</v>
      </c>
    </row>
    <row r="81" spans="1:31" s="51" customFormat="1" ht="13.5" customHeight="1">
      <c r="A81" s="71">
        <f t="shared" si="9"/>
        <v>10</v>
      </c>
      <c r="B81" s="56">
        <f t="shared" si="9"/>
        <v>14</v>
      </c>
      <c r="C81" s="86" t="s">
        <v>8</v>
      </c>
      <c r="D81" s="80">
        <f t="shared" si="10"/>
        <v>1.4747093580065451</v>
      </c>
      <c r="E81" s="81">
        <f t="shared" si="10"/>
        <v>1.4968854385780723</v>
      </c>
      <c r="F81" s="81">
        <f t="shared" si="10"/>
        <v>1.4968854385780723</v>
      </c>
      <c r="G81" s="81">
        <f t="shared" si="10"/>
        <v>1.5197386513807911</v>
      </c>
      <c r="H81" s="81"/>
      <c r="I81" s="81">
        <f t="shared" si="10"/>
        <v>1.5197386513807911</v>
      </c>
      <c r="J81" s="81">
        <f t="shared" si="10"/>
        <v>1.5314289486991044</v>
      </c>
      <c r="K81" s="81">
        <f t="shared" si="10"/>
        <v>1.5314289486991053</v>
      </c>
      <c r="L81" s="81">
        <f t="shared" si="10"/>
        <v>1.4968854385780723</v>
      </c>
      <c r="M81" s="81"/>
      <c r="N81" s="81">
        <f t="shared" si="10"/>
        <v>1.4426504589194469</v>
      </c>
      <c r="O81" s="81">
        <f t="shared" si="10"/>
        <v>1.4968854385780723</v>
      </c>
      <c r="P81" s="81">
        <f t="shared" si="10"/>
        <v>1.4747093580065451</v>
      </c>
      <c r="Q81" s="81">
        <f t="shared" si="10"/>
        <v>1.4968854385780723</v>
      </c>
      <c r="R81" s="81"/>
      <c r="S81" s="81">
        <f t="shared" si="10"/>
        <v>1.567604435676249</v>
      </c>
      <c r="T81" s="81">
        <f t="shared" si="10"/>
        <v>1.555357526022528</v>
      </c>
      <c r="U81" s="81">
        <f t="shared" si="10"/>
        <v>1.4531807542400261</v>
      </c>
      <c r="V81" s="81">
        <f t="shared" si="10"/>
        <v>1.4531807542400261</v>
      </c>
      <c r="W81" s="85">
        <f t="shared" si="10"/>
        <v>1.5005096898850951</v>
      </c>
      <c r="X81" s="72">
        <f t="shared" si="10"/>
        <v>0.035950182417373355</v>
      </c>
      <c r="Y81" s="481"/>
      <c r="Z81" s="86"/>
      <c r="AA81" s="71">
        <f t="shared" si="11"/>
        <v>10</v>
      </c>
      <c r="AB81" s="56">
        <f t="shared" si="11"/>
        <v>14</v>
      </c>
      <c r="AC81" s="72" t="s">
        <v>7</v>
      </c>
      <c r="AD81" s="86">
        <f t="shared" si="12"/>
        <v>1.5005096898850951</v>
      </c>
      <c r="AE81" s="72">
        <f t="shared" si="12"/>
        <v>0.035950182417373355</v>
      </c>
    </row>
    <row r="82" spans="1:31" s="51" customFormat="1" ht="13.5" customHeight="1">
      <c r="A82" s="71"/>
      <c r="B82" s="56"/>
      <c r="C82" s="86"/>
      <c r="D82" s="80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5"/>
      <c r="X82" s="72"/>
      <c r="Y82" s="481"/>
      <c r="Z82" s="86"/>
      <c r="AA82" s="71"/>
      <c r="AB82" s="56"/>
      <c r="AC82" s="72"/>
      <c r="AD82" s="86"/>
      <c r="AE82" s="72"/>
    </row>
    <row r="83" spans="1:31" s="51" customFormat="1" ht="13.5" customHeight="1">
      <c r="A83" s="71"/>
      <c r="B83" s="56"/>
      <c r="C83" s="86"/>
      <c r="D83" s="80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5"/>
      <c r="X83" s="72"/>
      <c r="Y83" s="481"/>
      <c r="Z83" s="86"/>
      <c r="AA83" s="71"/>
      <c r="AB83" s="56"/>
      <c r="AC83" s="72"/>
      <c r="AD83" s="86"/>
      <c r="AE83" s="72"/>
    </row>
    <row r="84" spans="1:31" s="51" customFormat="1" ht="13.5" customHeight="1">
      <c r="A84" s="73" t="s">
        <v>119</v>
      </c>
      <c r="B84" s="58"/>
      <c r="C84" s="86"/>
      <c r="D84" s="80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5"/>
      <c r="X84" s="72"/>
      <c r="Y84" s="481"/>
      <c r="Z84" s="86"/>
      <c r="AA84" s="73" t="s">
        <v>119</v>
      </c>
      <c r="AB84" s="58"/>
      <c r="AC84" s="72"/>
      <c r="AD84" s="86"/>
      <c r="AE84" s="72"/>
    </row>
    <row r="85" spans="1:31" s="49" customFormat="1" ht="13.5" customHeight="1">
      <c r="A85" s="71" t="str">
        <f>$C$3</f>
        <v>O-004 4th sizing</v>
      </c>
      <c r="B85" s="56" t="str">
        <f>$C$4</f>
        <v>outer</v>
      </c>
      <c r="C85" s="56" t="s">
        <v>9</v>
      </c>
      <c r="D85" s="80">
        <f aca="true" t="shared" si="13" ref="D85:X86">D50*1000</f>
        <v>11.66</v>
      </c>
      <c r="E85" s="81">
        <f t="shared" si="13"/>
        <v>11.66</v>
      </c>
      <c r="F85" s="81">
        <f t="shared" si="13"/>
        <v>12.1</v>
      </c>
      <c r="G85" s="81">
        <f t="shared" si="13"/>
        <v>11.78</v>
      </c>
      <c r="H85" s="81"/>
      <c r="I85" s="81">
        <f t="shared" si="13"/>
        <v>11.9</v>
      </c>
      <c r="J85" s="81">
        <f t="shared" si="13"/>
        <v>11.38</v>
      </c>
      <c r="K85" s="81">
        <f t="shared" si="13"/>
        <v>11.22</v>
      </c>
      <c r="L85" s="81">
        <f t="shared" si="13"/>
        <v>11.62</v>
      </c>
      <c r="M85" s="81"/>
      <c r="N85" s="81">
        <f t="shared" si="13"/>
        <v>12.26</v>
      </c>
      <c r="O85" s="81">
        <f t="shared" si="13"/>
        <v>11.880000000000003</v>
      </c>
      <c r="P85" s="81">
        <f t="shared" si="13"/>
        <v>11.14</v>
      </c>
      <c r="Q85" s="81">
        <f t="shared" si="13"/>
        <v>10.74</v>
      </c>
      <c r="R85" s="81"/>
      <c r="S85" s="81">
        <f t="shared" si="13"/>
        <v>11.26</v>
      </c>
      <c r="T85" s="81">
        <f t="shared" si="13"/>
        <v>11.8</v>
      </c>
      <c r="U85" s="81">
        <f t="shared" si="13"/>
        <v>11.62</v>
      </c>
      <c r="V85" s="81">
        <f t="shared" si="13"/>
        <v>11.099999999999998</v>
      </c>
      <c r="W85" s="80">
        <f t="shared" si="13"/>
        <v>11.569999999999999</v>
      </c>
      <c r="X85" s="413">
        <f t="shared" si="13"/>
        <v>0.4024591076536523</v>
      </c>
      <c r="Y85" s="481"/>
      <c r="Z85" s="56"/>
      <c r="AA85" s="71" t="str">
        <f>$C$3</f>
        <v>O-004 4th sizing</v>
      </c>
      <c r="AB85" s="56" t="str">
        <f>$C$4</f>
        <v>outer</v>
      </c>
      <c r="AC85" s="69" t="s">
        <v>9</v>
      </c>
      <c r="AD85" s="86">
        <f>W85</f>
        <v>11.569999999999999</v>
      </c>
      <c r="AE85" s="72">
        <f>X85</f>
        <v>0.4024591076536523</v>
      </c>
    </row>
    <row r="86" spans="1:31" s="49" customFormat="1" ht="13.5" customHeight="1">
      <c r="A86" s="74" t="str">
        <f>$C$3</f>
        <v>O-004 4th sizing</v>
      </c>
      <c r="B86" s="52" t="str">
        <f>$C$4</f>
        <v>outer</v>
      </c>
      <c r="C86" s="52" t="s">
        <v>7</v>
      </c>
      <c r="D86" s="130">
        <f>D51*1000</f>
        <v>12.790000000000001</v>
      </c>
      <c r="E86" s="131">
        <f t="shared" si="13"/>
        <v>12.71</v>
      </c>
      <c r="F86" s="131">
        <f t="shared" si="13"/>
        <v>12.65</v>
      </c>
      <c r="G86" s="131">
        <f t="shared" si="13"/>
        <v>12.570000000000002</v>
      </c>
      <c r="H86" s="131"/>
      <c r="I86" s="131">
        <f t="shared" si="13"/>
        <v>12.77</v>
      </c>
      <c r="J86" s="131">
        <f t="shared" si="13"/>
        <v>12.59</v>
      </c>
      <c r="K86" s="131">
        <f t="shared" si="13"/>
        <v>12.47</v>
      </c>
      <c r="L86" s="131">
        <f t="shared" si="13"/>
        <v>12.89</v>
      </c>
      <c r="M86" s="131"/>
      <c r="N86" s="131">
        <f t="shared" si="13"/>
        <v>13.03</v>
      </c>
      <c r="O86" s="131">
        <f t="shared" si="13"/>
        <v>13.13</v>
      </c>
      <c r="P86" s="131">
        <f t="shared" si="13"/>
        <v>12.95</v>
      </c>
      <c r="Q86" s="131">
        <f t="shared" si="13"/>
        <v>12.89</v>
      </c>
      <c r="R86" s="131"/>
      <c r="S86" s="131">
        <f t="shared" si="13"/>
        <v>12.41</v>
      </c>
      <c r="T86" s="131">
        <f t="shared" si="13"/>
        <v>12.490000000000002</v>
      </c>
      <c r="U86" s="131">
        <f t="shared" si="13"/>
        <v>13.430000000000001</v>
      </c>
      <c r="V86" s="131">
        <f t="shared" si="13"/>
        <v>13.11</v>
      </c>
      <c r="W86" s="130">
        <f>W51*1000</f>
        <v>12.805</v>
      </c>
      <c r="X86" s="414">
        <f>X51*1000</f>
        <v>0.28033313515648434</v>
      </c>
      <c r="Y86" s="481"/>
      <c r="Z86" s="52"/>
      <c r="AA86" s="74" t="str">
        <f>$C$3</f>
        <v>O-004 4th sizing</v>
      </c>
      <c r="AB86" s="52" t="str">
        <f>$C$4</f>
        <v>outer</v>
      </c>
      <c r="AC86" s="70" t="s">
        <v>7</v>
      </c>
      <c r="AD86" s="88">
        <f>W86</f>
        <v>12.805</v>
      </c>
      <c r="AE86" s="89">
        <f>X86</f>
        <v>0.28033313515648434</v>
      </c>
    </row>
    <row r="87" spans="1:26" s="49" customFormat="1" ht="13.5" customHeight="1">
      <c r="A87" s="53"/>
      <c r="B87" s="56"/>
      <c r="C87" s="3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86"/>
      <c r="X87" s="127"/>
      <c r="Y87" s="481"/>
      <c r="Z87" s="3"/>
    </row>
    <row r="88" spans="1:31" s="49" customFormat="1" ht="13.5" customHeight="1">
      <c r="A88" s="66" t="s">
        <v>69</v>
      </c>
      <c r="B88" s="57"/>
      <c r="C88" s="3"/>
      <c r="D88" s="462" t="str">
        <f>$C$3</f>
        <v>O-004 4th sizing</v>
      </c>
      <c r="E88" s="462"/>
      <c r="F88" s="462" t="str">
        <f>$C$4</f>
        <v>outer</v>
      </c>
      <c r="G88" s="462" t="s">
        <v>115</v>
      </c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86"/>
      <c r="X88" s="127"/>
      <c r="Y88" s="481"/>
      <c r="Z88" s="3"/>
      <c r="AA88" s="66" t="s">
        <v>69</v>
      </c>
      <c r="AB88" s="54"/>
      <c r="AC88" s="54"/>
      <c r="AD88" s="169" t="str">
        <f>D88</f>
        <v>O-004 4th sizing</v>
      </c>
      <c r="AE88" s="185" t="str">
        <f>F88</f>
        <v>outer</v>
      </c>
    </row>
    <row r="89" spans="1:31" s="176" customFormat="1" ht="13.5" customHeight="1">
      <c r="A89" s="147" t="s">
        <v>116</v>
      </c>
      <c r="B89" s="148"/>
      <c r="C89" s="149"/>
      <c r="D89" s="170">
        <v>1</v>
      </c>
      <c r="E89" s="171">
        <f aca="true" t="shared" si="14" ref="E89:V89">D89+1</f>
        <v>2</v>
      </c>
      <c r="F89" s="171">
        <f t="shared" si="14"/>
        <v>3</v>
      </c>
      <c r="G89" s="171">
        <f t="shared" si="14"/>
        <v>4</v>
      </c>
      <c r="H89" s="171">
        <f t="shared" si="14"/>
        <v>5</v>
      </c>
      <c r="I89" s="171">
        <f t="shared" si="14"/>
        <v>6</v>
      </c>
      <c r="J89" s="171">
        <f t="shared" si="14"/>
        <v>7</v>
      </c>
      <c r="K89" s="171">
        <f t="shared" si="14"/>
        <v>8</v>
      </c>
      <c r="L89" s="171">
        <f t="shared" si="14"/>
        <v>9</v>
      </c>
      <c r="M89" s="171">
        <f t="shared" si="14"/>
        <v>10</v>
      </c>
      <c r="N89" s="171">
        <f t="shared" si="14"/>
        <v>11</v>
      </c>
      <c r="O89" s="171">
        <f t="shared" si="14"/>
        <v>12</v>
      </c>
      <c r="P89" s="171">
        <f t="shared" si="14"/>
        <v>13</v>
      </c>
      <c r="Q89" s="171">
        <f t="shared" si="14"/>
        <v>14</v>
      </c>
      <c r="R89" s="171">
        <f t="shared" si="14"/>
        <v>15</v>
      </c>
      <c r="S89" s="171">
        <f t="shared" si="14"/>
        <v>16</v>
      </c>
      <c r="T89" s="171">
        <f t="shared" si="14"/>
        <v>17</v>
      </c>
      <c r="U89" s="171">
        <f t="shared" si="14"/>
        <v>18</v>
      </c>
      <c r="V89" s="171">
        <f t="shared" si="14"/>
        <v>19</v>
      </c>
      <c r="W89" s="422" t="s">
        <v>0</v>
      </c>
      <c r="X89" s="429" t="s">
        <v>117</v>
      </c>
      <c r="Y89" s="481"/>
      <c r="Z89" s="481"/>
      <c r="AA89" s="157" t="str">
        <f aca="true" t="shared" si="15" ref="AA89:AB99">A89</f>
        <v>Axial location from lead end </v>
      </c>
      <c r="AB89" s="158"/>
      <c r="AC89" s="159"/>
      <c r="AD89" s="174" t="s">
        <v>0</v>
      </c>
      <c r="AE89" s="175" t="s">
        <v>117</v>
      </c>
    </row>
    <row r="90" spans="1:31" s="54" customFormat="1" ht="13.5" customHeight="1">
      <c r="A90" s="78" t="s">
        <v>120</v>
      </c>
      <c r="B90" s="75"/>
      <c r="C90" s="415"/>
      <c r="D90" s="132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424"/>
      <c r="W90" s="427"/>
      <c r="X90" s="134"/>
      <c r="Y90" s="516"/>
      <c r="Z90" s="516"/>
      <c r="AA90" s="157" t="str">
        <f t="shared" si="15"/>
        <v>Coil modulus [GPa]</v>
      </c>
      <c r="AB90" s="158"/>
      <c r="AC90" s="159"/>
      <c r="AD90" s="174"/>
      <c r="AE90" s="175"/>
    </row>
    <row r="91" spans="1:31" s="55" customFormat="1" ht="13.5" customHeight="1">
      <c r="A91" s="160" t="s">
        <v>121</v>
      </c>
      <c r="B91" s="161"/>
      <c r="C91" s="416" t="s">
        <v>35</v>
      </c>
      <c r="D91" s="135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417"/>
      <c r="W91" s="428"/>
      <c r="X91" s="137"/>
      <c r="Y91" s="516"/>
      <c r="Z91" s="516"/>
      <c r="AA91" s="160" t="str">
        <f t="shared" si="15"/>
        <v>Pressure range [MPa]</v>
      </c>
      <c r="AB91" s="161"/>
      <c r="AC91" s="162" t="s">
        <v>35</v>
      </c>
      <c r="AD91" s="152"/>
      <c r="AE91" s="134"/>
    </row>
    <row r="92" spans="1:31" s="55" customFormat="1" ht="13.5" customHeight="1">
      <c r="A92" s="91">
        <f aca="true" t="shared" si="16" ref="A92:B99">A74*6.895</f>
        <v>55.16</v>
      </c>
      <c r="B92" s="92">
        <f t="shared" si="16"/>
        <v>68.94999999999999</v>
      </c>
      <c r="C92" s="60" t="str">
        <f aca="true" t="shared" si="17" ref="C92:C99">C74</f>
        <v>A</v>
      </c>
      <c r="D92" s="135">
        <f aca="true" t="shared" si="18" ref="D92:X99">D74*6.895</f>
        <v>8.52606421221393</v>
      </c>
      <c r="E92" s="136">
        <f t="shared" si="18"/>
        <v>8.97187149128394</v>
      </c>
      <c r="F92" s="136">
        <f t="shared" si="18"/>
        <v>9.599275092073022</v>
      </c>
      <c r="G92" s="136">
        <f t="shared" si="18"/>
        <v>9.466871297699596</v>
      </c>
      <c r="H92" s="81"/>
      <c r="I92" s="136">
        <f t="shared" si="18"/>
        <v>9.090704226267839</v>
      </c>
      <c r="J92" s="136">
        <f t="shared" si="18"/>
        <v>9.212727101788207</v>
      </c>
      <c r="K92" s="136">
        <f t="shared" si="18"/>
        <v>9.090704226267839</v>
      </c>
      <c r="L92" s="136">
        <f t="shared" si="18"/>
        <v>9.090704226267817</v>
      </c>
      <c r="M92" s="81"/>
      <c r="N92" s="136">
        <f t="shared" si="18"/>
        <v>8.97187149128394</v>
      </c>
      <c r="O92" s="136">
        <f t="shared" si="18"/>
        <v>9.212727101788218</v>
      </c>
      <c r="P92" s="136">
        <f t="shared" si="18"/>
        <v>8.97187149128394</v>
      </c>
      <c r="Q92" s="136">
        <f t="shared" si="18"/>
        <v>9.090704226267828</v>
      </c>
      <c r="R92" s="81"/>
      <c r="S92" s="136">
        <f t="shared" si="18"/>
        <v>8.743288778130198</v>
      </c>
      <c r="T92" s="136">
        <f t="shared" si="18"/>
        <v>8.74328877813022</v>
      </c>
      <c r="U92" s="136">
        <f t="shared" si="18"/>
        <v>8.219738551894862</v>
      </c>
      <c r="V92" s="417">
        <f t="shared" si="18"/>
        <v>8.31937174646328</v>
      </c>
      <c r="W92" s="428">
        <f t="shared" si="18"/>
        <v>8.957611502444042</v>
      </c>
      <c r="X92" s="137">
        <f t="shared" si="18"/>
        <v>0.3743989294008638</v>
      </c>
      <c r="Y92" s="516"/>
      <c r="Z92" s="516"/>
      <c r="AA92" s="79">
        <f t="shared" si="15"/>
        <v>55.16</v>
      </c>
      <c r="AB92" s="60">
        <f t="shared" si="15"/>
        <v>68.94999999999999</v>
      </c>
      <c r="AC92" s="137" t="s">
        <v>9</v>
      </c>
      <c r="AD92" s="153">
        <f aca="true" t="shared" si="19" ref="AD92:AE99">W92</f>
        <v>8.957611502444042</v>
      </c>
      <c r="AE92" s="137">
        <f t="shared" si="19"/>
        <v>0.3743989294008638</v>
      </c>
    </row>
    <row r="93" spans="1:31" s="55" customFormat="1" ht="13.5" customHeight="1">
      <c r="A93" s="91">
        <f t="shared" si="16"/>
        <v>55.16</v>
      </c>
      <c r="B93" s="92">
        <f t="shared" si="16"/>
        <v>68.94999999999999</v>
      </c>
      <c r="C93" s="60" t="str">
        <f t="shared" si="17"/>
        <v>B</v>
      </c>
      <c r="D93" s="135">
        <f t="shared" si="18"/>
        <v>9.212727101788218</v>
      </c>
      <c r="E93" s="136">
        <f t="shared" si="18"/>
        <v>9.090704226267839</v>
      </c>
      <c r="F93" s="136">
        <f t="shared" si="18"/>
        <v>9.212727101788207</v>
      </c>
      <c r="G93" s="136">
        <f t="shared" si="18"/>
        <v>9.466871297699619</v>
      </c>
      <c r="H93" s="81"/>
      <c r="I93" s="136">
        <f t="shared" si="18"/>
        <v>9.338070327662884</v>
      </c>
      <c r="J93" s="136">
        <f t="shared" si="18"/>
        <v>9.338070327662884</v>
      </c>
      <c r="K93" s="136">
        <f t="shared" si="18"/>
        <v>9.466871297699619</v>
      </c>
      <c r="L93" s="136">
        <f t="shared" si="18"/>
        <v>9.466871297699619</v>
      </c>
      <c r="M93" s="81"/>
      <c r="N93" s="136">
        <f t="shared" si="18"/>
        <v>9.212727101788207</v>
      </c>
      <c r="O93" s="136">
        <f t="shared" si="18"/>
        <v>8.97187149128395</v>
      </c>
      <c r="P93" s="136">
        <f t="shared" si="18"/>
        <v>9.212727101788207</v>
      </c>
      <c r="Q93" s="136">
        <f t="shared" si="18"/>
        <v>9.090704226267839</v>
      </c>
      <c r="R93" s="81"/>
      <c r="S93" s="136">
        <f t="shared" si="18"/>
        <v>9.212727101788218</v>
      </c>
      <c r="T93" s="136">
        <f t="shared" si="18"/>
        <v>9.09070422626785</v>
      </c>
      <c r="U93" s="136">
        <f t="shared" si="18"/>
        <v>9.09070422626785</v>
      </c>
      <c r="V93" s="417">
        <f t="shared" si="18"/>
        <v>9.090704226267839</v>
      </c>
      <c r="W93" s="428">
        <f t="shared" si="18"/>
        <v>9.222861417499304</v>
      </c>
      <c r="X93" s="137">
        <f t="shared" si="18"/>
        <v>0.15405750694144787</v>
      </c>
      <c r="Y93" s="516"/>
      <c r="Z93" s="516"/>
      <c r="AA93" s="79">
        <f t="shared" si="15"/>
        <v>55.16</v>
      </c>
      <c r="AB93" s="60">
        <f t="shared" si="15"/>
        <v>68.94999999999999</v>
      </c>
      <c r="AC93" s="137" t="s">
        <v>7</v>
      </c>
      <c r="AD93" s="153">
        <f t="shared" si="19"/>
        <v>9.222861417499304</v>
      </c>
      <c r="AE93" s="137">
        <f t="shared" si="19"/>
        <v>0.15405750694144787</v>
      </c>
    </row>
    <row r="94" spans="1:31" s="55" customFormat="1" ht="13.5" customHeight="1">
      <c r="A94" s="91">
        <f t="shared" si="16"/>
        <v>68.94999999999999</v>
      </c>
      <c r="B94" s="92">
        <f t="shared" si="16"/>
        <v>82.74</v>
      </c>
      <c r="C94" s="60" t="str">
        <f t="shared" si="17"/>
        <v>A</v>
      </c>
      <c r="D94" s="135">
        <f t="shared" si="18"/>
        <v>11.160132830621484</v>
      </c>
      <c r="E94" s="136">
        <f t="shared" si="18"/>
        <v>11.936489897099504</v>
      </c>
      <c r="F94" s="136">
        <f t="shared" si="18"/>
        <v>11.160132830621501</v>
      </c>
      <c r="G94" s="136">
        <f t="shared" si="18"/>
        <v>11.535263345936494</v>
      </c>
      <c r="H94" s="81"/>
      <c r="I94" s="136">
        <f t="shared" si="18"/>
        <v>11.344597836086296</v>
      </c>
      <c r="J94" s="136">
        <f t="shared" si="18"/>
        <v>11.936489897099486</v>
      </c>
      <c r="K94" s="136">
        <f t="shared" si="18"/>
        <v>12.366633677175162</v>
      </c>
      <c r="L94" s="136">
        <f t="shared" si="18"/>
        <v>11.936489897099522</v>
      </c>
      <c r="M94" s="81"/>
      <c r="N94" s="136">
        <f t="shared" si="18"/>
        <v>11.344597836086312</v>
      </c>
      <c r="O94" s="136">
        <f t="shared" si="18"/>
        <v>11.535263345936478</v>
      </c>
      <c r="P94" s="136">
        <f t="shared" si="18"/>
        <v>12.593544386848093</v>
      </c>
      <c r="Q94" s="136">
        <f t="shared" si="18"/>
        <v>12.593544386848093</v>
      </c>
      <c r="R94" s="81"/>
      <c r="S94" s="136">
        <f t="shared" si="18"/>
        <v>12.593544386848112</v>
      </c>
      <c r="T94" s="136">
        <f t="shared" si="18"/>
        <v>11.34459783608628</v>
      </c>
      <c r="U94" s="136">
        <f t="shared" si="18"/>
        <v>11.535263345936512</v>
      </c>
      <c r="V94" s="417">
        <f t="shared" si="18"/>
        <v>10.808632583987752</v>
      </c>
      <c r="W94" s="428">
        <f t="shared" si="18"/>
        <v>11.732826145019818</v>
      </c>
      <c r="X94" s="137">
        <f t="shared" si="18"/>
        <v>0.5673330753787653</v>
      </c>
      <c r="Y94" s="516"/>
      <c r="Z94" s="516"/>
      <c r="AA94" s="79">
        <f t="shared" si="15"/>
        <v>68.94999999999999</v>
      </c>
      <c r="AB94" s="60">
        <f t="shared" si="15"/>
        <v>82.74</v>
      </c>
      <c r="AC94" s="137" t="s">
        <v>9</v>
      </c>
      <c r="AD94" s="153">
        <f t="shared" si="19"/>
        <v>11.732826145019818</v>
      </c>
      <c r="AE94" s="137">
        <f t="shared" si="19"/>
        <v>0.5673330753787653</v>
      </c>
    </row>
    <row r="95" spans="1:31" s="55" customFormat="1" ht="13.5" customHeight="1">
      <c r="A95" s="91">
        <f t="shared" si="16"/>
        <v>68.94999999999999</v>
      </c>
      <c r="B95" s="92">
        <f t="shared" si="16"/>
        <v>82.74</v>
      </c>
      <c r="C95" s="60" t="str">
        <f t="shared" si="17"/>
        <v>B</v>
      </c>
      <c r="D95" s="135">
        <f t="shared" si="18"/>
        <v>9.666875620890448</v>
      </c>
      <c r="E95" s="136">
        <f t="shared" si="18"/>
        <v>10.244002523630177</v>
      </c>
      <c r="F95" s="136">
        <f t="shared" si="18"/>
        <v>10.244002523630177</v>
      </c>
      <c r="G95" s="136">
        <f t="shared" si="18"/>
        <v>10.244002523630163</v>
      </c>
      <c r="H95" s="81"/>
      <c r="I95" s="136">
        <f t="shared" si="18"/>
        <v>9.80497384404603</v>
      </c>
      <c r="J95" s="136">
        <f t="shared" si="18"/>
        <v>10.399214683079114</v>
      </c>
      <c r="K95" s="136">
        <f t="shared" si="18"/>
        <v>10.244002523630177</v>
      </c>
      <c r="L95" s="136">
        <f t="shared" si="18"/>
        <v>10.093355427694446</v>
      </c>
      <c r="M95" s="81"/>
      <c r="N95" s="136">
        <f t="shared" si="18"/>
        <v>9.666875620890448</v>
      </c>
      <c r="O95" s="136">
        <f t="shared" si="18"/>
        <v>9.666875620890448</v>
      </c>
      <c r="P95" s="136">
        <f t="shared" si="18"/>
        <v>9.666875620890458</v>
      </c>
      <c r="Q95" s="136">
        <f t="shared" si="18"/>
        <v>9.947074914249592</v>
      </c>
      <c r="R95" s="81"/>
      <c r="S95" s="136">
        <f t="shared" si="18"/>
        <v>11.63301981496985</v>
      </c>
      <c r="T95" s="136">
        <f t="shared" si="18"/>
        <v>10.724190141925337</v>
      </c>
      <c r="U95" s="136">
        <f t="shared" si="18"/>
        <v>9.030896961621332</v>
      </c>
      <c r="V95" s="417">
        <f t="shared" si="18"/>
        <v>9.80497384404603</v>
      </c>
      <c r="W95" s="428">
        <f t="shared" si="18"/>
        <v>10.067575763107138</v>
      </c>
      <c r="X95" s="137">
        <f t="shared" si="18"/>
        <v>0.576558608605078</v>
      </c>
      <c r="Y95" s="516"/>
      <c r="Z95" s="516"/>
      <c r="AA95" s="79">
        <f t="shared" si="15"/>
        <v>68.94999999999999</v>
      </c>
      <c r="AB95" s="60">
        <f t="shared" si="15"/>
        <v>82.74</v>
      </c>
      <c r="AC95" s="137" t="s">
        <v>7</v>
      </c>
      <c r="AD95" s="153">
        <f t="shared" si="19"/>
        <v>10.067575763107138</v>
      </c>
      <c r="AE95" s="137">
        <f t="shared" si="19"/>
        <v>0.576558608605078</v>
      </c>
    </row>
    <row r="96" spans="1:31" s="55" customFormat="1" ht="13.5" customHeight="1">
      <c r="A96" s="91">
        <f t="shared" si="16"/>
        <v>82.74</v>
      </c>
      <c r="B96" s="92">
        <f t="shared" si="16"/>
        <v>96.53</v>
      </c>
      <c r="C96" s="60" t="str">
        <f t="shared" si="17"/>
        <v>A</v>
      </c>
      <c r="D96" s="135">
        <f t="shared" si="18"/>
        <v>10.98157070533155</v>
      </c>
      <c r="E96" s="136">
        <f t="shared" si="18"/>
        <v>10.478598001270553</v>
      </c>
      <c r="F96" s="136">
        <f t="shared" si="18"/>
        <v>11.535263345936494</v>
      </c>
      <c r="G96" s="136">
        <f t="shared" si="18"/>
        <v>10.478598001270568</v>
      </c>
      <c r="H96" s="81"/>
      <c r="I96" s="136">
        <f t="shared" si="18"/>
        <v>10.98157070533155</v>
      </c>
      <c r="J96" s="136">
        <f t="shared" si="18"/>
        <v>10.98157070533155</v>
      </c>
      <c r="K96" s="136">
        <f t="shared" si="18"/>
        <v>11.160132830621484</v>
      </c>
      <c r="L96" s="136">
        <f t="shared" si="18"/>
        <v>10.478598001270568</v>
      </c>
      <c r="M96" s="81"/>
      <c r="N96" s="136">
        <f t="shared" si="18"/>
        <v>10.478598001270553</v>
      </c>
      <c r="O96" s="136">
        <f t="shared" si="18"/>
        <v>10.808632583987752</v>
      </c>
      <c r="P96" s="136">
        <f t="shared" si="18"/>
        <v>11.344597836086312</v>
      </c>
      <c r="Q96" s="136">
        <f t="shared" si="18"/>
        <v>12.828937739873322</v>
      </c>
      <c r="R96" s="81"/>
      <c r="S96" s="136">
        <f t="shared" si="18"/>
        <v>10.808632583987752</v>
      </c>
      <c r="T96" s="136">
        <f t="shared" si="18"/>
        <v>10.981570705331565</v>
      </c>
      <c r="U96" s="136">
        <f t="shared" si="18"/>
        <v>10.641056885011189</v>
      </c>
      <c r="V96" s="417">
        <f t="shared" si="18"/>
        <v>11.936489897099504</v>
      </c>
      <c r="W96" s="428">
        <f t="shared" si="18"/>
        <v>11.056526158063265</v>
      </c>
      <c r="X96" s="137">
        <f t="shared" si="18"/>
        <v>0.6267738661272999</v>
      </c>
      <c r="Y96" s="516"/>
      <c r="Z96" s="516"/>
      <c r="AA96" s="79">
        <f t="shared" si="15"/>
        <v>82.74</v>
      </c>
      <c r="AB96" s="60">
        <f t="shared" si="15"/>
        <v>96.53</v>
      </c>
      <c r="AC96" s="137" t="s">
        <v>9</v>
      </c>
      <c r="AD96" s="153">
        <f t="shared" si="19"/>
        <v>11.056526158063265</v>
      </c>
      <c r="AE96" s="137">
        <f t="shared" si="19"/>
        <v>0.6267738661272999</v>
      </c>
    </row>
    <row r="97" spans="1:31" s="55" customFormat="1" ht="13.5" customHeight="1">
      <c r="A97" s="91">
        <f t="shared" si="16"/>
        <v>82.74</v>
      </c>
      <c r="B97" s="92">
        <f t="shared" si="16"/>
        <v>96.53</v>
      </c>
      <c r="C97" s="60" t="str">
        <f t="shared" si="17"/>
        <v>B</v>
      </c>
      <c r="D97" s="135">
        <f t="shared" si="18"/>
        <v>10.724190141925323</v>
      </c>
      <c r="E97" s="136">
        <f t="shared" si="18"/>
        <v>10.3992146830791</v>
      </c>
      <c r="F97" s="136">
        <f t="shared" si="18"/>
        <v>10.3992146830791</v>
      </c>
      <c r="G97" s="136">
        <f t="shared" si="18"/>
        <v>10.724190141925337</v>
      </c>
      <c r="H97" s="81"/>
      <c r="I97" s="136">
        <f t="shared" si="18"/>
        <v>11.251609329233117</v>
      </c>
      <c r="J97" s="136">
        <f t="shared" si="18"/>
        <v>10.724190141925323</v>
      </c>
      <c r="K97" s="136">
        <f t="shared" si="18"/>
        <v>10.894415382273351</v>
      </c>
      <c r="L97" s="136">
        <f t="shared" si="18"/>
        <v>10.55920260128031</v>
      </c>
      <c r="M97" s="81"/>
      <c r="N97" s="136">
        <f t="shared" si="18"/>
        <v>10.244002523630163</v>
      </c>
      <c r="O97" s="136">
        <f t="shared" si="18"/>
        <v>11.070131759406783</v>
      </c>
      <c r="P97" s="136">
        <f t="shared" si="18"/>
        <v>10.724190141925307</v>
      </c>
      <c r="Q97" s="136">
        <f t="shared" si="18"/>
        <v>10.724190141925323</v>
      </c>
      <c r="R97" s="81"/>
      <c r="S97" s="136">
        <f t="shared" si="18"/>
        <v>10.093355427694432</v>
      </c>
      <c r="T97" s="136">
        <f t="shared" si="18"/>
        <v>10.724190141925323</v>
      </c>
      <c r="U97" s="136">
        <f t="shared" si="18"/>
        <v>11.251609329233133</v>
      </c>
      <c r="V97" s="417">
        <f t="shared" si="18"/>
        <v>10.24400252363015</v>
      </c>
      <c r="W97" s="428">
        <f t="shared" si="18"/>
        <v>10.671993693380722</v>
      </c>
      <c r="X97" s="137">
        <f t="shared" si="18"/>
        <v>0.3424377749867063</v>
      </c>
      <c r="Y97" s="516"/>
      <c r="Z97" s="516"/>
      <c r="AA97" s="79">
        <f t="shared" si="15"/>
        <v>82.74</v>
      </c>
      <c r="AB97" s="60">
        <f t="shared" si="15"/>
        <v>96.53</v>
      </c>
      <c r="AC97" s="137" t="s">
        <v>7</v>
      </c>
      <c r="AD97" s="153">
        <f t="shared" si="19"/>
        <v>10.671993693380722</v>
      </c>
      <c r="AE97" s="137">
        <f t="shared" si="19"/>
        <v>0.3424377749867063</v>
      </c>
    </row>
    <row r="98" spans="1:31" s="55" customFormat="1" ht="13.5" customHeight="1">
      <c r="A98" s="91">
        <f t="shared" si="16"/>
        <v>68.94999999999999</v>
      </c>
      <c r="B98" s="92">
        <f t="shared" si="16"/>
        <v>96.53</v>
      </c>
      <c r="C98" s="60" t="str">
        <f t="shared" si="17"/>
        <v>A</v>
      </c>
      <c r="D98" s="135">
        <f t="shared" si="18"/>
        <v>11.0701317594068</v>
      </c>
      <c r="E98" s="136">
        <f t="shared" si="18"/>
        <v>11.160132830621484</v>
      </c>
      <c r="F98" s="136">
        <f t="shared" si="18"/>
        <v>11.344597836086312</v>
      </c>
      <c r="G98" s="136">
        <f t="shared" si="18"/>
        <v>10.98157070533155</v>
      </c>
      <c r="H98" s="81"/>
      <c r="I98" s="136">
        <f t="shared" si="18"/>
        <v>11.160132830621484</v>
      </c>
      <c r="J98" s="136">
        <f t="shared" si="18"/>
        <v>11.439136151387018</v>
      </c>
      <c r="K98" s="136">
        <f t="shared" si="18"/>
        <v>11.732447334755921</v>
      </c>
      <c r="L98" s="136">
        <f t="shared" si="18"/>
        <v>11.160132830621501</v>
      </c>
      <c r="M98" s="81"/>
      <c r="N98" s="136">
        <f t="shared" si="18"/>
        <v>10.894415382273356</v>
      </c>
      <c r="O98" s="136">
        <f t="shared" si="18"/>
        <v>11.160132830621484</v>
      </c>
      <c r="P98" s="136">
        <f t="shared" si="18"/>
        <v>11.936489897099504</v>
      </c>
      <c r="Q98" s="136">
        <f t="shared" si="18"/>
        <v>12.710151279318925</v>
      </c>
      <c r="R98" s="81"/>
      <c r="S98" s="136">
        <f t="shared" si="18"/>
        <v>11.633019814969867</v>
      </c>
      <c r="T98" s="136">
        <f t="shared" si="18"/>
        <v>11.160132830621484</v>
      </c>
      <c r="U98" s="136">
        <f t="shared" si="18"/>
        <v>11.070131759406808</v>
      </c>
      <c r="V98" s="417">
        <f t="shared" si="18"/>
        <v>11.344597836086312</v>
      </c>
      <c r="W98" s="428">
        <f t="shared" si="18"/>
        <v>11.372334619326866</v>
      </c>
      <c r="X98" s="137">
        <f t="shared" si="18"/>
        <v>0.45464770255435805</v>
      </c>
      <c r="Y98" s="516"/>
      <c r="Z98" s="516"/>
      <c r="AA98" s="79">
        <f t="shared" si="15"/>
        <v>68.94999999999999</v>
      </c>
      <c r="AB98" s="60">
        <f t="shared" si="15"/>
        <v>96.53</v>
      </c>
      <c r="AC98" s="137" t="s">
        <v>9</v>
      </c>
      <c r="AD98" s="153">
        <f t="shared" si="19"/>
        <v>11.372334619326866</v>
      </c>
      <c r="AE98" s="137">
        <f t="shared" si="19"/>
        <v>0.45464770255435805</v>
      </c>
    </row>
    <row r="99" spans="1:31" s="55" customFormat="1" ht="13.5" customHeight="1">
      <c r="A99" s="91">
        <f t="shared" si="16"/>
        <v>68.94999999999999</v>
      </c>
      <c r="B99" s="92">
        <f t="shared" si="16"/>
        <v>96.53</v>
      </c>
      <c r="C99" s="60" t="str">
        <f t="shared" si="17"/>
        <v>B</v>
      </c>
      <c r="D99" s="135">
        <f t="shared" si="18"/>
        <v>10.168121023455129</v>
      </c>
      <c r="E99" s="136">
        <f t="shared" si="18"/>
        <v>10.321025098995808</v>
      </c>
      <c r="F99" s="136">
        <f t="shared" si="18"/>
        <v>10.321025098995808</v>
      </c>
      <c r="G99" s="136">
        <f t="shared" si="18"/>
        <v>10.478598001270553</v>
      </c>
      <c r="H99" s="81"/>
      <c r="I99" s="136">
        <f t="shared" si="18"/>
        <v>10.478598001270553</v>
      </c>
      <c r="J99" s="136">
        <f t="shared" si="18"/>
        <v>10.559202601280324</v>
      </c>
      <c r="K99" s="136">
        <f t="shared" si="18"/>
        <v>10.55920260128033</v>
      </c>
      <c r="L99" s="136">
        <f t="shared" si="18"/>
        <v>10.321025098995808</v>
      </c>
      <c r="M99" s="81"/>
      <c r="N99" s="136">
        <f t="shared" si="18"/>
        <v>9.947074914249585</v>
      </c>
      <c r="O99" s="136">
        <f t="shared" si="18"/>
        <v>10.321025098995808</v>
      </c>
      <c r="P99" s="136">
        <f t="shared" si="18"/>
        <v>10.168121023455129</v>
      </c>
      <c r="Q99" s="136">
        <f t="shared" si="18"/>
        <v>10.321025098995808</v>
      </c>
      <c r="R99" s="81"/>
      <c r="S99" s="136">
        <f t="shared" si="18"/>
        <v>10.808632583987738</v>
      </c>
      <c r="T99" s="136">
        <f t="shared" si="18"/>
        <v>10.72419014192533</v>
      </c>
      <c r="U99" s="136">
        <f t="shared" si="18"/>
        <v>10.01968130048498</v>
      </c>
      <c r="V99" s="417">
        <f t="shared" si="18"/>
        <v>10.01968130048498</v>
      </c>
      <c r="W99" s="428">
        <f t="shared" si="18"/>
        <v>10.346014311757731</v>
      </c>
      <c r="X99" s="137">
        <f t="shared" si="18"/>
        <v>0.24787650776778927</v>
      </c>
      <c r="Y99" s="516"/>
      <c r="Z99" s="516"/>
      <c r="AA99" s="79">
        <f t="shared" si="15"/>
        <v>68.94999999999999</v>
      </c>
      <c r="AB99" s="60">
        <f t="shared" si="15"/>
        <v>96.53</v>
      </c>
      <c r="AC99" s="137" t="s">
        <v>7</v>
      </c>
      <c r="AD99" s="153">
        <f t="shared" si="19"/>
        <v>10.346014311757731</v>
      </c>
      <c r="AE99" s="137">
        <f t="shared" si="19"/>
        <v>0.24787650776778927</v>
      </c>
    </row>
    <row r="100" spans="1:31" s="55" customFormat="1" ht="13.5" customHeight="1">
      <c r="A100" s="91"/>
      <c r="B100" s="92"/>
      <c r="C100" s="60" t="s">
        <v>0</v>
      </c>
      <c r="D100" s="135">
        <f>AVERAGE(D92:D97)</f>
        <v>10.045260102128493</v>
      </c>
      <c r="E100" s="136">
        <f aca="true" t="shared" si="20" ref="E100:X100">AVERAGE(E92:E97)</f>
        <v>10.186813470438521</v>
      </c>
      <c r="F100" s="136">
        <f t="shared" si="20"/>
        <v>10.358435929521418</v>
      </c>
      <c r="G100" s="136">
        <f t="shared" si="20"/>
        <v>10.319299434693631</v>
      </c>
      <c r="H100" s="81"/>
      <c r="I100" s="136">
        <f t="shared" si="20"/>
        <v>10.301921044771285</v>
      </c>
      <c r="J100" s="136">
        <f t="shared" si="20"/>
        <v>10.432043809481094</v>
      </c>
      <c r="K100" s="136">
        <f t="shared" si="20"/>
        <v>10.53712665627794</v>
      </c>
      <c r="L100" s="136">
        <f t="shared" si="20"/>
        <v>10.270870241885381</v>
      </c>
      <c r="M100" s="81"/>
      <c r="N100" s="136">
        <f t="shared" si="20"/>
        <v>9.986445429158271</v>
      </c>
      <c r="O100" s="136">
        <f t="shared" si="20"/>
        <v>10.21091698388227</v>
      </c>
      <c r="P100" s="136">
        <f t="shared" si="20"/>
        <v>10.418967763137053</v>
      </c>
      <c r="Q100" s="136">
        <f t="shared" si="20"/>
        <v>10.712525939238665</v>
      </c>
      <c r="R100" s="81"/>
      <c r="S100" s="136">
        <f t="shared" si="20"/>
        <v>10.514094682236427</v>
      </c>
      <c r="T100" s="136">
        <f t="shared" si="20"/>
        <v>10.268090304944428</v>
      </c>
      <c r="U100" s="136">
        <f t="shared" si="20"/>
        <v>9.961544883327479</v>
      </c>
      <c r="V100" s="417">
        <f t="shared" si="20"/>
        <v>10.03402913691576</v>
      </c>
      <c r="W100" s="135">
        <f t="shared" si="20"/>
        <v>10.284899113252381</v>
      </c>
      <c r="X100" s="417">
        <f t="shared" si="20"/>
        <v>0.44025996024002684</v>
      </c>
      <c r="Y100" s="516"/>
      <c r="Z100" s="516"/>
      <c r="AA100" s="79"/>
      <c r="AB100" s="60"/>
      <c r="AC100" s="137"/>
      <c r="AD100" s="153">
        <f>W100</f>
        <v>10.284899113252381</v>
      </c>
      <c r="AE100" s="137">
        <f>X100</f>
        <v>0.44025996024002684</v>
      </c>
    </row>
    <row r="101" spans="1:31" s="55" customFormat="1" ht="13.5" customHeight="1">
      <c r="A101" s="79"/>
      <c r="B101" s="516"/>
      <c r="C101" s="60"/>
      <c r="D101" s="135"/>
      <c r="E101" s="517"/>
      <c r="F101" s="517"/>
      <c r="G101" s="517"/>
      <c r="H101" s="81"/>
      <c r="I101" s="460"/>
      <c r="J101" s="460"/>
      <c r="K101" s="460"/>
      <c r="L101" s="460"/>
      <c r="M101" s="81"/>
      <c r="N101" s="460"/>
      <c r="O101" s="460"/>
      <c r="P101" s="460"/>
      <c r="Q101" s="460"/>
      <c r="R101" s="81"/>
      <c r="S101" s="460"/>
      <c r="T101" s="460"/>
      <c r="U101" s="460"/>
      <c r="V101" s="464"/>
      <c r="W101" s="606"/>
      <c r="X101" s="137"/>
      <c r="Y101" s="516"/>
      <c r="Z101" s="516"/>
      <c r="AA101" s="79"/>
      <c r="AB101" s="60"/>
      <c r="AC101" s="137"/>
      <c r="AD101" s="153"/>
      <c r="AE101" s="137"/>
    </row>
    <row r="102" spans="1:31" s="90" customFormat="1" ht="13.5" customHeight="1">
      <c r="A102" s="77" t="s">
        <v>122</v>
      </c>
      <c r="B102" s="59"/>
      <c r="C102" s="60"/>
      <c r="D102" s="135"/>
      <c r="E102" s="136"/>
      <c r="F102" s="136"/>
      <c r="G102" s="136"/>
      <c r="H102" s="81"/>
      <c r="I102" s="136"/>
      <c r="J102" s="136"/>
      <c r="K102" s="136"/>
      <c r="L102" s="136"/>
      <c r="M102" s="81"/>
      <c r="N102" s="136"/>
      <c r="O102" s="136"/>
      <c r="P102" s="136"/>
      <c r="Q102" s="136"/>
      <c r="R102" s="81"/>
      <c r="S102" s="136"/>
      <c r="T102" s="136"/>
      <c r="U102" s="136"/>
      <c r="V102" s="417"/>
      <c r="W102" s="428"/>
      <c r="X102" s="137"/>
      <c r="Y102" s="516"/>
      <c r="Z102" s="516"/>
      <c r="AA102" s="77" t="str">
        <f>A102</f>
        <v>Coil size at 83 MPa coil pressure [µm]</v>
      </c>
      <c r="AB102" s="163"/>
      <c r="AC102" s="137"/>
      <c r="AD102" s="153"/>
      <c r="AE102" s="137"/>
    </row>
    <row r="103" spans="1:31" s="90" customFormat="1" ht="13.5" customHeight="1">
      <c r="A103" s="79" t="str">
        <f>$C$3</f>
        <v>O-004 4th sizing</v>
      </c>
      <c r="B103" s="60" t="str">
        <f>$C$4</f>
        <v>outer</v>
      </c>
      <c r="C103" s="92" t="s">
        <v>9</v>
      </c>
      <c r="D103" s="155">
        <f aca="true" t="shared" si="21" ref="D103:V104">D85*1000/39.37</f>
        <v>296.1645923291847</v>
      </c>
      <c r="E103" s="156">
        <f t="shared" si="21"/>
        <v>296.1645923291847</v>
      </c>
      <c r="F103" s="156">
        <f t="shared" si="21"/>
        <v>307.3406146812294</v>
      </c>
      <c r="G103" s="156">
        <f t="shared" si="21"/>
        <v>299.21259842519686</v>
      </c>
      <c r="H103" s="81"/>
      <c r="I103" s="156">
        <f t="shared" si="21"/>
        <v>302.2606045212091</v>
      </c>
      <c r="J103" s="156">
        <f t="shared" si="21"/>
        <v>289.0525781051562</v>
      </c>
      <c r="K103" s="156">
        <f t="shared" si="21"/>
        <v>284.98856997713995</v>
      </c>
      <c r="L103" s="156">
        <f t="shared" si="21"/>
        <v>295.1485902971806</v>
      </c>
      <c r="M103" s="81"/>
      <c r="N103" s="156">
        <f t="shared" si="21"/>
        <v>311.40462280924567</v>
      </c>
      <c r="O103" s="156">
        <f t="shared" si="21"/>
        <v>301.75260350520705</v>
      </c>
      <c r="P103" s="156">
        <f t="shared" si="21"/>
        <v>282.95656591313184</v>
      </c>
      <c r="Q103" s="156">
        <f t="shared" si="21"/>
        <v>272.7965455930912</v>
      </c>
      <c r="R103" s="81"/>
      <c r="S103" s="156">
        <f t="shared" si="21"/>
        <v>286.00457200914406</v>
      </c>
      <c r="T103" s="156">
        <f t="shared" si="21"/>
        <v>299.7205994411989</v>
      </c>
      <c r="U103" s="156">
        <f t="shared" si="21"/>
        <v>295.1485902971806</v>
      </c>
      <c r="V103" s="418">
        <f t="shared" si="21"/>
        <v>281.94056388112773</v>
      </c>
      <c r="W103" s="155">
        <f>W85*1000/39.37</f>
        <v>293.87858775717547</v>
      </c>
      <c r="X103" s="418">
        <f>X85*1000/39.37</f>
        <v>10.222481779366326</v>
      </c>
      <c r="Y103" s="516"/>
      <c r="Z103" s="516"/>
      <c r="AA103" s="79" t="str">
        <f>$C$3</f>
        <v>O-004 4th sizing</v>
      </c>
      <c r="AB103" s="60" t="str">
        <f>$C$4</f>
        <v>outer</v>
      </c>
      <c r="AC103" s="76" t="s">
        <v>9</v>
      </c>
      <c r="AD103" s="153">
        <f>W103</f>
        <v>293.87858775717547</v>
      </c>
      <c r="AE103" s="137">
        <f>X103</f>
        <v>10.222481779366326</v>
      </c>
    </row>
    <row r="104" spans="1:31" ht="13.5" customHeight="1">
      <c r="A104" s="164" t="str">
        <f>$C$3</f>
        <v>O-004 4th sizing</v>
      </c>
      <c r="B104" s="165" t="str">
        <f>$C$4</f>
        <v>outer</v>
      </c>
      <c r="C104" s="93" t="s">
        <v>7</v>
      </c>
      <c r="D104" s="94">
        <f t="shared" si="21"/>
        <v>324.86664973329954</v>
      </c>
      <c r="E104" s="95">
        <f t="shared" si="21"/>
        <v>322.8346456692914</v>
      </c>
      <c r="F104" s="95">
        <f t="shared" si="21"/>
        <v>321.31064262128524</v>
      </c>
      <c r="G104" s="95">
        <f t="shared" si="21"/>
        <v>319.2786385572772</v>
      </c>
      <c r="H104" s="131"/>
      <c r="I104" s="95">
        <f t="shared" si="21"/>
        <v>324.35864871729746</v>
      </c>
      <c r="J104" s="95">
        <f t="shared" si="21"/>
        <v>319.78663957327916</v>
      </c>
      <c r="K104" s="95">
        <f t="shared" si="21"/>
        <v>316.738633477267</v>
      </c>
      <c r="L104" s="95">
        <f t="shared" si="21"/>
        <v>327.4066548133097</v>
      </c>
      <c r="M104" s="131"/>
      <c r="N104" s="95">
        <f t="shared" si="21"/>
        <v>330.96266192532386</v>
      </c>
      <c r="O104" s="95">
        <f t="shared" si="21"/>
        <v>333.50266700533405</v>
      </c>
      <c r="P104" s="95">
        <f t="shared" si="21"/>
        <v>328.93065786131575</v>
      </c>
      <c r="Q104" s="95">
        <f t="shared" si="21"/>
        <v>327.4066548133097</v>
      </c>
      <c r="R104" s="131"/>
      <c r="S104" s="95">
        <f t="shared" si="21"/>
        <v>315.21463042926086</v>
      </c>
      <c r="T104" s="95">
        <f t="shared" si="21"/>
        <v>317.246634493269</v>
      </c>
      <c r="U104" s="95">
        <f t="shared" si="21"/>
        <v>341.12268224536456</v>
      </c>
      <c r="V104" s="419">
        <f t="shared" si="21"/>
        <v>332.994665989332</v>
      </c>
      <c r="W104" s="94">
        <f>W86*1000/39.37</f>
        <v>325.247650495301</v>
      </c>
      <c r="X104" s="419">
        <f>X86*1000/39.37</f>
        <v>7.12047587392645</v>
      </c>
      <c r="AA104" s="164" t="str">
        <f>$C$3</f>
        <v>O-004 4th sizing</v>
      </c>
      <c r="AB104" s="165" t="str">
        <f>$C$4</f>
        <v>outer</v>
      </c>
      <c r="AC104" s="166" t="s">
        <v>7</v>
      </c>
      <c r="AD104" s="167">
        <f>W104</f>
        <v>325.247650495301</v>
      </c>
      <c r="AE104" s="168">
        <f>X104</f>
        <v>7.12047587392645</v>
      </c>
    </row>
    <row r="105" spans="4:24" ht="13.5" customHeight="1">
      <c r="D105" s="520"/>
      <c r="X105" s="516"/>
    </row>
  </sheetData>
  <printOptions horizontalCentered="1" verticalCentered="1"/>
  <pageMargins left="0" right="0" top="0" bottom="0" header="0.5" footer="0.5"/>
  <pageSetup fitToHeight="1" fitToWidth="1" orientation="portrait" scale="52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53"/>
  <sheetViews>
    <sheetView workbookViewId="0" topLeftCell="T100">
      <selection activeCell="AF97" sqref="AF97:AG98"/>
    </sheetView>
  </sheetViews>
  <sheetFormatPr defaultColWidth="9.00390625" defaultRowHeight="12" customHeight="1"/>
  <cols>
    <col min="1" max="3" width="7.00390625" style="1" customWidth="1"/>
    <col min="4" max="4" width="8.00390625" style="1" customWidth="1"/>
    <col min="5" max="5" width="6.00390625" style="1" customWidth="1"/>
    <col min="6" max="23" width="4.25390625" style="1" customWidth="1"/>
    <col min="24" max="25" width="7.125" style="2" customWidth="1"/>
    <col min="26" max="26" width="7.125" style="1" customWidth="1"/>
    <col min="27" max="27" width="7.375" style="1" customWidth="1"/>
    <col min="28" max="28" width="7.125" style="2" customWidth="1"/>
    <col min="29" max="29" width="15.375" style="2" customWidth="1"/>
    <col min="30" max="31" width="8.75390625" style="2" customWidth="1"/>
    <col min="32" max="32" width="10.875" style="2" customWidth="1"/>
    <col min="33" max="33" width="11.00390625" style="2" customWidth="1"/>
    <col min="34" max="34" width="10.875" style="2" customWidth="1"/>
    <col min="35" max="43" width="9.875" style="1" customWidth="1"/>
    <col min="44" max="217" width="2.125" style="1" customWidth="1"/>
    <col min="218" max="16384" width="10.75390625" style="1" customWidth="1"/>
  </cols>
  <sheetData>
    <row r="1" spans="3:34" s="9" customFormat="1" ht="12" customHeight="1">
      <c r="C1" s="11"/>
      <c r="D1" s="11"/>
      <c r="X1" s="10"/>
      <c r="Y1" s="10"/>
      <c r="AB1" s="10"/>
      <c r="AC1" s="10"/>
      <c r="AD1" s="10"/>
      <c r="AE1" s="10"/>
      <c r="AF1" s="10"/>
      <c r="AG1" s="10"/>
      <c r="AH1" s="10"/>
    </row>
    <row r="2" spans="3:34" s="9" customFormat="1" ht="12" customHeight="1">
      <c r="C2" s="11"/>
      <c r="D2" s="11"/>
      <c r="X2" s="10"/>
      <c r="Y2" s="10"/>
      <c r="AB2" s="10"/>
      <c r="AC2" s="10"/>
      <c r="AD2" s="10"/>
      <c r="AE2" s="10"/>
      <c r="AF2" s="10"/>
      <c r="AG2" s="10"/>
      <c r="AH2" s="10"/>
    </row>
    <row r="3" spans="3:46" s="9" customFormat="1" ht="12" customHeight="1">
      <c r="C3" s="13"/>
      <c r="X3" s="10"/>
      <c r="Y3" s="10"/>
      <c r="AB3" s="10"/>
      <c r="AC3" s="10"/>
      <c r="AD3" s="27"/>
      <c r="AE3" s="27"/>
      <c r="AF3" s="27"/>
      <c r="AG3" s="27"/>
      <c r="AH3" s="27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1:45" s="20" customFormat="1" ht="12" customHeight="1">
      <c r="A4" s="6" t="s">
        <v>135</v>
      </c>
      <c r="B4" s="6"/>
      <c r="C4" s="62"/>
      <c r="E4" s="19">
        <v>1</v>
      </c>
      <c r="F4" s="19">
        <f aca="true" t="shared" si="0" ref="F4:W4">E4+1</f>
        <v>2</v>
      </c>
      <c r="G4" s="19">
        <f t="shared" si="0"/>
        <v>3</v>
      </c>
      <c r="H4" s="19">
        <f t="shared" si="0"/>
        <v>4</v>
      </c>
      <c r="I4" s="19">
        <f t="shared" si="0"/>
        <v>5</v>
      </c>
      <c r="J4" s="19">
        <f t="shared" si="0"/>
        <v>6</v>
      </c>
      <c r="K4" s="19">
        <f t="shared" si="0"/>
        <v>7</v>
      </c>
      <c r="L4" s="19">
        <f t="shared" si="0"/>
        <v>8</v>
      </c>
      <c r="M4" s="19">
        <f t="shared" si="0"/>
        <v>9</v>
      </c>
      <c r="N4" s="19">
        <f t="shared" si="0"/>
        <v>10</v>
      </c>
      <c r="O4" s="19">
        <f t="shared" si="0"/>
        <v>11</v>
      </c>
      <c r="P4" s="19">
        <f t="shared" si="0"/>
        <v>12</v>
      </c>
      <c r="Q4" s="19">
        <f t="shared" si="0"/>
        <v>13</v>
      </c>
      <c r="R4" s="19">
        <f t="shared" si="0"/>
        <v>14</v>
      </c>
      <c r="S4" s="19">
        <f t="shared" si="0"/>
        <v>15</v>
      </c>
      <c r="T4" s="19">
        <f t="shared" si="0"/>
        <v>16</v>
      </c>
      <c r="U4" s="19">
        <f t="shared" si="0"/>
        <v>17</v>
      </c>
      <c r="V4" s="19">
        <f t="shared" si="0"/>
        <v>18</v>
      </c>
      <c r="W4" s="19">
        <f t="shared" si="0"/>
        <v>19</v>
      </c>
      <c r="X4" s="19" t="s">
        <v>0</v>
      </c>
      <c r="Y4" s="19" t="s">
        <v>134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</row>
    <row r="6" spans="1:34" s="6" customFormat="1" ht="12" customHeight="1">
      <c r="A6" s="6" t="s">
        <v>1</v>
      </c>
      <c r="C6" s="6" t="s">
        <v>2</v>
      </c>
      <c r="X6" s="8"/>
      <c r="Y6" s="8"/>
      <c r="AB6" s="8"/>
      <c r="AC6" s="8"/>
      <c r="AD6" s="8"/>
      <c r="AE6" s="8"/>
      <c r="AF6" s="8"/>
      <c r="AG6" s="8"/>
      <c r="AH6" s="8"/>
    </row>
    <row r="7" spans="1:34" s="6" customFormat="1" ht="12" customHeight="1">
      <c r="A7" s="6" t="s">
        <v>3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8"/>
      <c r="AC7" s="8"/>
      <c r="AD7" s="8"/>
      <c r="AE7" s="8"/>
      <c r="AF7" s="8"/>
      <c r="AG7" s="8"/>
      <c r="AH7" s="8"/>
    </row>
    <row r="8" spans="2:34" s="6" customFormat="1" ht="12" customHeight="1">
      <c r="B8" s="6" t="s">
        <v>4</v>
      </c>
      <c r="C8" s="6" t="s">
        <v>5</v>
      </c>
      <c r="X8" s="8"/>
      <c r="Y8" s="8"/>
      <c r="AB8" s="8"/>
      <c r="AC8" s="8"/>
      <c r="AD8" s="8"/>
      <c r="AE8" s="8"/>
      <c r="AF8" s="8"/>
      <c r="AG8" s="8"/>
      <c r="AH8" s="8"/>
    </row>
    <row r="9" spans="2:34" s="6" customFormat="1" ht="12" customHeight="1">
      <c r="B9" s="6" t="s">
        <v>6</v>
      </c>
      <c r="C9" s="333" t="str">
        <f>'Table along length'!A5</f>
        <v>I-001 5th sizing</v>
      </c>
      <c r="D9" s="333" t="str">
        <f>'Table along length'!B5</f>
        <v>A</v>
      </c>
      <c r="E9" s="333">
        <f>'Table along length'!C5</f>
        <v>7.354579442227824</v>
      </c>
      <c r="F9" s="333">
        <f>'Table along length'!D5</f>
        <v>7.238759293531324</v>
      </c>
      <c r="G9" s="333">
        <f>'Table along length'!E5</f>
        <v>7.433874099286884</v>
      </c>
      <c r="H9" s="333">
        <f>'Table along length'!F5</f>
        <v>7.433874099286885</v>
      </c>
      <c r="I9" s="333">
        <f>'Table along length'!G5</f>
        <v>0</v>
      </c>
      <c r="J9" s="333">
        <f>'Table along length'!H5</f>
        <v>6.843591292395616</v>
      </c>
      <c r="K9" s="333">
        <f>'Table along length'!I5</f>
        <v>6.912198723898331</v>
      </c>
      <c r="L9" s="333">
        <f>'Table along length'!J5</f>
        <v>7.163551404767362</v>
      </c>
      <c r="M9" s="333">
        <f>'Table along length'!K5</f>
        <v>0</v>
      </c>
      <c r="N9" s="333">
        <f>'Table along length'!L5</f>
        <v>6.776332409915071</v>
      </c>
      <c r="O9" s="333">
        <f>'Table along length'!M5</f>
        <v>6.877723917295345</v>
      </c>
      <c r="P9" s="333">
        <f>'Table along length'!N5</f>
        <v>7.126530467275024</v>
      </c>
      <c r="Q9" s="333">
        <f>'Table along length'!O5</f>
        <v>0</v>
      </c>
      <c r="R9" s="333">
        <f>'Table along length'!P5</f>
        <v>0</v>
      </c>
      <c r="S9" s="333">
        <f>'Table along length'!Q5</f>
        <v>6.282385628326728</v>
      </c>
      <c r="T9" s="333">
        <f>'Table along length'!R5</f>
        <v>6.311137965298475</v>
      </c>
      <c r="U9" s="333">
        <f>'Table along length'!S5</f>
        <v>7.2769585510169765</v>
      </c>
      <c r="V9" s="333">
        <f>'Table along length'!T5</f>
        <v>0</v>
      </c>
      <c r="W9" s="333">
        <f>'Table along length'!U5</f>
        <v>0</v>
      </c>
      <c r="X9" s="333">
        <f>'Table along length'!V5</f>
        <v>7.002422868809373</v>
      </c>
      <c r="Y9" s="333">
        <f>MAX(E9:W9)</f>
        <v>7.433874099286885</v>
      </c>
      <c r="AB9" s="8"/>
      <c r="AC9" s="8"/>
      <c r="AD9" s="8"/>
      <c r="AE9" s="8"/>
      <c r="AF9" s="8"/>
      <c r="AG9" s="8"/>
      <c r="AH9" s="8"/>
    </row>
    <row r="10" spans="3:34" s="6" customFormat="1" ht="12" customHeight="1">
      <c r="C10" s="333" t="str">
        <f>'Table along length'!A6</f>
        <v>I-001 5th sizing</v>
      </c>
      <c r="D10" s="333" t="str">
        <f>'Table along length'!B6</f>
        <v>B</v>
      </c>
      <c r="E10" s="333">
        <f>'Table along length'!C6</f>
        <v>7.089890207803173</v>
      </c>
      <c r="F10" s="333">
        <f>'Table along length'!D6</f>
        <v>7.08989020780317</v>
      </c>
      <c r="G10" s="333">
        <f>'Table along length'!E6</f>
        <v>7.238759293531321</v>
      </c>
      <c r="H10" s="333">
        <f>'Table along length'!F6</f>
        <v>0</v>
      </c>
      <c r="I10" s="333">
        <f>'Table along length'!G6</f>
        <v>0</v>
      </c>
      <c r="J10" s="333">
        <f>'Table along length'!H6</f>
        <v>7.053624784745353</v>
      </c>
      <c r="K10" s="333">
        <f>'Table along length'!I6</f>
        <v>7.200958983904526</v>
      </c>
      <c r="L10" s="333">
        <f>'Table along length'!J6</f>
        <v>7.238759293531321</v>
      </c>
      <c r="M10" s="333">
        <f>'Table along length'!K6</f>
        <v>0</v>
      </c>
      <c r="N10" s="333">
        <f>'Table along length'!L6</f>
        <v>7.089890207803172</v>
      </c>
      <c r="O10" s="333">
        <f>'Table along length'!M6</f>
        <v>6.982195673001099</v>
      </c>
      <c r="P10" s="333">
        <f>'Table along length'!N6</f>
        <v>7.238759293531324</v>
      </c>
      <c r="Q10" s="333">
        <f>'Table along length'!O6</f>
        <v>0</v>
      </c>
      <c r="R10" s="333">
        <f>'Table along length'!P6</f>
        <v>0</v>
      </c>
      <c r="S10" s="333">
        <f>'Table along length'!Q6</f>
        <v>6.982195673001098</v>
      </c>
      <c r="T10" s="333">
        <f>'Table along length'!R6</f>
        <v>7.12653046727502</v>
      </c>
      <c r="U10" s="333">
        <f>'Table along length'!S6</f>
        <v>7.126530467275024</v>
      </c>
      <c r="V10" s="333">
        <f>'Table along length'!T6</f>
        <v>0</v>
      </c>
      <c r="W10" s="333">
        <f>'Table along length'!U6</f>
        <v>0</v>
      </c>
      <c r="X10" s="333">
        <f>'Table along length'!V6</f>
        <v>7.121498712767131</v>
      </c>
      <c r="Y10" s="333">
        <f aca="true" t="shared" si="1" ref="Y10:Y25">MAX(E10:W10)</f>
        <v>7.238759293531324</v>
      </c>
      <c r="AB10" s="8"/>
      <c r="AC10" s="8"/>
      <c r="AD10" s="8"/>
      <c r="AE10" s="8"/>
      <c r="AF10" s="8"/>
      <c r="AG10" s="8"/>
      <c r="AH10" s="8"/>
    </row>
    <row r="11" spans="2:34" s="6" customFormat="1" ht="12" customHeight="1">
      <c r="B11" s="6" t="s">
        <v>8</v>
      </c>
      <c r="C11" s="333" t="str">
        <f>'Table along length'!A7</f>
        <v>I-001 2nd sizing</v>
      </c>
      <c r="D11" s="333" t="str">
        <f>'Table along length'!B7</f>
        <v>A</v>
      </c>
      <c r="E11" s="333">
        <f>'Table along length'!C7</f>
        <v>6.0614665732646875</v>
      </c>
      <c r="F11" s="333">
        <f>'Table along length'!D7</f>
        <v>6.282385628326728</v>
      </c>
      <c r="G11" s="333">
        <f>'Table along length'!E7</f>
        <v>6.00864333515345</v>
      </c>
      <c r="H11" s="333">
        <f>'Table along length'!F7</f>
        <v>6.225659798725583</v>
      </c>
      <c r="I11" s="333">
        <f>'Table along length'!G7</f>
        <v>5.8062469280745965</v>
      </c>
      <c r="J11" s="333">
        <f>'Table along length'!H7</f>
        <v>5.526988558788443</v>
      </c>
      <c r="K11" s="333">
        <f>'Table along length'!I7</f>
        <v>5.5049247322064545</v>
      </c>
      <c r="L11" s="333">
        <f>'Table along length'!J7</f>
        <v>5.461321367990958</v>
      </c>
      <c r="M11" s="333">
        <f>'Table along length'!K7</f>
        <v>5.334559556741651</v>
      </c>
      <c r="N11" s="333">
        <f>'Table along length'!L7</f>
        <v>5.461321367990957</v>
      </c>
      <c r="O11" s="333">
        <f>'Table along length'!M7</f>
        <v>5.461321367990958</v>
      </c>
      <c r="P11" s="333">
        <f>'Table along length'!N7</f>
        <v>5.663177188573784</v>
      </c>
      <c r="Q11" s="333">
        <f>'Table along length'!O7</f>
        <v>5.526988558788443</v>
      </c>
      <c r="R11" s="333">
        <f>'Table along length'!P7</f>
        <v>5.418403321877078</v>
      </c>
      <c r="S11" s="333">
        <f>'Table along length'!Q7</f>
        <v>5.483036363489926</v>
      </c>
      <c r="T11" s="333">
        <f>'Table along length'!R7</f>
        <v>5.640014909683912</v>
      </c>
      <c r="U11" s="333">
        <f>'Table along length'!S7</f>
        <v>5.355276292884337</v>
      </c>
      <c r="V11" s="333">
        <f>'Table along length'!T7</f>
        <v>0</v>
      </c>
      <c r="W11" s="333">
        <f>'Table along length'!U7</f>
        <v>0</v>
      </c>
      <c r="X11" s="333">
        <f>'Table along length'!V7</f>
        <v>5.660102108855998</v>
      </c>
      <c r="Y11" s="333">
        <f t="shared" si="1"/>
        <v>6.282385628326728</v>
      </c>
      <c r="AB11" s="8"/>
      <c r="AC11" s="8"/>
      <c r="AD11" s="8"/>
      <c r="AE11" s="8"/>
      <c r="AF11" s="8"/>
      <c r="AG11" s="8"/>
      <c r="AH11" s="8"/>
    </row>
    <row r="12" spans="3:34" s="6" customFormat="1" ht="12" customHeight="1">
      <c r="C12" s="333" t="str">
        <f>'Table along length'!A8</f>
        <v>I-001 2nd sizing</v>
      </c>
      <c r="D12" s="333" t="str">
        <f>'Table along length'!B8</f>
        <v>B</v>
      </c>
      <c r="E12" s="333">
        <f>'Table along length'!C8</f>
        <v>5.918384744282046</v>
      </c>
      <c r="F12" s="333">
        <f>'Table along length'!D8</f>
        <v>5.538086929388421</v>
      </c>
      <c r="G12" s="333">
        <f>'Table along length'!E8</f>
        <v>5.674829816533813</v>
      </c>
      <c r="H12" s="333">
        <f>'Table along length'!F8</f>
        <v>5.868015512415816</v>
      </c>
      <c r="I12" s="333">
        <f>'Table along length'!G8</f>
        <v>5.7219238399075385</v>
      </c>
      <c r="J12" s="333">
        <f>'Table along length'!H8</f>
        <v>5.651572317285726</v>
      </c>
      <c r="K12" s="333">
        <f>'Table along length'!I8</f>
        <v>5.628504675174354</v>
      </c>
      <c r="L12" s="333">
        <f>'Table along length'!J8</f>
        <v>5.582929738533265</v>
      </c>
      <c r="M12" s="333">
        <f>'Table along length'!K8</f>
        <v>5.560417925071438</v>
      </c>
      <c r="N12" s="333">
        <f>'Table along length'!L8</f>
        <v>5.745765189240489</v>
      </c>
      <c r="O12" s="333">
        <f>'Table along length'!M8</f>
        <v>5.628504675174354</v>
      </c>
      <c r="P12" s="333">
        <f>'Table along length'!N8</f>
        <v>5.674829816533814</v>
      </c>
      <c r="Q12" s="333">
        <f>'Table along length'!O8</f>
        <v>5.79404893032654</v>
      </c>
      <c r="R12" s="333">
        <f>'Table along length'!P8</f>
        <v>5.628504675174354</v>
      </c>
      <c r="S12" s="333">
        <f>'Table along length'!Q8</f>
        <v>5.582929738533266</v>
      </c>
      <c r="T12" s="333">
        <f>'Table along length'!R8</f>
        <v>5.745765189240488</v>
      </c>
      <c r="U12" s="333">
        <f>'Table along length'!S8</f>
        <v>5.472157323086177</v>
      </c>
      <c r="V12" s="333">
        <f>'Table along length'!T8</f>
        <v>0</v>
      </c>
      <c r="W12" s="333">
        <f>'Table along length'!U8</f>
        <v>0</v>
      </c>
      <c r="X12" s="333">
        <f>'Table along length'!V8</f>
        <v>5.671598296229523</v>
      </c>
      <c r="Y12" s="333">
        <f t="shared" si="1"/>
        <v>5.918384744282046</v>
      </c>
      <c r="AB12" s="8"/>
      <c r="AC12" s="8"/>
      <c r="AD12" s="8"/>
      <c r="AE12" s="8"/>
      <c r="AF12" s="8"/>
      <c r="AG12" s="8"/>
      <c r="AH12" s="8"/>
    </row>
    <row r="13" spans="2:34" s="6" customFormat="1" ht="12" customHeight="1">
      <c r="B13" s="6" t="s">
        <v>10</v>
      </c>
      <c r="C13" s="333" t="str">
        <f>'Table along length'!A9</f>
        <v>I-001 3rd sizing</v>
      </c>
      <c r="D13" s="333" t="str">
        <f>'Table along length'!B9</f>
        <v>A</v>
      </c>
      <c r="E13" s="333">
        <f>'Table along length'!C9</f>
        <v>6.645704315266103</v>
      </c>
      <c r="F13" s="333">
        <f>'Table along length'!D9</f>
        <v>6.776332409915069</v>
      </c>
      <c r="G13" s="333">
        <f>'Table along length'!E9</f>
        <v>6.489334801965724</v>
      </c>
      <c r="H13" s="333">
        <f>'Table along length'!F9</f>
        <v>6.613830433658114</v>
      </c>
      <c r="I13" s="333">
        <f>'Table along length'!G9</f>
        <v>6.458939791183684</v>
      </c>
      <c r="J13" s="333">
        <f>'Table along length'!H9</f>
        <v>6.115226808947744</v>
      </c>
      <c r="K13" s="333">
        <f>'Table along length'!I9</f>
        <v>6.1424661265822555</v>
      </c>
      <c r="L13" s="333">
        <f>'Table along length'!J9</f>
        <v>5.905711543544824</v>
      </c>
      <c r="M13" s="333">
        <f>'Table along length'!K9</f>
        <v>6.00864333515345</v>
      </c>
      <c r="N13" s="333">
        <f>'Table along length'!L9</f>
        <v>6.253894083527059</v>
      </c>
      <c r="O13" s="333">
        <f>'Table along length'!M9</f>
        <v>6.061466573264687</v>
      </c>
      <c r="P13" s="333">
        <f>'Table along length'!N9</f>
        <v>6.115226808947747</v>
      </c>
      <c r="Q13" s="333">
        <f>'Table along length'!O9</f>
        <v>6.169949196499851</v>
      </c>
      <c r="R13" s="333">
        <f>'Table along length'!P9</f>
        <v>6.169949196499849</v>
      </c>
      <c r="S13" s="333">
        <f>'Table along length'!Q9</f>
        <v>6.088228015089256</v>
      </c>
      <c r="T13" s="333">
        <f>'Table along length'!R9</f>
        <v>6.282385628326725</v>
      </c>
      <c r="U13" s="333">
        <f>'Table along length'!S9</f>
        <v>6.061466573264688</v>
      </c>
      <c r="V13" s="333">
        <f>'Table along length'!T9</f>
        <v>0</v>
      </c>
      <c r="W13" s="333">
        <f>'Table along length'!U9</f>
        <v>0</v>
      </c>
      <c r="X13" s="333">
        <f>'Table along length'!V9</f>
        <v>6.256397390684518</v>
      </c>
      <c r="Y13" s="333">
        <f t="shared" si="1"/>
        <v>6.776332409915069</v>
      </c>
      <c r="AB13" s="8"/>
      <c r="AC13" s="8"/>
      <c r="AD13" s="8"/>
      <c r="AE13" s="8"/>
      <c r="AF13" s="8"/>
      <c r="AG13" s="8"/>
      <c r="AH13" s="8"/>
    </row>
    <row r="14" spans="3:34" s="6" customFormat="1" ht="12" customHeight="1">
      <c r="C14" s="333" t="str">
        <f>'Table along length'!A10</f>
        <v>I-001 3rd sizing</v>
      </c>
      <c r="D14" s="333" t="str">
        <f>'Table along length'!B10</f>
        <v>B</v>
      </c>
      <c r="E14" s="333">
        <f>'Table along length'!C10</f>
        <v>6.239745001890121</v>
      </c>
      <c r="F14" s="333">
        <f>'Table along length'!D10</f>
        <v>5.969626170639465</v>
      </c>
      <c r="G14" s="333">
        <f>'Table along length'!E10</f>
        <v>6.156176988471951</v>
      </c>
      <c r="H14" s="333">
        <f>'Table along length'!F10</f>
        <v>6.325613052374847</v>
      </c>
      <c r="I14" s="333">
        <f>'Table along length'!G10</f>
        <v>5.843151039905579</v>
      </c>
      <c r="J14" s="333">
        <f>'Table along length'!H10</f>
        <v>6.239745001890121</v>
      </c>
      <c r="K14" s="333">
        <f>'Table along length'!I10</f>
        <v>6.048173883411039</v>
      </c>
      <c r="L14" s="333">
        <f>'Table along length'!J10</f>
        <v>5.79404893032654</v>
      </c>
      <c r="M14" s="333">
        <f>'Table along length'!K10</f>
        <v>5.969626170639465</v>
      </c>
      <c r="N14" s="333">
        <f>'Table along length'!L10</f>
        <v>6.074817821223422</v>
      </c>
      <c r="O14" s="333">
        <f>'Table along length'!M10</f>
        <v>5.995581067033552</v>
      </c>
      <c r="P14" s="333">
        <f>'Table along length'!N10</f>
        <v>6.074817821223422</v>
      </c>
      <c r="Q14" s="333">
        <f>'Table along length'!O10</f>
        <v>6.101697546096091</v>
      </c>
      <c r="R14" s="333">
        <f>'Table along length'!P10</f>
        <v>5.818496394167582</v>
      </c>
      <c r="S14" s="333">
        <f>'Table along length'!Q10</f>
        <v>5.769806047772874</v>
      </c>
      <c r="T14" s="333">
        <f>'Table along length'!R10</f>
        <v>6.10169754609609</v>
      </c>
      <c r="U14" s="333">
        <f>'Table along length'!S10</f>
        <v>5.769806047772872</v>
      </c>
      <c r="V14" s="333">
        <f>'Table along length'!T10</f>
        <v>0</v>
      </c>
      <c r="W14" s="333">
        <f>'Table along length'!U10</f>
        <v>0</v>
      </c>
      <c r="X14" s="333">
        <f>'Table along length'!V10</f>
        <v>6.01721332534912</v>
      </c>
      <c r="Y14" s="333">
        <f t="shared" si="1"/>
        <v>6.325613052374847</v>
      </c>
      <c r="AB14" s="8"/>
      <c r="AC14" s="8"/>
      <c r="AD14" s="8"/>
      <c r="AE14" s="8"/>
      <c r="AF14" s="8"/>
      <c r="AG14" s="8"/>
      <c r="AH14" s="8"/>
    </row>
    <row r="15" spans="2:34" s="6" customFormat="1" ht="12" customHeight="1">
      <c r="B15" s="6" t="s">
        <v>11</v>
      </c>
      <c r="C15" s="333" t="str">
        <f>'Table along length'!A11</f>
        <v>I-001 4th sizing</v>
      </c>
      <c r="D15" s="333" t="str">
        <f>'Table along length'!B11</f>
        <v>A</v>
      </c>
      <c r="E15" s="333">
        <f>'Table along length'!C11</f>
        <v>6.340154691575708</v>
      </c>
      <c r="F15" s="333">
        <f>'Table along length'!D11</f>
        <v>6.3401546915757105</v>
      </c>
      <c r="G15" s="333">
        <f>'Table along length'!E11</f>
        <v>6.282385628326728</v>
      </c>
      <c r="H15" s="333">
        <f>'Table along length'!F11</f>
        <v>6.282385628326727</v>
      </c>
      <c r="I15" s="333">
        <f>'Table along length'!G11</f>
        <v>6.169949196499851</v>
      </c>
      <c r="J15" s="333">
        <f>'Table along length'!H11</f>
        <v>6.061466573264688</v>
      </c>
      <c r="K15" s="333">
        <f>'Table along length'!I11</f>
        <v>6.00864333515345</v>
      </c>
      <c r="L15" s="333">
        <f>'Table along length'!J11</f>
        <v>6.142466126582256</v>
      </c>
      <c r="M15" s="333">
        <f>'Table along length'!K11</f>
        <v>6.0349393672547755</v>
      </c>
      <c r="N15" s="333">
        <f>'Table along length'!L11</f>
        <v>6.034939367254778</v>
      </c>
      <c r="O15" s="333">
        <f>'Table along length'!M11</f>
        <v>6.088228015089258</v>
      </c>
      <c r="P15" s="333">
        <f>'Table along length'!N11</f>
        <v>6.088228015089256</v>
      </c>
      <c r="Q15" s="333">
        <f>'Table along length'!O11</f>
        <v>6.142466126582258</v>
      </c>
      <c r="R15" s="333">
        <f>'Table along length'!P11</f>
        <v>6.115226808947747</v>
      </c>
      <c r="S15" s="333">
        <f>'Table along length'!Q11</f>
        <v>5.781902077223131</v>
      </c>
      <c r="T15" s="333">
        <f>'Table along length'!R11</f>
        <v>6.0349393672547755</v>
      </c>
      <c r="U15" s="333">
        <f>'Table along length'!S11</f>
        <v>6.088228015089256</v>
      </c>
      <c r="V15" s="333">
        <f>'Table along length'!T11</f>
        <v>0</v>
      </c>
      <c r="W15" s="333">
        <f>'Table along length'!U11</f>
        <v>0</v>
      </c>
      <c r="X15" s="333">
        <f>'Table along length'!V11</f>
        <v>6.1198060606523725</v>
      </c>
      <c r="Y15" s="333">
        <f t="shared" si="1"/>
        <v>6.3401546915757105</v>
      </c>
      <c r="AB15" s="8"/>
      <c r="AC15" s="8"/>
      <c r="AD15" s="8"/>
      <c r="AE15" s="8"/>
      <c r="AF15" s="8"/>
      <c r="AG15" s="8"/>
      <c r="AH15" s="8"/>
    </row>
    <row r="16" spans="3:34" s="6" customFormat="1" ht="12" customHeight="1">
      <c r="C16" s="333" t="str">
        <f>'Table along length'!A12</f>
        <v>I-001 4th sizing</v>
      </c>
      <c r="D16" s="333" t="str">
        <f>'Table along length'!B12</f>
        <v>B</v>
      </c>
      <c r="E16" s="333">
        <f>'Table along length'!C12</f>
        <v>6.211638042422148</v>
      </c>
      <c r="F16" s="333">
        <f>'Table along length'!D12</f>
        <v>6.3841835436005425</v>
      </c>
      <c r="G16" s="333">
        <f>'Table along length'!E12</f>
        <v>6.268107479171438</v>
      </c>
      <c r="H16" s="333">
        <f>'Table along length'!F12</f>
        <v>6.413877420547519</v>
      </c>
      <c r="I16" s="333">
        <f>'Table along length'!G12</f>
        <v>6.239745001890121</v>
      </c>
      <c r="J16" s="333">
        <f>'Table along length'!H12</f>
        <v>6.239745001890121</v>
      </c>
      <c r="K16" s="333">
        <f>'Table along length'!I12</f>
        <v>6.183783163308148</v>
      </c>
      <c r="L16" s="333">
        <f>'Table along length'!J12</f>
        <v>6.211638042422148</v>
      </c>
      <c r="M16" s="333">
        <f>'Table along length'!K12</f>
        <v>6.183783163308147</v>
      </c>
      <c r="N16" s="333">
        <f>'Table along length'!L12</f>
        <v>6.128816201856519</v>
      </c>
      <c r="O16" s="333">
        <f>'Table along length'!M12</f>
        <v>6.239745001890122</v>
      </c>
      <c r="P16" s="333">
        <f>'Table along length'!N12</f>
        <v>6.183783163308148</v>
      </c>
      <c r="Q16" s="333">
        <f>'Table along length'!O12</f>
        <v>6.128816201856519</v>
      </c>
      <c r="R16" s="333">
        <f>'Table along length'!P12</f>
        <v>6.15617698847195</v>
      </c>
      <c r="S16" s="333">
        <f>'Table along length'!Q12</f>
        <v>6.211638042422148</v>
      </c>
      <c r="T16" s="333">
        <f>'Table along length'!R12</f>
        <v>6.1016975460960925</v>
      </c>
      <c r="U16" s="333">
        <f>'Table along length'!S12</f>
        <v>5.943895023352227</v>
      </c>
      <c r="V16" s="333">
        <f>'Table along length'!T12</f>
        <v>0</v>
      </c>
      <c r="W16" s="333">
        <f>'Table along length'!U12</f>
        <v>0</v>
      </c>
      <c r="X16" s="333">
        <f>'Table along length'!V12</f>
        <v>6.201827589871415</v>
      </c>
      <c r="Y16" s="333">
        <f t="shared" si="1"/>
        <v>6.413877420547519</v>
      </c>
      <c r="AB16" s="8"/>
      <c r="AC16" s="8"/>
      <c r="AD16" s="8"/>
      <c r="AE16" s="8"/>
      <c r="AF16" s="8"/>
      <c r="AG16" s="8"/>
      <c r="AH16" s="8"/>
    </row>
    <row r="17" spans="3:34" s="6" customFormat="1" ht="12" customHeight="1">
      <c r="C17" s="61" t="s">
        <v>42</v>
      </c>
      <c r="D17" s="8"/>
      <c r="X17" s="8"/>
      <c r="Y17" s="333"/>
      <c r="AB17" s="8"/>
      <c r="AC17" s="8"/>
      <c r="AD17" s="8"/>
      <c r="AE17" s="8"/>
      <c r="AF17" s="8"/>
      <c r="AG17" s="8"/>
      <c r="AH17" s="8"/>
    </row>
    <row r="18" spans="2:34" s="6" customFormat="1" ht="12" customHeight="1">
      <c r="B18" s="6" t="s">
        <v>6</v>
      </c>
      <c r="C18" s="18" t="str">
        <f>'Table along length'!A15</f>
        <v>O-004 1st sizing</v>
      </c>
      <c r="D18" s="18" t="str">
        <f>'Table along length'!B15</f>
        <v>A</v>
      </c>
      <c r="E18" s="18">
        <f>'Table along length'!C15</f>
        <v>10.093355427694426</v>
      </c>
      <c r="F18" s="18">
        <f>'Table along length'!D15</f>
        <v>10.01968130048498</v>
      </c>
      <c r="G18" s="18">
        <f>'Table along length'!E15</f>
        <v>10.244002523630172</v>
      </c>
      <c r="H18" s="18">
        <f>'Table along length'!F15</f>
        <v>10.168121023455129</v>
      </c>
      <c r="I18" s="18">
        <f>'Table along length'!G15</f>
        <v>10.321025098995808</v>
      </c>
      <c r="J18" s="18">
        <f>'Table along length'!H15</f>
        <v>10.244002523630172</v>
      </c>
      <c r="K18" s="18">
        <f>'Table along length'!I15</f>
        <v>10.559202601280324</v>
      </c>
      <c r="L18" s="18">
        <f>'Table along length'!J15</f>
        <v>10.55920260128033</v>
      </c>
      <c r="M18" s="18">
        <f>'Table along length'!K15</f>
        <v>10.244002523630172</v>
      </c>
      <c r="N18" s="18">
        <f>'Table along length'!L15</f>
        <v>10.321025098995808</v>
      </c>
      <c r="O18" s="18">
        <f>'Table along length'!M15</f>
        <v>10.321025098995808</v>
      </c>
      <c r="P18" s="18">
        <f>'Table along length'!N15</f>
        <v>10.244002523630163</v>
      </c>
      <c r="Q18" s="18">
        <f>'Table along length'!O15</f>
        <v>10.321025098995808</v>
      </c>
      <c r="R18" s="18">
        <f>'Table along length'!P15</f>
        <v>10.894415382273351</v>
      </c>
      <c r="S18" s="18">
        <f>'Table along length'!Q15</f>
        <v>10.981570705331542</v>
      </c>
      <c r="T18" s="18">
        <f>'Table along length'!R15</f>
        <v>10.168121023455129</v>
      </c>
      <c r="U18" s="18">
        <f>'Table along length'!S15</f>
        <v>9.94707491424958</v>
      </c>
      <c r="V18" s="18">
        <f>'Table along length'!T15</f>
        <v>10.093355427694432</v>
      </c>
      <c r="W18" s="18">
        <f>'Table along length'!U15</f>
        <v>9.735435022457036</v>
      </c>
      <c r="X18" s="18">
        <f>'Table along length'!V15</f>
        <v>10.288402416850534</v>
      </c>
      <c r="Y18" s="333">
        <f t="shared" si="1"/>
        <v>10.981570705331542</v>
      </c>
      <c r="AB18" s="8"/>
      <c r="AC18" s="8"/>
      <c r="AD18" s="8"/>
      <c r="AE18" s="8"/>
      <c r="AF18" s="8"/>
      <c r="AG18" s="8"/>
      <c r="AH18" s="8"/>
    </row>
    <row r="19" spans="3:34" s="6" customFormat="1" ht="12" customHeight="1">
      <c r="C19" s="18" t="str">
        <f>'Table along length'!A16</f>
        <v>O-004 1st sizing</v>
      </c>
      <c r="D19" s="18" t="str">
        <f>'Table along length'!B16</f>
        <v>B</v>
      </c>
      <c r="E19" s="18">
        <f>'Table along length'!C16</f>
        <v>11.344597836086312</v>
      </c>
      <c r="F19" s="18">
        <f>'Table along length'!D16</f>
        <v>10.981570705331542</v>
      </c>
      <c r="G19" s="18">
        <f>'Table along length'!E16</f>
        <v>10.894415382273364</v>
      </c>
      <c r="H19" s="18">
        <f>'Table along length'!F16</f>
        <v>10.808632583987745</v>
      </c>
      <c r="I19" s="18">
        <f>'Table along length'!G16</f>
        <v>11.251609329233142</v>
      </c>
      <c r="J19" s="18">
        <f>'Table along length'!H16</f>
        <v>11.160132830621484</v>
      </c>
      <c r="K19" s="18">
        <f>'Table along length'!I16</f>
        <v>11.535263345936494</v>
      </c>
      <c r="L19" s="18">
        <f>'Table along length'!J16</f>
        <v>11.251609329233142</v>
      </c>
      <c r="M19" s="18">
        <f>'Table along length'!K16</f>
        <v>10.559202601280338</v>
      </c>
      <c r="N19" s="18">
        <f>'Table along length'!L16</f>
        <v>10.724190141925344</v>
      </c>
      <c r="O19" s="18">
        <f>'Table along length'!M16</f>
        <v>10.724190141925337</v>
      </c>
      <c r="P19" s="18">
        <f>'Table along length'!N16</f>
        <v>10.981570705331542</v>
      </c>
      <c r="Q19" s="18">
        <f>'Table along length'!O16</f>
        <v>10.724190141925337</v>
      </c>
      <c r="R19" s="18">
        <f>'Table along length'!P16</f>
        <v>10.98157070533155</v>
      </c>
      <c r="S19" s="18">
        <f>'Table along length'!Q16</f>
        <v>11.160132830621484</v>
      </c>
      <c r="T19" s="18">
        <f>'Table along length'!R16</f>
        <v>10.98157070533155</v>
      </c>
      <c r="U19" s="18">
        <f>'Table along length'!S16</f>
        <v>10.808632583987738</v>
      </c>
      <c r="V19" s="18">
        <f>'Table along length'!T16</f>
        <v>11.439136151387027</v>
      </c>
      <c r="W19" s="18">
        <f>'Table along length'!U16</f>
        <v>11.439136151387018</v>
      </c>
      <c r="X19" s="18">
        <f>'Table along length'!V16</f>
        <v>11.039544958059867</v>
      </c>
      <c r="Y19" s="333">
        <f t="shared" si="1"/>
        <v>11.535263345936494</v>
      </c>
      <c r="AB19" s="8"/>
      <c r="AC19" s="8"/>
      <c r="AD19" s="8"/>
      <c r="AE19" s="8"/>
      <c r="AF19" s="8"/>
      <c r="AG19" s="8"/>
      <c r="AH19" s="8"/>
    </row>
    <row r="20" spans="2:34" s="6" customFormat="1" ht="12" customHeight="1">
      <c r="B20" s="6" t="s">
        <v>8</v>
      </c>
      <c r="C20" s="18" t="str">
        <f>'Table along length'!A17</f>
        <v>O-004 2nd sizing</v>
      </c>
      <c r="D20" s="18" t="str">
        <f>'Table along length'!B17</f>
        <v>A</v>
      </c>
      <c r="E20" s="18">
        <f>'Table along length'!C17</f>
        <v>10.20592072986203</v>
      </c>
      <c r="F20" s="18">
        <f>'Table along length'!D17</f>
        <v>9.983246095755952</v>
      </c>
      <c r="G20" s="18">
        <f>'Table along length'!E17</f>
        <v>10.20592072986203</v>
      </c>
      <c r="H20" s="18">
        <f>'Table along length'!F17</f>
        <v>10.056383429790792</v>
      </c>
      <c r="I20" s="18">
        <f>'Table along length'!G17</f>
        <v>10.359972363520326</v>
      </c>
      <c r="J20" s="18">
        <f>'Table along length'!H17</f>
        <v>10.363883262864807</v>
      </c>
      <c r="K20" s="18">
        <f>'Table along length'!I17</f>
        <v>10.130600281671164</v>
      </c>
      <c r="L20" s="18">
        <f>'Table along length'!J17</f>
        <v>10.056383429790792</v>
      </c>
      <c r="M20" s="18">
        <f>'Table along length'!K17</f>
        <v>10.5187458863329</v>
      </c>
      <c r="N20" s="18">
        <f>'Table along length'!L17</f>
        <v>10.359972363520326</v>
      </c>
      <c r="O20" s="18">
        <f>'Table along length'!M17</f>
        <v>10.205920729862036</v>
      </c>
      <c r="P20" s="18">
        <f>'Table along length'!N17</f>
        <v>10.20592072986203</v>
      </c>
      <c r="Q20" s="18">
        <f>'Table along length'!O17</f>
        <v>10.682461775614344</v>
      </c>
      <c r="R20" s="18">
        <f>'Table along length'!P17</f>
        <v>11.205684393195458</v>
      </c>
      <c r="S20" s="18">
        <f>'Table along length'!Q17</f>
        <v>11.39167085615305</v>
      </c>
      <c r="T20" s="18">
        <f>'Table along length'!R17</f>
        <v>10.438755423318955</v>
      </c>
      <c r="U20" s="18">
        <f>'Table along length'!S17</f>
        <v>9.840117119472707</v>
      </c>
      <c r="V20" s="18">
        <f>'Table along length'!T17</f>
        <v>9.983246095755952</v>
      </c>
      <c r="W20" s="18">
        <f>'Table along length'!U17</f>
        <v>9.983246095755952</v>
      </c>
      <c r="X20" s="18">
        <f>'Table along length'!V17</f>
        <v>10.325160620629559</v>
      </c>
      <c r="Y20" s="333">
        <f t="shared" si="1"/>
        <v>11.39167085615305</v>
      </c>
      <c r="AB20" s="8"/>
      <c r="AC20" s="8"/>
      <c r="AD20" s="8"/>
      <c r="AE20" s="8"/>
      <c r="AF20" s="8"/>
      <c r="AG20" s="8"/>
      <c r="AH20" s="8"/>
    </row>
    <row r="21" spans="3:34" s="6" customFormat="1" ht="12" customHeight="1">
      <c r="C21" s="18" t="str">
        <f>'Table along length'!A18</f>
        <v>O-004 2nd sizing</v>
      </c>
      <c r="D21" s="18" t="str">
        <f>'Table along length'!B18</f>
        <v>B</v>
      </c>
      <c r="E21" s="18">
        <f>'Table along length'!C18</f>
        <v>10.599971723293</v>
      </c>
      <c r="F21" s="18">
        <f>'Table along length'!D18</f>
        <v>10.438755423318955</v>
      </c>
      <c r="G21" s="18">
        <f>'Table along length'!E18</f>
        <v>10.28236957428047</v>
      </c>
      <c r="H21" s="18">
        <f>'Table along length'!F18</f>
        <v>10.5187458863329</v>
      </c>
      <c r="I21" s="18">
        <f>'Table along length'!G18</f>
        <v>10.359972363520326</v>
      </c>
      <c r="J21" s="18">
        <f>'Table along length'!H18</f>
        <v>10.359972363520326</v>
      </c>
      <c r="K21" s="18">
        <f>'Table along length'!I18</f>
        <v>10.682461775614335</v>
      </c>
      <c r="L21" s="18">
        <f>'Table along length'!J18</f>
        <v>10.599971723293</v>
      </c>
      <c r="M21" s="18">
        <f>'Table along length'!K18</f>
        <v>13.262766552332788</v>
      </c>
      <c r="N21" s="18">
        <f>'Table along length'!L18</f>
        <v>10.851354451908643</v>
      </c>
      <c r="O21" s="18">
        <f>'Table along length'!M18</f>
        <v>10.359972363520326</v>
      </c>
      <c r="P21" s="18">
        <f>'Table along length'!N18</f>
        <v>10.937819427621058</v>
      </c>
      <c r="Q21" s="18">
        <f>'Table along length'!O18</f>
        <v>10.682461775614344</v>
      </c>
      <c r="R21" s="18">
        <f>'Table along length'!P18</f>
        <v>11.114950106610873</v>
      </c>
      <c r="S21" s="18">
        <f>'Table along length'!Q18</f>
        <v>11.205684393195458</v>
      </c>
      <c r="T21" s="18">
        <f>'Table along length'!R18</f>
        <v>10.5187458863329</v>
      </c>
      <c r="U21" s="18">
        <f>'Table along length'!S18</f>
        <v>10.682461775614335</v>
      </c>
      <c r="V21" s="18">
        <f>'Table along length'!T18</f>
        <v>10.93781942762105</v>
      </c>
      <c r="W21" s="18">
        <f>'Table along length'!U18</f>
        <v>10.359972363520326</v>
      </c>
      <c r="X21" s="18">
        <f>'Table along length'!V18</f>
        <v>10.776643650371865</v>
      </c>
      <c r="Y21" s="333">
        <f t="shared" si="1"/>
        <v>13.262766552332788</v>
      </c>
      <c r="AB21" s="8"/>
      <c r="AC21" s="8"/>
      <c r="AD21" s="8"/>
      <c r="AE21" s="8"/>
      <c r="AF21" s="8"/>
      <c r="AG21" s="8"/>
      <c r="AH21" s="8"/>
    </row>
    <row r="22" spans="2:34" s="6" customFormat="1" ht="12" customHeight="1">
      <c r="B22" s="6" t="s">
        <v>10</v>
      </c>
      <c r="C22" s="18" t="str">
        <f>'Table along length'!A19</f>
        <v>O-004 3rd sizing</v>
      </c>
      <c r="D22" s="18" t="str">
        <f>'Table along length'!B19</f>
        <v>A</v>
      </c>
      <c r="E22" s="18">
        <f>'Table along length'!C19</f>
        <v>9.804973844046017</v>
      </c>
      <c r="F22" s="18">
        <f>'Table along length'!D19</f>
        <v>9.735435022457043</v>
      </c>
      <c r="G22" s="18">
        <f>'Table along length'!E19</f>
        <v>10.244002523630172</v>
      </c>
      <c r="H22" s="18">
        <f>'Table along length'!F19</f>
        <v>-49.02486922023012</v>
      </c>
      <c r="I22" s="18">
        <f>'Table along length'!G19</f>
        <v>9.599275092073029</v>
      </c>
      <c r="J22" s="18">
        <f>'Table along length'!H19</f>
        <v>9.532613459489191</v>
      </c>
      <c r="K22" s="18">
        <f>'Table along length'!I19</f>
        <v>9.40202971346879</v>
      </c>
      <c r="L22" s="18">
        <f>'Table along length'!J19</f>
        <v>10.168121023455136</v>
      </c>
      <c r="M22" s="18">
        <f>'Table along length'!K19</f>
        <v>10.093355427694432</v>
      </c>
      <c r="N22" s="18">
        <f>'Table along length'!L19</f>
        <v>9.804973844046017</v>
      </c>
      <c r="O22" s="18">
        <f>'Table along length'!M19</f>
        <v>9.875513224219016</v>
      </c>
      <c r="P22" s="18">
        <f>'Table along length'!N19</f>
        <v>9.875513224219016</v>
      </c>
      <c r="Q22" s="18">
        <f>'Table along length'!O19</f>
        <v>10.168121023455136</v>
      </c>
      <c r="R22" s="18">
        <f>'Table along length'!P19</f>
        <v>10.724190141925337</v>
      </c>
      <c r="S22" s="18">
        <f>'Table along length'!Q19</f>
        <v>10.98157070533155</v>
      </c>
      <c r="T22" s="18">
        <f>'Table along length'!R19</f>
        <v>10.244002523630172</v>
      </c>
      <c r="U22" s="18">
        <f>'Table along length'!S19</f>
        <v>9.666875620890442</v>
      </c>
      <c r="V22" s="18">
        <f>'Table along length'!T19</f>
        <v>9.40202971346879</v>
      </c>
      <c r="W22" s="18">
        <f>'Table along length'!U19</f>
        <v>9.599275092073029</v>
      </c>
      <c r="X22" s="18">
        <f>'Table along length'!V19</f>
        <v>9.940103956642908</v>
      </c>
      <c r="Y22" s="333">
        <f t="shared" si="1"/>
        <v>10.98157070533155</v>
      </c>
      <c r="AB22" s="8"/>
      <c r="AC22" s="8"/>
      <c r="AD22" s="8"/>
      <c r="AE22" s="8"/>
      <c r="AF22" s="8"/>
      <c r="AG22" s="8"/>
      <c r="AH22" s="8"/>
    </row>
    <row r="23" spans="3:34" s="6" customFormat="1" ht="12" customHeight="1">
      <c r="C23" s="18" t="str">
        <f>'Table along length'!A20</f>
        <v>O-004 3rd sizing</v>
      </c>
      <c r="D23" s="18" t="str">
        <f>'Table along length'!B20</f>
        <v>B</v>
      </c>
      <c r="E23" s="18">
        <f>'Table along length'!C20</f>
        <v>10.130600281671164</v>
      </c>
      <c r="F23" s="18">
        <f>'Table along length'!D20</f>
        <v>9.306415851975887</v>
      </c>
      <c r="G23" s="18">
        <f>'Table along length'!E20</f>
        <v>10.282369574280462</v>
      </c>
      <c r="H23" s="18">
        <f>'Table along length'!F20</f>
        <v>9.98324609575594</v>
      </c>
      <c r="I23" s="18">
        <f>'Table along length'!G20</f>
        <v>9.983246095755952</v>
      </c>
      <c r="J23" s="18">
        <f>'Table along length'!H20</f>
        <v>10.28236957428047</v>
      </c>
      <c r="K23" s="18">
        <f>'Table along length'!I20</f>
        <v>10.20592072986203</v>
      </c>
      <c r="L23" s="18">
        <f>'Table along length'!J20</f>
        <v>9.840117119472707</v>
      </c>
      <c r="M23" s="18">
        <f>'Table along length'!K20</f>
        <v>10.28236957428047</v>
      </c>
      <c r="N23" s="18">
        <f>'Table along length'!L20</f>
        <v>9.983246095755952</v>
      </c>
      <c r="O23" s="18">
        <f>'Table along length'!M20</f>
        <v>10.130600281671164</v>
      </c>
      <c r="P23" s="18">
        <f>'Table along length'!N20</f>
        <v>10.359972363520319</v>
      </c>
      <c r="Q23" s="18">
        <f>'Table along length'!O20</f>
        <v>12.949965454400402</v>
      </c>
      <c r="R23" s="18">
        <f>'Table along length'!P20</f>
        <v>10.438755423318955</v>
      </c>
      <c r="S23" s="18">
        <f>'Table along length'!Q20</f>
        <v>10.056383429790792</v>
      </c>
      <c r="T23" s="18">
        <f>'Table along length'!R20</f>
        <v>10.28236957428047</v>
      </c>
      <c r="U23" s="18">
        <f>'Table along length'!S20</f>
        <v>10.205920729862036</v>
      </c>
      <c r="V23" s="18">
        <f>'Table along length'!T20</f>
        <v>10.205920729862036</v>
      </c>
      <c r="W23" s="18">
        <f>'Table along length'!U20</f>
        <v>10.130600281671164</v>
      </c>
      <c r="X23" s="18">
        <f>'Table along length'!V20</f>
        <v>10.26528364534044</v>
      </c>
      <c r="Y23" s="333">
        <f t="shared" si="1"/>
        <v>12.949965454400402</v>
      </c>
      <c r="AB23" s="8"/>
      <c r="AC23" s="8"/>
      <c r="AD23" s="8"/>
      <c r="AE23" s="8"/>
      <c r="AF23" s="8"/>
      <c r="AG23" s="8"/>
      <c r="AH23" s="8"/>
    </row>
    <row r="24" spans="2:34" s="6" customFormat="1" ht="12" customHeight="1">
      <c r="B24" s="6" t="s">
        <v>11</v>
      </c>
      <c r="C24" s="18" t="str">
        <f>'Table along length'!A21</f>
        <v>O-004 4th sizing</v>
      </c>
      <c r="D24" s="18" t="str">
        <f>'Table along length'!B21</f>
        <v>A</v>
      </c>
      <c r="E24" s="18">
        <f>'Table along length'!C21</f>
        <v>11.0701317594068</v>
      </c>
      <c r="F24" s="18">
        <f>'Table along length'!D21</f>
        <v>11.160132830621484</v>
      </c>
      <c r="G24" s="18">
        <f>'Table along length'!E21</f>
        <v>11.344597836086312</v>
      </c>
      <c r="H24" s="18">
        <f>'Table along length'!F21</f>
        <v>10.98157070533155</v>
      </c>
      <c r="I24" s="18">
        <f>'Table along length'!G21</f>
        <v>0</v>
      </c>
      <c r="J24" s="18">
        <f>'Table along length'!H21</f>
        <v>11.160132830621484</v>
      </c>
      <c r="K24" s="18">
        <f>'Table along length'!I21</f>
        <v>11.439136151387018</v>
      </c>
      <c r="L24" s="18">
        <f>'Table along length'!J21</f>
        <v>11.732447334755921</v>
      </c>
      <c r="M24" s="18">
        <f>'Table along length'!K21</f>
        <v>11.160132830621501</v>
      </c>
      <c r="N24" s="18">
        <f>'Table along length'!L21</f>
        <v>0</v>
      </c>
      <c r="O24" s="18">
        <f>'Table along length'!M21</f>
        <v>10.894415382273356</v>
      </c>
      <c r="P24" s="18">
        <f>'Table along length'!N21</f>
        <v>11.160132830621484</v>
      </c>
      <c r="Q24" s="18">
        <f>'Table along length'!O21</f>
        <v>11.936489897099504</v>
      </c>
      <c r="R24" s="18">
        <f>'Table along length'!P21</f>
        <v>12.710151279318925</v>
      </c>
      <c r="S24" s="18">
        <f>'Table along length'!Q21</f>
        <v>0</v>
      </c>
      <c r="T24" s="18">
        <f>'Table along length'!R21</f>
        <v>11.633019814969867</v>
      </c>
      <c r="U24" s="18">
        <f>'Table along length'!S21</f>
        <v>11.160132830621484</v>
      </c>
      <c r="V24" s="18">
        <f>'Table along length'!T21</f>
        <v>11.070131759406808</v>
      </c>
      <c r="W24" s="18">
        <f>'Table along length'!U21</f>
        <v>11.344597836086312</v>
      </c>
      <c r="X24" s="18">
        <f>'Table along length'!V21</f>
        <v>11.372334619326866</v>
      </c>
      <c r="Y24" s="333">
        <f t="shared" si="1"/>
        <v>12.710151279318925</v>
      </c>
      <c r="AB24" s="8"/>
      <c r="AC24" s="8"/>
      <c r="AD24" s="8"/>
      <c r="AE24" s="8"/>
      <c r="AF24" s="8"/>
      <c r="AG24" s="8"/>
      <c r="AH24" s="8"/>
    </row>
    <row r="25" spans="3:34" s="6" customFormat="1" ht="12" customHeight="1">
      <c r="C25" s="18" t="str">
        <f>'Table along length'!A22</f>
        <v>O-004 4th sizing</v>
      </c>
      <c r="D25" s="18" t="str">
        <f>'Table along length'!B22</f>
        <v>B</v>
      </c>
      <c r="E25" s="18">
        <f>'Table along length'!C22</f>
        <v>10.168121023455129</v>
      </c>
      <c r="F25" s="18">
        <f>'Table along length'!D22</f>
        <v>10.321025098995808</v>
      </c>
      <c r="G25" s="18">
        <f>'Table along length'!E22</f>
        <v>10.321025098995808</v>
      </c>
      <c r="H25" s="18">
        <f>'Table along length'!F22</f>
        <v>10.478598001270553</v>
      </c>
      <c r="I25" s="18">
        <f>'Table along length'!G22</f>
        <v>0</v>
      </c>
      <c r="J25" s="18">
        <f>'Table along length'!H22</f>
        <v>10.478598001270553</v>
      </c>
      <c r="K25" s="18">
        <f>'Table along length'!I22</f>
        <v>10.559202601280324</v>
      </c>
      <c r="L25" s="18">
        <f>'Table along length'!J22</f>
        <v>10.55920260128033</v>
      </c>
      <c r="M25" s="18">
        <f>'Table along length'!K22</f>
        <v>10.321025098995808</v>
      </c>
      <c r="N25" s="18">
        <f>'Table along length'!L22</f>
        <v>0</v>
      </c>
      <c r="O25" s="18">
        <f>'Table along length'!M22</f>
        <v>9.947074914249585</v>
      </c>
      <c r="P25" s="18">
        <f>'Table along length'!N22</f>
        <v>10.321025098995808</v>
      </c>
      <c r="Q25" s="18">
        <f>'Table along length'!O22</f>
        <v>10.168121023455129</v>
      </c>
      <c r="R25" s="18">
        <f>'Table along length'!P22</f>
        <v>10.321025098995808</v>
      </c>
      <c r="S25" s="18">
        <f>'Table along length'!Q22</f>
        <v>0</v>
      </c>
      <c r="T25" s="18">
        <f>'Table along length'!R22</f>
        <v>10.808632583987738</v>
      </c>
      <c r="U25" s="18">
        <f>'Table along length'!S22</f>
        <v>10.72419014192533</v>
      </c>
      <c r="V25" s="18">
        <f>'Table along length'!T22</f>
        <v>10.01968130048498</v>
      </c>
      <c r="W25" s="18">
        <f>'Table along length'!U22</f>
        <v>10.01968130048498</v>
      </c>
      <c r="X25" s="18">
        <f>'Table along length'!V22</f>
        <v>10.346014311757731</v>
      </c>
      <c r="Y25" s="333">
        <f t="shared" si="1"/>
        <v>10.808632583987738</v>
      </c>
      <c r="AB25" s="8"/>
      <c r="AC25" s="8"/>
      <c r="AD25" s="8"/>
      <c r="AE25" s="8"/>
      <c r="AF25" s="8"/>
      <c r="AG25" s="8"/>
      <c r="AH25" s="8"/>
    </row>
    <row r="26" spans="3:34" s="6" customFormat="1" ht="12" customHeight="1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333"/>
      <c r="AB26" s="8"/>
      <c r="AC26" s="8"/>
      <c r="AD26" s="8"/>
      <c r="AE26" s="8"/>
      <c r="AF26" s="8"/>
      <c r="AG26" s="8"/>
      <c r="AH26" s="8"/>
    </row>
    <row r="27" spans="1:34" s="6" customFormat="1" ht="12" customHeight="1">
      <c r="A27" s="6" t="s">
        <v>12</v>
      </c>
      <c r="C27" s="8"/>
      <c r="X27" s="8"/>
      <c r="Y27" s="8"/>
      <c r="AB27" s="8"/>
      <c r="AC27" s="8"/>
      <c r="AD27" s="8"/>
      <c r="AE27" s="8"/>
      <c r="AF27" s="8"/>
      <c r="AG27" s="8"/>
      <c r="AH27" s="8"/>
    </row>
    <row r="28" spans="2:34" s="6" customFormat="1" ht="12" customHeight="1">
      <c r="B28" s="6" t="s">
        <v>13</v>
      </c>
      <c r="C28" s="8"/>
      <c r="E28" s="19">
        <v>1</v>
      </c>
      <c r="F28" s="19">
        <f aca="true" t="shared" si="2" ref="F28:W28">E28+1</f>
        <v>2</v>
      </c>
      <c r="G28" s="19">
        <f t="shared" si="2"/>
        <v>3</v>
      </c>
      <c r="H28" s="19">
        <f t="shared" si="2"/>
        <v>4</v>
      </c>
      <c r="I28" s="19">
        <f t="shared" si="2"/>
        <v>5</v>
      </c>
      <c r="J28" s="19">
        <f t="shared" si="2"/>
        <v>6</v>
      </c>
      <c r="K28" s="19">
        <f t="shared" si="2"/>
        <v>7</v>
      </c>
      <c r="L28" s="19">
        <f t="shared" si="2"/>
        <v>8</v>
      </c>
      <c r="M28" s="19">
        <f t="shared" si="2"/>
        <v>9</v>
      </c>
      <c r="N28" s="19">
        <f t="shared" si="2"/>
        <v>10</v>
      </c>
      <c r="O28" s="19">
        <f t="shared" si="2"/>
        <v>11</v>
      </c>
      <c r="P28" s="19">
        <f t="shared" si="2"/>
        <v>12</v>
      </c>
      <c r="Q28" s="19">
        <f t="shared" si="2"/>
        <v>13</v>
      </c>
      <c r="R28" s="19">
        <f t="shared" si="2"/>
        <v>14</v>
      </c>
      <c r="S28" s="19">
        <f t="shared" si="2"/>
        <v>15</v>
      </c>
      <c r="T28" s="19">
        <f t="shared" si="2"/>
        <v>16</v>
      </c>
      <c r="U28" s="19">
        <f t="shared" si="2"/>
        <v>17</v>
      </c>
      <c r="V28" s="19">
        <f t="shared" si="2"/>
        <v>18</v>
      </c>
      <c r="W28" s="19">
        <f t="shared" si="2"/>
        <v>19</v>
      </c>
      <c r="X28" s="19" t="s">
        <v>0</v>
      </c>
      <c r="Y28" s="19" t="s">
        <v>134</v>
      </c>
      <c r="AB28" s="8"/>
      <c r="AC28" s="8"/>
      <c r="AD28" s="8"/>
      <c r="AE28" s="8"/>
      <c r="AF28" s="8"/>
      <c r="AG28" s="8"/>
      <c r="AH28" s="8"/>
    </row>
    <row r="29" spans="3:34" s="6" customFormat="1" ht="12" customHeight="1">
      <c r="C29" s="6" t="s">
        <v>5</v>
      </c>
      <c r="X29" s="8"/>
      <c r="Y29" s="8"/>
      <c r="AB29" s="8"/>
      <c r="AC29" s="8"/>
      <c r="AD29" s="8"/>
      <c r="AE29" s="8"/>
      <c r="AF29" s="8"/>
      <c r="AG29" s="8"/>
      <c r="AH29" s="8"/>
    </row>
    <row r="30" spans="2:34" s="6" customFormat="1" ht="12" customHeight="1">
      <c r="B30" s="6" t="s">
        <v>6</v>
      </c>
      <c r="C30" s="225" t="str">
        <f>'Table along length'!A48</f>
        <v>I-001 5th sizing</v>
      </c>
      <c r="D30" s="225" t="str">
        <f>'Table along length'!B48</f>
        <v>A</v>
      </c>
      <c r="E30" s="225">
        <f>'Table along length'!C48</f>
        <v>-99.82219964439932</v>
      </c>
      <c r="F30" s="225">
        <f>'Table along length'!D48</f>
        <v>-97.79019558039118</v>
      </c>
      <c r="G30" s="225">
        <f>'Table along length'!E48</f>
        <v>-68.32613665227332</v>
      </c>
      <c r="H30" s="225">
        <f>'Table along length'!F48</f>
        <v>-129.28625857251717</v>
      </c>
      <c r="I30" s="225">
        <f>'Table along length'!G48</f>
        <v>0</v>
      </c>
      <c r="J30" s="225">
        <f>'Table along length'!H48</f>
        <v>-94.742189484379</v>
      </c>
      <c r="K30" s="225">
        <f>'Table along length'!I48</f>
        <v>-107.95021590043181</v>
      </c>
      <c r="L30" s="225">
        <f>'Table along length'!J48</f>
        <v>-108.45821691643387</v>
      </c>
      <c r="M30" s="225">
        <f>'Table along length'!K48</f>
        <v>0</v>
      </c>
      <c r="N30" s="225">
        <f>'Table along length'!L48</f>
        <v>-104.90220980441961</v>
      </c>
      <c r="O30" s="225">
        <f>'Table along length'!M48</f>
        <v>-93.21818643637286</v>
      </c>
      <c r="P30" s="225">
        <f>'Table along length'!N48</f>
        <v>-101.3462026924054</v>
      </c>
      <c r="Q30" s="225">
        <f>'Table along length'!O48</f>
        <v>0</v>
      </c>
      <c r="R30" s="225">
        <f>'Table along length'!P48</f>
        <v>0</v>
      </c>
      <c r="S30" s="225">
        <f>'Table along length'!Q48</f>
        <v>-97.79019558039118</v>
      </c>
      <c r="T30" s="225">
        <f>'Table along length'!R48</f>
        <v>-134.36626873253746</v>
      </c>
      <c r="U30" s="225">
        <f>'Table along length'!S48</f>
        <v>-106.93421386842775</v>
      </c>
      <c r="V30" s="225">
        <f>'Table along length'!T48</f>
        <v>0</v>
      </c>
      <c r="W30" s="225">
        <f>'Table along length'!U48</f>
        <v>0</v>
      </c>
      <c r="X30" s="225">
        <f>'Table along length'!V48</f>
        <v>-103.45636075887536</v>
      </c>
      <c r="Y30" s="225">
        <f>MAX(E30:W30)</f>
        <v>0</v>
      </c>
      <c r="AB30" s="8"/>
      <c r="AC30" s="8"/>
      <c r="AD30" s="8"/>
      <c r="AE30" s="8"/>
      <c r="AF30" s="8"/>
      <c r="AG30" s="8"/>
      <c r="AH30" s="8"/>
    </row>
    <row r="31" spans="3:34" s="6" customFormat="1" ht="12" customHeight="1">
      <c r="C31" s="225" t="str">
        <f>'Table along length'!A49</f>
        <v>I-001 5th sizing</v>
      </c>
      <c r="D31" s="225" t="str">
        <f>'Table along length'!B49</f>
        <v>B</v>
      </c>
      <c r="E31" s="225">
        <f>'Table along length'!C49</f>
        <v>-97.28219456438913</v>
      </c>
      <c r="F31" s="225">
        <f>'Table along length'!D49</f>
        <v>-89.1541783083566</v>
      </c>
      <c r="G31" s="225">
        <f>'Table along length'!E49</f>
        <v>-118.11023622047243</v>
      </c>
      <c r="H31" s="225">
        <f>'Table along length'!F49</f>
        <v>0</v>
      </c>
      <c r="I31" s="225">
        <f>'Table along length'!G49</f>
        <v>0</v>
      </c>
      <c r="J31" s="225">
        <f>'Table along length'!H49</f>
        <v>-91.6941833883668</v>
      </c>
      <c r="K31" s="225">
        <f>'Table along length'!I49</f>
        <v>-101.85420370840743</v>
      </c>
      <c r="L31" s="225">
        <f>'Table along length'!J49</f>
        <v>-104.3942087884176</v>
      </c>
      <c r="M31" s="225">
        <f>'Table along length'!K49</f>
        <v>0</v>
      </c>
      <c r="N31" s="225">
        <f>'Table along length'!L49</f>
        <v>-101.85420370840743</v>
      </c>
      <c r="O31" s="225">
        <f>'Table along length'!M49</f>
        <v>-96.26619253238508</v>
      </c>
      <c r="P31" s="225">
        <f>'Table along length'!N49</f>
        <v>-105.91821183642368</v>
      </c>
      <c r="Q31" s="225">
        <f>'Table along length'!O49</f>
        <v>0</v>
      </c>
      <c r="R31" s="225">
        <f>'Table along length'!P49</f>
        <v>0</v>
      </c>
      <c r="S31" s="225">
        <f>'Table along length'!Q49</f>
        <v>-62.230124460248916</v>
      </c>
      <c r="T31" s="225">
        <f>'Table along length'!R49</f>
        <v>-113.03022606045215</v>
      </c>
      <c r="U31" s="225">
        <f>'Table along length'!S49</f>
        <v>-105.41021082042167</v>
      </c>
      <c r="V31" s="225">
        <f>'Table along length'!T49</f>
        <v>0</v>
      </c>
      <c r="W31" s="225">
        <f>'Table along length'!U49</f>
        <v>0</v>
      </c>
      <c r="X31" s="225">
        <f>'Table along length'!V49</f>
        <v>-98.93319786639574</v>
      </c>
      <c r="Y31" s="225">
        <f aca="true" t="shared" si="3" ref="Y31:Y46">MAX(E31:W31)</f>
        <v>0</v>
      </c>
      <c r="AB31" s="8"/>
      <c r="AC31" s="8"/>
      <c r="AD31" s="8"/>
      <c r="AE31" s="8"/>
      <c r="AF31" s="8"/>
      <c r="AG31" s="8"/>
      <c r="AH31" s="8"/>
    </row>
    <row r="32" spans="2:34" s="6" customFormat="1" ht="12" customHeight="1">
      <c r="B32" s="6" t="s">
        <v>8</v>
      </c>
      <c r="C32" s="225" t="str">
        <f>'Table along length'!A50</f>
        <v>I-001 2nd sizing</v>
      </c>
      <c r="D32" s="225" t="str">
        <f>'Table along length'!B50</f>
        <v>A</v>
      </c>
      <c r="E32" s="225">
        <f>'Table along length'!C50</f>
        <v>-65.27813055626115</v>
      </c>
      <c r="F32" s="225">
        <f>'Table along length'!D50</f>
        <v>-79.50215900431803</v>
      </c>
      <c r="G32" s="225">
        <f>'Table along length'!E50</f>
        <v>-37.84607569215141</v>
      </c>
      <c r="H32" s="225">
        <f>'Table along length'!F50</f>
        <v>-88.13817627635257</v>
      </c>
      <c r="I32" s="225">
        <f>'Table along length'!G50</f>
        <v>-78.48615697231398</v>
      </c>
      <c r="J32" s="225">
        <f>'Table along length'!H50</f>
        <v>-60.70612141224284</v>
      </c>
      <c r="K32" s="225">
        <f>'Table along length'!I50</f>
        <v>-62.73812547625097</v>
      </c>
      <c r="L32" s="225">
        <f>'Table along length'!J50</f>
        <v>-53.08610617221237</v>
      </c>
      <c r="M32" s="225">
        <f>'Table along length'!K50</f>
        <v>-55.1181102362205</v>
      </c>
      <c r="N32" s="225">
        <f>'Table along length'!L50</f>
        <v>-64.77012954025912</v>
      </c>
      <c r="O32" s="225">
        <f>'Table along length'!M50</f>
        <v>-55.62611125222253</v>
      </c>
      <c r="P32" s="225">
        <f>'Table along length'!N50</f>
        <v>-61.722123444246904</v>
      </c>
      <c r="Q32" s="225">
        <f>'Table along length'!O50</f>
        <v>-61.722123444246904</v>
      </c>
      <c r="R32" s="225">
        <f>'Table along length'!P50</f>
        <v>-65.27813055626115</v>
      </c>
      <c r="S32" s="225">
        <f>'Table along length'!Q50</f>
        <v>-32.25806451612904</v>
      </c>
      <c r="T32" s="225">
        <f>'Table along length'!R50</f>
        <v>-60.19812039624081</v>
      </c>
      <c r="U32" s="225">
        <f>'Table along length'!S50</f>
        <v>-54.61010922021847</v>
      </c>
      <c r="V32" s="225">
        <f>'Table along length'!T50</f>
        <v>0</v>
      </c>
      <c r="W32" s="225">
        <f>'Table along length'!U50</f>
        <v>0</v>
      </c>
      <c r="X32" s="225">
        <f>'Table along length'!V50</f>
        <v>-61.004945539302874</v>
      </c>
      <c r="Y32" s="225">
        <f t="shared" si="3"/>
        <v>0</v>
      </c>
      <c r="AB32" s="8"/>
      <c r="AC32" s="8"/>
      <c r="AD32" s="8"/>
      <c r="AE32" s="8"/>
      <c r="AF32" s="8"/>
      <c r="AG32" s="8"/>
      <c r="AH32" s="8"/>
    </row>
    <row r="33" spans="3:34" s="6" customFormat="1" ht="12" customHeight="1">
      <c r="C33" s="225" t="str">
        <f>'Table along length'!A51</f>
        <v>I-001 2nd sizing</v>
      </c>
      <c r="D33" s="225" t="str">
        <f>'Table along length'!B51</f>
        <v>B</v>
      </c>
      <c r="E33" s="225">
        <f>'Table along length'!C51</f>
        <v>-67.56413512827027</v>
      </c>
      <c r="F33" s="225">
        <f>'Table along length'!D51</f>
        <v>-67.05613411226823</v>
      </c>
      <c r="G33" s="225">
        <f>'Table along length'!E51</f>
        <v>-69.3421386842774</v>
      </c>
      <c r="H33" s="225">
        <f>'Table along length'!F51</f>
        <v>-71.62814325628653</v>
      </c>
      <c r="I33" s="225">
        <f>'Table along length'!G51</f>
        <v>-18.79603759207519</v>
      </c>
      <c r="J33" s="225">
        <f>'Table along length'!H51</f>
        <v>-66.04013208026416</v>
      </c>
      <c r="K33" s="225">
        <f>'Table along length'!I51</f>
        <v>-65.02413004826009</v>
      </c>
      <c r="L33" s="225">
        <f>'Table along length'!J51</f>
        <v>-59.94411988823979</v>
      </c>
      <c r="M33" s="225">
        <f>'Table along length'!K51</f>
        <v>-69.08813817627636</v>
      </c>
      <c r="N33" s="225">
        <f>'Table along length'!L51</f>
        <v>-73.66014732029464</v>
      </c>
      <c r="O33" s="225">
        <f>'Table along length'!M51</f>
        <v>-65.53213106426212</v>
      </c>
      <c r="P33" s="225">
        <f>'Table along length'!N51</f>
        <v>-62.992125984251985</v>
      </c>
      <c r="Q33" s="225">
        <f>'Table along length'!O51</f>
        <v>-68.58013716027432</v>
      </c>
      <c r="R33" s="225">
        <f>'Table along length'!P51</f>
        <v>-52.83210566421133</v>
      </c>
      <c r="S33" s="225">
        <f>'Table along length'!Q51</f>
        <v>-29.46405892811787</v>
      </c>
      <c r="T33" s="225">
        <f>'Table along length'!R51</f>
        <v>-74.16814833629668</v>
      </c>
      <c r="U33" s="225">
        <f>'Table along length'!S51</f>
        <v>-51.30810261620523</v>
      </c>
      <c r="V33" s="225">
        <f>'Table along length'!T51</f>
        <v>0</v>
      </c>
      <c r="W33" s="225">
        <f>'Table along length'!U51</f>
        <v>0</v>
      </c>
      <c r="X33" s="225">
        <f>'Table along length'!V51</f>
        <v>-60.765886237654826</v>
      </c>
      <c r="Y33" s="225">
        <f t="shared" si="3"/>
        <v>0</v>
      </c>
      <c r="AB33" s="8"/>
      <c r="AC33" s="8"/>
      <c r="AD33" s="8"/>
      <c r="AE33" s="8"/>
      <c r="AF33" s="8"/>
      <c r="AG33" s="8"/>
      <c r="AH33" s="8"/>
    </row>
    <row r="34" spans="2:34" s="6" customFormat="1" ht="12" customHeight="1">
      <c r="B34" s="6" t="s">
        <v>10</v>
      </c>
      <c r="C34" s="225" t="str">
        <f>'Table along length'!A52</f>
        <v>I-001 3rd sizing</v>
      </c>
      <c r="D34" s="225" t="str">
        <f>'Table along length'!B52</f>
        <v>A</v>
      </c>
      <c r="E34" s="225">
        <f>'Table along length'!C52</f>
        <v>-74.67614935229871</v>
      </c>
      <c r="F34" s="225">
        <f>'Table along length'!D52</f>
        <v>-84.83616967233937</v>
      </c>
      <c r="G34" s="225">
        <f>'Table along length'!E52</f>
        <v>-46.73609347218694</v>
      </c>
      <c r="H34" s="225">
        <f>'Table along length'!F52</f>
        <v>-98.55219710439424</v>
      </c>
      <c r="I34" s="225">
        <f>'Table along length'!G52</f>
        <v>-88.90017780035559</v>
      </c>
      <c r="J34" s="225">
        <f>'Table along length'!H52</f>
        <v>-78.23215646431294</v>
      </c>
      <c r="K34" s="225">
        <f>'Table along length'!I52</f>
        <v>-79.248158496317</v>
      </c>
      <c r="L34" s="225">
        <f>'Table along length'!J52</f>
        <v>-70.10414020828043</v>
      </c>
      <c r="M34" s="225">
        <f>'Table along length'!K52</f>
        <v>-74.67614935229871</v>
      </c>
      <c r="N34" s="225">
        <f>'Table along length'!L52</f>
        <v>-83.31216662433326</v>
      </c>
      <c r="O34" s="225">
        <f>'Table along length'!M52</f>
        <v>-73.66014732029464</v>
      </c>
      <c r="P34" s="225">
        <f>'Table along length'!N52</f>
        <v>-78.23215646431294</v>
      </c>
      <c r="Q34" s="225">
        <f>'Table along length'!O52</f>
        <v>-78.23215646431294</v>
      </c>
      <c r="R34" s="225">
        <f>'Table along length'!P52</f>
        <v>-82.29616459232918</v>
      </c>
      <c r="S34" s="225">
        <f>'Table along length'!Q52</f>
        <v>-48.26009652019304</v>
      </c>
      <c r="T34" s="225">
        <f>'Table along length'!R52</f>
        <v>-77.21615443230887</v>
      </c>
      <c r="U34" s="225">
        <f>'Table along length'!S52</f>
        <v>-74.16814833629668</v>
      </c>
      <c r="V34" s="225">
        <f>'Table along length'!T52</f>
        <v>0</v>
      </c>
      <c r="W34" s="225">
        <f>'Table along length'!U52</f>
        <v>0</v>
      </c>
      <c r="X34" s="225">
        <f>'Table along length'!V52</f>
        <v>-75.96109309865678</v>
      </c>
      <c r="Y34" s="225">
        <f t="shared" si="3"/>
        <v>0</v>
      </c>
      <c r="AB34" s="8"/>
      <c r="AC34" s="8"/>
      <c r="AD34" s="8"/>
      <c r="AE34" s="8"/>
      <c r="AF34" s="8"/>
      <c r="AG34" s="8"/>
      <c r="AH34" s="8"/>
    </row>
    <row r="35" spans="3:34" s="6" customFormat="1" ht="12" customHeight="1">
      <c r="C35" s="225" t="str">
        <f>'Table along length'!A53</f>
        <v>I-001 3rd sizing</v>
      </c>
      <c r="D35" s="225" t="str">
        <f>'Table along length'!B53</f>
        <v>B</v>
      </c>
      <c r="E35" s="225">
        <f>'Table along length'!C53</f>
        <v>-77.7241554483109</v>
      </c>
      <c r="F35" s="225">
        <f>'Table along length'!D53</f>
        <v>-72.13614427228856</v>
      </c>
      <c r="G35" s="225">
        <f>'Table along length'!E53</f>
        <v>-82.80416560833123</v>
      </c>
      <c r="H35" s="225">
        <f>'Table along length'!F53</f>
        <v>-87.88417576835155</v>
      </c>
      <c r="I35" s="225">
        <f>'Table along length'!G53</f>
        <v>-37.08407416814835</v>
      </c>
      <c r="J35" s="225">
        <f>'Table along length'!H53</f>
        <v>-81.28016256032514</v>
      </c>
      <c r="K35" s="225">
        <f>'Table along length'!I53</f>
        <v>-78.23215646431294</v>
      </c>
      <c r="L35" s="225">
        <f>'Table along length'!J53</f>
        <v>-76.70815341630684</v>
      </c>
      <c r="M35" s="225">
        <f>'Table along length'!K53</f>
        <v>-84.83616967233937</v>
      </c>
      <c r="N35" s="225">
        <f>'Table along length'!L53</f>
        <v>-87.37617475234953</v>
      </c>
      <c r="O35" s="225">
        <f>'Table along length'!M53</f>
        <v>-80.77216154432311</v>
      </c>
      <c r="P35" s="225">
        <f>'Table along length'!N53</f>
        <v>-76.2001524003048</v>
      </c>
      <c r="Q35" s="225">
        <f>'Table along length'!O53</f>
        <v>-78.23215646431294</v>
      </c>
      <c r="R35" s="225">
        <f>'Table along length'!P53</f>
        <v>-66.04013208026417</v>
      </c>
      <c r="S35" s="225">
        <f>'Table along length'!Q53</f>
        <v>-45.21209042418086</v>
      </c>
      <c r="T35" s="225">
        <f>'Table along length'!R53</f>
        <v>-84.32816865633731</v>
      </c>
      <c r="U35" s="225">
        <f>'Table along length'!S53</f>
        <v>-64.00812801625605</v>
      </c>
      <c r="V35" s="225">
        <f>'Table along length'!T53</f>
        <v>0</v>
      </c>
      <c r="W35" s="225">
        <f>'Table along length'!U53</f>
        <v>0</v>
      </c>
      <c r="X35" s="225">
        <f>'Table along length'!V53</f>
        <v>-74.1681483362967</v>
      </c>
      <c r="Y35" s="225">
        <f t="shared" si="3"/>
        <v>0</v>
      </c>
      <c r="AB35" s="8"/>
      <c r="AC35" s="8"/>
      <c r="AD35" s="8"/>
      <c r="AE35" s="8"/>
      <c r="AF35" s="8"/>
      <c r="AG35" s="8"/>
      <c r="AH35" s="8"/>
    </row>
    <row r="36" spans="2:34" s="6" customFormat="1" ht="12" customHeight="1">
      <c r="B36" s="6" t="s">
        <v>11</v>
      </c>
      <c r="C36" s="225" t="str">
        <f>'Table along length'!A54</f>
        <v>I-001 4th sizing</v>
      </c>
      <c r="D36" s="225" t="str">
        <f>'Table along length'!B54</f>
        <v>A</v>
      </c>
      <c r="E36" s="225">
        <f>'Table along length'!C54</f>
        <v>-72.39014478028956</v>
      </c>
      <c r="F36" s="225">
        <f>'Table along length'!D54</f>
        <v>-80.01016002032007</v>
      </c>
      <c r="G36" s="225">
        <f>'Table along length'!E54</f>
        <v>-40.386080772161556</v>
      </c>
      <c r="H36" s="225">
        <f>'Table along length'!F54</f>
        <v>-92.20218440436885</v>
      </c>
      <c r="I36" s="225">
        <f>'Table along length'!G54</f>
        <v>-82.04216408432819</v>
      </c>
      <c r="J36" s="225">
        <f>'Table along length'!H54</f>
        <v>-72.39014478028956</v>
      </c>
      <c r="K36" s="225">
        <f>'Table along length'!I54</f>
        <v>-73.91414782829567</v>
      </c>
      <c r="L36" s="225">
        <f>'Table along length'!J54</f>
        <v>-67.31013462026925</v>
      </c>
      <c r="M36" s="225">
        <f>'Table along length'!K54</f>
        <v>-70.35814071628145</v>
      </c>
      <c r="N36" s="225">
        <f>'Table along length'!L54</f>
        <v>-73.91414782829567</v>
      </c>
      <c r="O36" s="225">
        <f>'Table along length'!M54</f>
        <v>-65.78613157226316</v>
      </c>
      <c r="P36" s="225">
        <f>'Table along length'!N54</f>
        <v>-71.88214376428756</v>
      </c>
      <c r="Q36" s="225">
        <f>'Table along length'!O54</f>
        <v>-75.43815087630176</v>
      </c>
      <c r="R36" s="225">
        <f>'Table along length'!P54</f>
        <v>-76.45415290830583</v>
      </c>
      <c r="S36" s="225">
        <f>'Table along length'!Q54</f>
        <v>-46.48209296418595</v>
      </c>
      <c r="T36" s="225">
        <f>'Table along length'!R54</f>
        <v>-76.96215392430787</v>
      </c>
      <c r="U36" s="225">
        <f>'Table along length'!S54</f>
        <v>-67.8181356362713</v>
      </c>
      <c r="V36" s="225">
        <f>'Table along length'!T54</f>
        <v>0</v>
      </c>
      <c r="W36" s="225">
        <f>'Table along length'!U54</f>
        <v>0</v>
      </c>
      <c r="X36" s="225">
        <f>'Table along length'!V54</f>
        <v>-70.92590655769547</v>
      </c>
      <c r="Y36" s="225">
        <f t="shared" si="3"/>
        <v>0</v>
      </c>
      <c r="AB36" s="8"/>
      <c r="AC36" s="8"/>
      <c r="AD36" s="8"/>
      <c r="AE36" s="8"/>
      <c r="AF36" s="8"/>
      <c r="AG36" s="8"/>
      <c r="AH36" s="8"/>
    </row>
    <row r="37" spans="3:34" s="6" customFormat="1" ht="12" customHeight="1">
      <c r="C37" s="225" t="str">
        <f>'Table along length'!A55</f>
        <v>I-001 4th sizing</v>
      </c>
      <c r="D37" s="225" t="str">
        <f>'Table along length'!B55</f>
        <v>B</v>
      </c>
      <c r="E37" s="225">
        <f>'Table along length'!C55</f>
        <v>-78.74015748031498</v>
      </c>
      <c r="F37" s="225">
        <f>'Table along length'!D55</f>
        <v>-79.75615951231904</v>
      </c>
      <c r="G37" s="225">
        <f>'Table along length'!E55</f>
        <v>-82.2961645923292</v>
      </c>
      <c r="H37" s="225">
        <f>'Table along length'!F55</f>
        <v>-86.36017272034546</v>
      </c>
      <c r="I37" s="225">
        <f>'Table along length'!G55</f>
        <v>-38.100076200152415</v>
      </c>
      <c r="J37" s="225">
        <f>'Table along length'!H55</f>
        <v>-74.1681483362967</v>
      </c>
      <c r="K37" s="225">
        <f>'Table along length'!I55</f>
        <v>-77.7241554483109</v>
      </c>
      <c r="L37" s="225">
        <f>'Table along length'!J55</f>
        <v>-74.1681483362967</v>
      </c>
      <c r="M37" s="225">
        <f>'Table along length'!K55</f>
        <v>-80.26416052832107</v>
      </c>
      <c r="N37" s="225">
        <f>'Table along length'!L55</f>
        <v>-85.34417068834139</v>
      </c>
      <c r="O37" s="225">
        <f>'Table along length'!M55</f>
        <v>-77.7241554483109</v>
      </c>
      <c r="P37" s="225">
        <f>'Table along length'!N55</f>
        <v>-75.69215138430278</v>
      </c>
      <c r="Q37" s="225">
        <f>'Table along length'!O55</f>
        <v>-80.26416052832107</v>
      </c>
      <c r="R37" s="225">
        <f>'Table along length'!P55</f>
        <v>-67.56413512827027</v>
      </c>
      <c r="S37" s="225">
        <f>'Table along length'!Q55</f>
        <v>-47.752095504191026</v>
      </c>
      <c r="T37" s="225">
        <f>'Table along length'!R55</f>
        <v>-88.39217678435358</v>
      </c>
      <c r="U37" s="225">
        <f>'Table along length'!S55</f>
        <v>-61.97612395224792</v>
      </c>
      <c r="V37" s="225">
        <f>'Table along length'!T55</f>
        <v>0</v>
      </c>
      <c r="W37" s="225">
        <f>'Table along length'!U55</f>
        <v>0</v>
      </c>
      <c r="X37" s="225">
        <f>'Table along length'!V55</f>
        <v>-73.89920662194267</v>
      </c>
      <c r="Y37" s="225">
        <f t="shared" si="3"/>
        <v>0</v>
      </c>
      <c r="AB37" s="8"/>
      <c r="AC37" s="8"/>
      <c r="AD37" s="8"/>
      <c r="AE37" s="8"/>
      <c r="AF37" s="8"/>
      <c r="AG37" s="8"/>
      <c r="AH37" s="8"/>
    </row>
    <row r="38" spans="3:34" s="6" customFormat="1" ht="12" customHeight="1">
      <c r="C38" t="s">
        <v>42</v>
      </c>
      <c r="D38" s="8"/>
      <c r="X38" s="8"/>
      <c r="Y38" s="225"/>
      <c r="AB38" s="8"/>
      <c r="AC38" s="8"/>
      <c r="AD38" s="8"/>
      <c r="AE38" s="8"/>
      <c r="AF38" s="8"/>
      <c r="AG38" s="8"/>
      <c r="AH38" s="8"/>
    </row>
    <row r="39" spans="2:34" s="6" customFormat="1" ht="12" customHeight="1">
      <c r="B39" s="6" t="s">
        <v>6</v>
      </c>
      <c r="C39" s="17" t="str">
        <f>'Table along length'!A63</f>
        <v>O-004 1st sizing</v>
      </c>
      <c r="D39" s="17" t="str">
        <f>'Table along length'!B63</f>
        <v>A</v>
      </c>
      <c r="E39" s="17">
        <f>'Table along length'!C63</f>
        <v>299.7205994411989</v>
      </c>
      <c r="F39" s="17">
        <f>'Table along length'!D63</f>
        <v>300.2286004572009</v>
      </c>
      <c r="G39" s="17">
        <f>'Table along length'!E63</f>
        <v>303.2766065532132</v>
      </c>
      <c r="H39" s="17">
        <f>'Table along length'!F63</f>
        <v>302.2606045212091</v>
      </c>
      <c r="I39" s="17">
        <f>'Table along length'!G63</f>
        <v>303.78460756921515</v>
      </c>
      <c r="J39" s="17">
        <f>'Table along length'!H63</f>
        <v>301.75260350520705</v>
      </c>
      <c r="K39" s="17">
        <f>'Table along length'!I63</f>
        <v>291.5925831851664</v>
      </c>
      <c r="L39" s="17">
        <f>'Table along length'!J63</f>
        <v>290.57658115316235</v>
      </c>
      <c r="M39" s="17">
        <f>'Table along length'!K63</f>
        <v>303.78460756921515</v>
      </c>
      <c r="N39" s="17">
        <f>'Table along length'!L63</f>
        <v>298.1965963931928</v>
      </c>
      <c r="O39" s="17">
        <f>'Table along length'!M63</f>
        <v>316.992633985268</v>
      </c>
      <c r="P39" s="17">
        <f>'Table along length'!N63</f>
        <v>304.2926085852172</v>
      </c>
      <c r="Q39" s="17">
        <f>'Table along length'!O63</f>
        <v>292.6085852171705</v>
      </c>
      <c r="R39" s="17">
        <f>'Table along length'!P63</f>
        <v>277.36855473710955</v>
      </c>
      <c r="S39" s="17">
        <f>'Table along length'!Q63</f>
        <v>271.2725425450851</v>
      </c>
      <c r="T39" s="17">
        <f>'Table along length'!R63</f>
        <v>297.6885953771908</v>
      </c>
      <c r="U39" s="17">
        <f>'Table along length'!S63</f>
        <v>312.92862585725175</v>
      </c>
      <c r="V39" s="17">
        <f>'Table along length'!T63</f>
        <v>314.9606299212599</v>
      </c>
      <c r="W39" s="17">
        <f>'Table along length'!U63</f>
        <v>294.6405892811786</v>
      </c>
      <c r="X39" s="17">
        <f>'Table along length'!V63</f>
        <v>298.8382818870901</v>
      </c>
      <c r="Y39" s="225">
        <f t="shared" si="3"/>
        <v>316.992633985268</v>
      </c>
      <c r="AB39" s="8"/>
      <c r="AC39" s="8"/>
      <c r="AD39" s="8"/>
      <c r="AE39" s="8"/>
      <c r="AF39" s="8"/>
      <c r="AG39" s="8"/>
      <c r="AH39" s="8"/>
    </row>
    <row r="40" spans="3:34" s="6" customFormat="1" ht="12" customHeight="1">
      <c r="C40" s="17" t="str">
        <f>'Table along length'!A64</f>
        <v>O-004 1st sizing</v>
      </c>
      <c r="D40" s="17" t="str">
        <f>'Table along length'!B64</f>
        <v>B</v>
      </c>
      <c r="E40" s="17">
        <f>'Table along length'!C64</f>
        <v>283.972</v>
      </c>
      <c r="F40" s="17">
        <f>'Table along length'!D64</f>
        <v>282.956</v>
      </c>
      <c r="G40" s="17">
        <f>'Table along length'!E64</f>
        <v>288.544</v>
      </c>
      <c r="H40" s="17">
        <f>'Table along length'!F64</f>
        <v>286.00399999999996</v>
      </c>
      <c r="I40" s="17">
        <f>'Table along length'!G64</f>
        <v>281.432</v>
      </c>
      <c r="J40" s="17">
        <f>'Table along length'!H64</f>
        <v>282.44800000000004</v>
      </c>
      <c r="K40" s="17">
        <f>'Table along length'!I64</f>
        <v>275.84400000000005</v>
      </c>
      <c r="L40" s="17">
        <f>'Table along length'!J64</f>
        <v>280.92400000000004</v>
      </c>
      <c r="M40" s="17">
        <f>'Table along length'!K64</f>
        <v>316.484</v>
      </c>
      <c r="N40" s="17">
        <f>'Table along length'!L64</f>
        <v>303.78399999999993</v>
      </c>
      <c r="O40" s="17">
        <f>'Table along length'!M64</f>
        <v>315.468</v>
      </c>
      <c r="P40" s="17">
        <f>'Table along length'!N64</f>
        <v>326.136</v>
      </c>
      <c r="Q40" s="17">
        <f>'Table along length'!O64</f>
        <v>332.232</v>
      </c>
      <c r="R40" s="17">
        <f>'Table along length'!P64</f>
        <v>322.072</v>
      </c>
      <c r="S40" s="17">
        <f>'Table along length'!Q64</f>
        <v>317.5</v>
      </c>
      <c r="T40" s="17">
        <f>'Table along length'!R64</f>
        <v>296.67199999999997</v>
      </c>
      <c r="U40" s="17">
        <f>'Table along length'!S64</f>
        <v>306.324</v>
      </c>
      <c r="V40" s="17">
        <f>'Table along length'!T64</f>
        <v>324.104</v>
      </c>
      <c r="W40" s="17">
        <f>'Table along length'!U64</f>
        <v>330.20000000000005</v>
      </c>
      <c r="X40" s="17">
        <f>'Table along length'!V64</f>
        <v>302.79534243279016</v>
      </c>
      <c r="Y40" s="225">
        <f t="shared" si="3"/>
        <v>332.232</v>
      </c>
      <c r="AB40" s="8"/>
      <c r="AC40" s="8"/>
      <c r="AD40" s="8"/>
      <c r="AE40" s="8"/>
      <c r="AF40" s="8"/>
      <c r="AG40" s="8"/>
      <c r="AH40" s="8"/>
    </row>
    <row r="41" spans="2:34" s="6" customFormat="1" ht="12" customHeight="1">
      <c r="B41" s="6" t="s">
        <v>8</v>
      </c>
      <c r="C41" s="17" t="str">
        <f>'Table along length'!A65</f>
        <v>O-004 2nd sizing</v>
      </c>
      <c r="D41" s="17" t="str">
        <f>'Table along length'!B65</f>
        <v>A</v>
      </c>
      <c r="E41" s="17">
        <f>'Table along length'!C65</f>
        <v>302.006604013208</v>
      </c>
      <c r="F41" s="17">
        <f>'Table along length'!D65</f>
        <v>303.0226060452121</v>
      </c>
      <c r="G41" s="17">
        <f>'Table along length'!E65</f>
        <v>308.6106172212344</v>
      </c>
      <c r="H41" s="17">
        <f>'Table along length'!F65</f>
        <v>306.07061214122433</v>
      </c>
      <c r="I41" s="17">
        <f>'Table along length'!G65</f>
        <v>307.0866141732284</v>
      </c>
      <c r="J41" s="17">
        <f>'Table along length'!H65</f>
        <v>303.0226060452121</v>
      </c>
      <c r="K41" s="17">
        <f>'Table along length'!I65</f>
        <v>296.4185928371857</v>
      </c>
      <c r="L41" s="17">
        <f>'Table along length'!J65</f>
        <v>297.4345948691897</v>
      </c>
      <c r="M41" s="17">
        <f>'Table along length'!K65</f>
        <v>305.0546101092202</v>
      </c>
      <c r="N41" s="17">
        <f>'Table along length'!L65</f>
        <v>297.94259588519174</v>
      </c>
      <c r="O41" s="17">
        <f>'Table along length'!M65</f>
        <v>318.77063754127505</v>
      </c>
      <c r="P41" s="17">
        <f>'Table along length'!N65</f>
        <v>303.0226060452121</v>
      </c>
      <c r="Q41" s="17">
        <f>'Table along length'!O65</f>
        <v>292.86258572517147</v>
      </c>
      <c r="R41" s="17">
        <f>'Table along length'!P65</f>
        <v>278.13055626111253</v>
      </c>
      <c r="S41" s="17">
        <f>'Table along length'!Q65</f>
        <v>269.494538989078</v>
      </c>
      <c r="T41" s="17">
        <f>'Table along length'!R65</f>
        <v>294.38658877317755</v>
      </c>
      <c r="U41" s="17">
        <f>'Table along length'!S65</f>
        <v>313.6906273812548</v>
      </c>
      <c r="V41" s="17">
        <f>'Table along length'!T65</f>
        <v>315.2146304292608</v>
      </c>
      <c r="W41" s="17">
        <f>'Table along length'!U65</f>
        <v>292.86258572517147</v>
      </c>
      <c r="X41" s="17">
        <f>'Table along length'!V65</f>
        <v>300.2687058005694</v>
      </c>
      <c r="Y41" s="225">
        <f t="shared" si="3"/>
        <v>318.77063754127505</v>
      </c>
      <c r="AB41" s="8"/>
      <c r="AC41" s="8"/>
      <c r="AD41" s="8"/>
      <c r="AE41" s="8"/>
      <c r="AF41" s="8"/>
      <c r="AG41" s="8"/>
      <c r="AH41" s="8"/>
    </row>
    <row r="42" spans="3:34" s="6" customFormat="1" ht="12" customHeight="1">
      <c r="C42" s="17" t="str">
        <f>'Table along length'!A66</f>
        <v>O-004 2nd sizing</v>
      </c>
      <c r="D42" s="17" t="str">
        <f>'Table along length'!B66</f>
        <v>B</v>
      </c>
      <c r="E42" s="17">
        <f>'Table along length'!C66</f>
        <v>301.244602489205</v>
      </c>
      <c r="F42" s="17">
        <f>'Table along length'!D66</f>
        <v>302.7686055372111</v>
      </c>
      <c r="G42" s="17">
        <f>'Table along length'!E66</f>
        <v>308.8646177292355</v>
      </c>
      <c r="H42" s="17">
        <f>'Table along length'!F66</f>
        <v>304.2926085852171</v>
      </c>
      <c r="I42" s="17">
        <f>'Table along length'!G66</f>
        <v>301.244602489205</v>
      </c>
      <c r="J42" s="17">
        <f>'Table along length'!H66</f>
        <v>302.7686055372111</v>
      </c>
      <c r="K42" s="17">
        <f>'Table along length'!I66</f>
        <v>295.14859029718065</v>
      </c>
      <c r="L42" s="17">
        <f>'Table along length'!J66</f>
        <v>296.6725933451867</v>
      </c>
      <c r="M42" s="17">
        <f>'Table along length'!K66</f>
        <v>318.00863601727207</v>
      </c>
      <c r="N42" s="17">
        <f>'Table along length'!L66</f>
        <v>318.5166370332741</v>
      </c>
      <c r="O42" s="17">
        <f>'Table along length'!M66</f>
        <v>335.7886715773431</v>
      </c>
      <c r="P42" s="17">
        <f>'Table along length'!N66</f>
        <v>342.39268478536957</v>
      </c>
      <c r="Q42" s="17">
        <f>'Table along length'!O66</f>
        <v>345.94869189738387</v>
      </c>
      <c r="R42" s="17">
        <f>'Table along length'!P66</f>
        <v>337.8206756413513</v>
      </c>
      <c r="S42" s="17">
        <f>'Table along length'!Q66</f>
        <v>334.7726695453391</v>
      </c>
      <c r="T42" s="17">
        <f>'Table along length'!R66</f>
        <v>314.4526289052578</v>
      </c>
      <c r="U42" s="17">
        <f>'Table along length'!S66</f>
        <v>323.0886461772924</v>
      </c>
      <c r="V42" s="17">
        <f>'Table along length'!T66</f>
        <v>341.37668275336557</v>
      </c>
      <c r="W42" s="17">
        <f>'Table along length'!U66</f>
        <v>350.52070104140205</v>
      </c>
      <c r="X42" s="17">
        <f>'Table along length'!V66</f>
        <v>319.77327112548966</v>
      </c>
      <c r="Y42" s="225">
        <f t="shared" si="3"/>
        <v>350.52070104140205</v>
      </c>
      <c r="AB42" s="8"/>
      <c r="AC42" s="8"/>
      <c r="AD42" s="8"/>
      <c r="AE42" s="8"/>
      <c r="AF42" s="8"/>
      <c r="AG42" s="8"/>
      <c r="AH42" s="8"/>
    </row>
    <row r="43" spans="2:34" s="6" customFormat="1" ht="12" customHeight="1">
      <c r="B43" s="6" t="s">
        <v>10</v>
      </c>
      <c r="C43" s="17" t="str">
        <f>'Table along length'!A67</f>
        <v>O-004 3rd sizing</v>
      </c>
      <c r="D43" s="17" t="str">
        <f>'Table along length'!B67</f>
        <v>A</v>
      </c>
      <c r="E43" s="17">
        <f>'Table along length'!C67</f>
        <v>306.83261366522737</v>
      </c>
      <c r="F43" s="17">
        <f>'Table along length'!D67</f>
        <v>305.8166116332233</v>
      </c>
      <c r="G43" s="17">
        <f>'Table along length'!E67</f>
        <v>310.38862077724156</v>
      </c>
      <c r="H43" s="17">
        <f>'Table along length'!F67</f>
        <v>307.8486156972315</v>
      </c>
      <c r="I43" s="17">
        <f>'Table along length'!G67</f>
        <v>311.40462280924567</v>
      </c>
      <c r="J43" s="17">
        <f>'Table along length'!H67</f>
        <v>308.35661671323345</v>
      </c>
      <c r="K43" s="17">
        <f>'Table along length'!I67</f>
        <v>301.244602489205</v>
      </c>
      <c r="L43" s="17">
        <f>'Table along length'!J67</f>
        <v>295.6565913131826</v>
      </c>
      <c r="M43" s="17">
        <f>'Table along length'!K67</f>
        <v>306.83261366522737</v>
      </c>
      <c r="N43" s="17">
        <f>'Table along length'!L67</f>
        <v>304.8006096012192</v>
      </c>
      <c r="O43" s="17">
        <f>'Table along length'!M67</f>
        <v>321.0566421132842</v>
      </c>
      <c r="P43" s="17">
        <f>'Table along length'!N67</f>
        <v>306.3246126492253</v>
      </c>
      <c r="Q43" s="17">
        <f>'Table along length'!O67</f>
        <v>294.13258826517654</v>
      </c>
      <c r="R43" s="17">
        <f>'Table along length'!P67</f>
        <v>279.9085598171197</v>
      </c>
      <c r="S43" s="17">
        <f>'Table along length'!Q67</f>
        <v>272.7965455930912</v>
      </c>
      <c r="T43" s="17">
        <f>'Table along length'!R67</f>
        <v>296.1645923291847</v>
      </c>
      <c r="U43" s="17">
        <f>'Table along length'!S67</f>
        <v>316.992633985268</v>
      </c>
      <c r="V43" s="17">
        <f>'Table along length'!T67</f>
        <v>315.9766319532639</v>
      </c>
      <c r="W43" s="17">
        <f>'Table along length'!U67</f>
        <v>295.14859029718065</v>
      </c>
      <c r="X43" s="17">
        <f>'Table along length'!V67</f>
        <v>303.0359744930016</v>
      </c>
      <c r="Y43" s="225">
        <f t="shared" si="3"/>
        <v>321.0566421132842</v>
      </c>
      <c r="AB43" s="8"/>
      <c r="AC43" s="8"/>
      <c r="AD43" s="8"/>
      <c r="AE43" s="8"/>
      <c r="AF43" s="8"/>
      <c r="AG43" s="8"/>
      <c r="AH43" s="8"/>
    </row>
    <row r="44" spans="3:34" s="6" customFormat="1" ht="12" customHeight="1">
      <c r="C44" s="17" t="str">
        <f>'Table along length'!A68</f>
        <v>O-004 3rd sizing</v>
      </c>
      <c r="D44" s="17" t="str">
        <f>'Table along length'!B68</f>
        <v>B</v>
      </c>
      <c r="E44" s="17">
        <f>'Table along length'!C68</f>
        <v>306.83261366522737</v>
      </c>
      <c r="F44" s="17">
        <f>'Table along length'!D68</f>
        <v>311.9126238252477</v>
      </c>
      <c r="G44" s="17">
        <f>'Table along length'!E68</f>
        <v>310.3886207772416</v>
      </c>
      <c r="H44" s="17">
        <f>'Table along length'!F68</f>
        <v>310.3886207772416</v>
      </c>
      <c r="I44" s="17">
        <f>'Table along length'!G68</f>
        <v>307.3406146812294</v>
      </c>
      <c r="J44" s="17">
        <f>'Table along length'!H68</f>
        <v>306.83261366522737</v>
      </c>
      <c r="K44" s="17">
        <f>'Table along length'!I68</f>
        <v>300.73660147320294</v>
      </c>
      <c r="L44" s="17">
        <f>'Table along length'!J68</f>
        <v>306.32461264922534</v>
      </c>
      <c r="M44" s="17">
        <f>'Table along length'!K68</f>
        <v>334.77266954533917</v>
      </c>
      <c r="N44" s="17">
        <f>'Table along length'!L68</f>
        <v>323.08864617729233</v>
      </c>
      <c r="O44" s="17">
        <f>'Table along length'!M68</f>
        <v>336.8046736093473</v>
      </c>
      <c r="P44" s="17">
        <f>'Table along length'!N68</f>
        <v>345.44069088138184</v>
      </c>
      <c r="Q44" s="17">
        <f>'Table along length'!O68</f>
        <v>335.0266700533401</v>
      </c>
      <c r="R44" s="17">
        <f>'Table along length'!P68</f>
        <v>339.8526797053594</v>
      </c>
      <c r="S44" s="17">
        <f>'Table along length'!Q68</f>
        <v>339.8526797053594</v>
      </c>
      <c r="T44" s="17">
        <f>'Table along length'!R68</f>
        <v>315.4686309372619</v>
      </c>
      <c r="U44" s="17">
        <f>'Table along length'!S68</f>
        <v>325.12065024130044</v>
      </c>
      <c r="V44" s="17">
        <f>'Table along length'!T68</f>
        <v>342.39268478536957</v>
      </c>
      <c r="W44" s="17">
        <f>'Table along length'!U68</f>
        <v>348.48869697739394</v>
      </c>
      <c r="X44" s="17">
        <f>'Table along length'!V68</f>
        <v>323.52980495434684</v>
      </c>
      <c r="Y44" s="225">
        <f t="shared" si="3"/>
        <v>348.48869697739394</v>
      </c>
      <c r="AB44" s="8"/>
      <c r="AC44" s="8"/>
      <c r="AD44" s="8"/>
      <c r="AE44" s="8"/>
      <c r="AF44" s="8"/>
      <c r="AG44" s="8"/>
      <c r="AH44" s="8"/>
    </row>
    <row r="45" spans="2:34" s="6" customFormat="1" ht="12" customHeight="1">
      <c r="B45" s="6" t="s">
        <v>11</v>
      </c>
      <c r="C45" s="17" t="str">
        <f>'Table along length'!A69</f>
        <v>O-004 4th sizing</v>
      </c>
      <c r="D45" s="17" t="str">
        <f>'Table along length'!B69</f>
        <v>A</v>
      </c>
      <c r="E45" s="17">
        <f>'Table along length'!C69</f>
        <v>296.1645923291847</v>
      </c>
      <c r="F45" s="17">
        <f>'Table along length'!D69</f>
        <v>296.1645923291847</v>
      </c>
      <c r="G45" s="17">
        <f>'Table along length'!E69</f>
        <v>307.3406146812294</v>
      </c>
      <c r="H45" s="17">
        <f>'Table along length'!F69</f>
        <v>299.21259842519686</v>
      </c>
      <c r="I45" s="17">
        <f>'Table along length'!G69</f>
        <v>0</v>
      </c>
      <c r="J45" s="17">
        <f>'Table along length'!H69</f>
        <v>302.2606045212091</v>
      </c>
      <c r="K45" s="17">
        <f>'Table along length'!I69</f>
        <v>289.0525781051562</v>
      </c>
      <c r="L45" s="17">
        <f>'Table along length'!J69</f>
        <v>284.98856997713995</v>
      </c>
      <c r="M45" s="17">
        <f>'Table along length'!K69</f>
        <v>295.1485902971806</v>
      </c>
      <c r="N45" s="17">
        <f>'Table along length'!L69</f>
        <v>0</v>
      </c>
      <c r="O45" s="17">
        <f>'Table along length'!M69</f>
        <v>311.40462280924567</v>
      </c>
      <c r="P45" s="17">
        <f>'Table along length'!N69</f>
        <v>301.75260350520705</v>
      </c>
      <c r="Q45" s="17">
        <f>'Table along length'!O69</f>
        <v>282.95656591313184</v>
      </c>
      <c r="R45" s="17">
        <f>'Table along length'!P69</f>
        <v>272.7965455930912</v>
      </c>
      <c r="S45" s="17">
        <f>'Table along length'!Q69</f>
        <v>0</v>
      </c>
      <c r="T45" s="17">
        <f>'Table along length'!R69</f>
        <v>286.00457200914406</v>
      </c>
      <c r="U45" s="17">
        <f>'Table along length'!S69</f>
        <v>299.7205994411989</v>
      </c>
      <c r="V45" s="17">
        <f>'Table along length'!T69</f>
        <v>295.1485902971806</v>
      </c>
      <c r="W45" s="17">
        <f>'Table along length'!U69</f>
        <v>281.94056388112773</v>
      </c>
      <c r="X45" s="17">
        <f>'Table along length'!V69</f>
        <v>293.87858775717547</v>
      </c>
      <c r="Y45" s="225">
        <f t="shared" si="3"/>
        <v>311.40462280924567</v>
      </c>
      <c r="AB45" s="8"/>
      <c r="AC45" s="8"/>
      <c r="AD45" s="8"/>
      <c r="AE45" s="8"/>
      <c r="AF45" s="8"/>
      <c r="AG45" s="8"/>
      <c r="AH45" s="8"/>
    </row>
    <row r="46" spans="3:34" s="6" customFormat="1" ht="12" customHeight="1">
      <c r="C46" s="17" t="str">
        <f>'Table along length'!A70</f>
        <v>O-004 4th sizing</v>
      </c>
      <c r="D46" s="17" t="str">
        <f>'Table along length'!B70</f>
        <v>B</v>
      </c>
      <c r="E46" s="17">
        <f>'Table along length'!C70</f>
        <v>324.86664973329954</v>
      </c>
      <c r="F46" s="17">
        <f>'Table along length'!D70</f>
        <v>322.8346456692914</v>
      </c>
      <c r="G46" s="17">
        <f>'Table along length'!E70</f>
        <v>321.31064262128524</v>
      </c>
      <c r="H46" s="17">
        <f>'Table along length'!F70</f>
        <v>319.2786385572772</v>
      </c>
      <c r="I46" s="17">
        <f>'Table along length'!G70</f>
        <v>0</v>
      </c>
      <c r="J46" s="17">
        <f>'Table along length'!H70</f>
        <v>324.35864871729746</v>
      </c>
      <c r="K46" s="17">
        <f>'Table along length'!I70</f>
        <v>319.78663957327916</v>
      </c>
      <c r="L46" s="17">
        <f>'Table along length'!J70</f>
        <v>316.738633477267</v>
      </c>
      <c r="M46" s="17">
        <f>'Table along length'!K70</f>
        <v>327.4066548133097</v>
      </c>
      <c r="N46" s="17">
        <f>'Table along length'!L70</f>
        <v>0</v>
      </c>
      <c r="O46" s="17">
        <f>'Table along length'!M70</f>
        <v>330.96266192532386</v>
      </c>
      <c r="P46" s="17">
        <f>'Table along length'!N70</f>
        <v>333.50266700533405</v>
      </c>
      <c r="Q46" s="17">
        <f>'Table along length'!O70</f>
        <v>328.93065786131575</v>
      </c>
      <c r="R46" s="17">
        <f>'Table along length'!P70</f>
        <v>327.4066548133097</v>
      </c>
      <c r="S46" s="17">
        <f>'Table along length'!Q70</f>
        <v>0</v>
      </c>
      <c r="T46" s="17">
        <f>'Table along length'!R70</f>
        <v>315.21463042926086</v>
      </c>
      <c r="U46" s="17">
        <f>'Table along length'!S70</f>
        <v>317.246634493269</v>
      </c>
      <c r="V46" s="17">
        <f>'Table along length'!T70</f>
        <v>341.12268224536456</v>
      </c>
      <c r="W46" s="17">
        <f>'Table along length'!U70</f>
        <v>332.994665989332</v>
      </c>
      <c r="X46" s="17">
        <f>'Table along length'!V70</f>
        <v>325.247650495301</v>
      </c>
      <c r="Y46" s="225">
        <f t="shared" si="3"/>
        <v>341.12268224536456</v>
      </c>
      <c r="AB46" s="8"/>
      <c r="AC46" s="8"/>
      <c r="AD46" s="8"/>
      <c r="AE46" s="8"/>
      <c r="AF46" s="8"/>
      <c r="AG46" s="8"/>
      <c r="AH46" s="8"/>
    </row>
    <row r="47" spans="3:34" s="6" customFormat="1" ht="12" customHeight="1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225"/>
      <c r="AB47" s="8"/>
      <c r="AC47" s="8"/>
      <c r="AD47" s="8"/>
      <c r="AE47" s="8"/>
      <c r="AF47" s="8"/>
      <c r="AG47" s="8"/>
      <c r="AH47" s="8"/>
    </row>
    <row r="48" spans="1:34" s="6" customFormat="1" ht="12" customHeight="1">
      <c r="A48" s="6" t="s">
        <v>14</v>
      </c>
      <c r="C48" s="4"/>
      <c r="D48"/>
      <c r="X48" s="8"/>
      <c r="Y48" s="8"/>
      <c r="AB48" s="8"/>
      <c r="AC48" s="8"/>
      <c r="AD48" s="8"/>
      <c r="AE48" s="8"/>
      <c r="AF48" s="8"/>
      <c r="AG48" s="8"/>
      <c r="AH48" s="8"/>
    </row>
    <row r="49" spans="3:34" s="6" customFormat="1" ht="12" customHeight="1">
      <c r="C49" s="8"/>
      <c r="E49" s="19">
        <v>1</v>
      </c>
      <c r="F49" s="19">
        <f aca="true" t="shared" si="4" ref="F49:W49">E49+1</f>
        <v>2</v>
      </c>
      <c r="G49" s="19">
        <f t="shared" si="4"/>
        <v>3</v>
      </c>
      <c r="H49" s="19">
        <f t="shared" si="4"/>
        <v>4</v>
      </c>
      <c r="I49" s="19">
        <f t="shared" si="4"/>
        <v>5</v>
      </c>
      <c r="J49" s="19">
        <f t="shared" si="4"/>
        <v>6</v>
      </c>
      <c r="K49" s="19">
        <f t="shared" si="4"/>
        <v>7</v>
      </c>
      <c r="L49" s="19">
        <f t="shared" si="4"/>
        <v>8</v>
      </c>
      <c r="M49" s="19">
        <f t="shared" si="4"/>
        <v>9</v>
      </c>
      <c r="N49" s="19">
        <f t="shared" si="4"/>
        <v>10</v>
      </c>
      <c r="O49" s="19">
        <f t="shared" si="4"/>
        <v>11</v>
      </c>
      <c r="P49" s="19">
        <f t="shared" si="4"/>
        <v>12</v>
      </c>
      <c r="Q49" s="19">
        <f t="shared" si="4"/>
        <v>13</v>
      </c>
      <c r="R49" s="19">
        <f t="shared" si="4"/>
        <v>14</v>
      </c>
      <c r="S49" s="19">
        <f t="shared" si="4"/>
        <v>15</v>
      </c>
      <c r="T49" s="19">
        <f t="shared" si="4"/>
        <v>16</v>
      </c>
      <c r="U49" s="19">
        <f t="shared" si="4"/>
        <v>17</v>
      </c>
      <c r="V49" s="19">
        <f t="shared" si="4"/>
        <v>18</v>
      </c>
      <c r="W49" s="19">
        <f t="shared" si="4"/>
        <v>19</v>
      </c>
      <c r="X49" s="19" t="s">
        <v>0</v>
      </c>
      <c r="Y49" s="19"/>
      <c r="AB49" s="8"/>
      <c r="AC49" s="8"/>
      <c r="AD49" s="8"/>
      <c r="AE49" s="8"/>
      <c r="AF49" s="8"/>
      <c r="AG49" s="8"/>
      <c r="AH49" s="8"/>
    </row>
    <row r="50" spans="3:34" s="6" customFormat="1" ht="12" customHeight="1">
      <c r="C50" s="6" t="s">
        <v>5</v>
      </c>
      <c r="X50" s="8"/>
      <c r="Y50" s="8"/>
      <c r="AB50" s="8"/>
      <c r="AC50" s="8"/>
      <c r="AD50" s="8"/>
      <c r="AE50" s="8"/>
      <c r="AF50" s="8"/>
      <c r="AG50" s="8"/>
      <c r="AH50" s="8"/>
    </row>
    <row r="51" spans="2:34" s="6" customFormat="1" ht="12" customHeight="1">
      <c r="B51" s="6" t="s">
        <v>6</v>
      </c>
      <c r="C51" s="8" t="str">
        <f>$C$30</f>
        <v>I-001 5th sizing</v>
      </c>
      <c r="D51" s="8" t="s">
        <v>9</v>
      </c>
      <c r="E51" s="334">
        <f aca="true" t="shared" si="5" ref="E51:W51">$AF$99-E30</f>
        <v>120.81957497248331</v>
      </c>
      <c r="F51" s="334">
        <f t="shared" si="5"/>
        <v>118.78757090847517</v>
      </c>
      <c r="G51" s="334">
        <f t="shared" si="5"/>
        <v>89.32351198035731</v>
      </c>
      <c r="H51" s="334">
        <f t="shared" si="5"/>
        <v>150.28363390060116</v>
      </c>
      <c r="I51" s="334">
        <f t="shared" si="5"/>
        <v>20.99737532808399</v>
      </c>
      <c r="J51" s="334">
        <f t="shared" si="5"/>
        <v>115.73956481246299</v>
      </c>
      <c r="K51" s="334">
        <f t="shared" si="5"/>
        <v>128.94759122851582</v>
      </c>
      <c r="L51" s="334">
        <f t="shared" si="5"/>
        <v>129.45559224451785</v>
      </c>
      <c r="M51" s="334">
        <f t="shared" si="5"/>
        <v>20.99737532808399</v>
      </c>
      <c r="N51" s="334">
        <f t="shared" si="5"/>
        <v>125.8995851325036</v>
      </c>
      <c r="O51" s="334">
        <f t="shared" si="5"/>
        <v>114.21556176445685</v>
      </c>
      <c r="P51" s="334">
        <f t="shared" si="5"/>
        <v>122.34357802048939</v>
      </c>
      <c r="Q51" s="334">
        <f t="shared" si="5"/>
        <v>20.99737532808399</v>
      </c>
      <c r="R51" s="334">
        <f t="shared" si="5"/>
        <v>20.99737532808399</v>
      </c>
      <c r="S51" s="334">
        <f t="shared" si="5"/>
        <v>118.78757090847517</v>
      </c>
      <c r="T51" s="334">
        <f t="shared" si="5"/>
        <v>155.36364406062145</v>
      </c>
      <c r="U51" s="334">
        <f t="shared" si="5"/>
        <v>127.93158919651174</v>
      </c>
      <c r="V51" s="334">
        <f t="shared" si="5"/>
        <v>20.99737532808399</v>
      </c>
      <c r="W51" s="334">
        <f t="shared" si="5"/>
        <v>20.99737532808399</v>
      </c>
      <c r="X51" s="17">
        <f>AVERAGE(E51:V51)</f>
        <v>95.71585809838287</v>
      </c>
      <c r="Y51" s="18"/>
      <c r="Z51" s="21"/>
      <c r="AA51" s="21"/>
      <c r="AB51" s="8"/>
      <c r="AC51" s="8"/>
      <c r="AD51" s="8"/>
      <c r="AE51" s="8"/>
      <c r="AF51" s="8"/>
      <c r="AG51" s="8"/>
      <c r="AH51" s="8"/>
    </row>
    <row r="52" spans="3:34" s="6" customFormat="1" ht="12" customHeight="1">
      <c r="C52" s="8"/>
      <c r="D52" s="8" t="s">
        <v>7</v>
      </c>
      <c r="E52" s="334">
        <f aca="true" t="shared" si="6" ref="E52:W52">$AF$99-E31</f>
        <v>118.27956989247312</v>
      </c>
      <c r="F52" s="334">
        <f t="shared" si="6"/>
        <v>110.1515536364406</v>
      </c>
      <c r="G52" s="334">
        <f t="shared" si="6"/>
        <v>139.1076115485564</v>
      </c>
      <c r="H52" s="334">
        <f t="shared" si="6"/>
        <v>20.99737532808399</v>
      </c>
      <c r="I52" s="334">
        <f t="shared" si="6"/>
        <v>20.99737532808399</v>
      </c>
      <c r="J52" s="334">
        <f t="shared" si="6"/>
        <v>112.69155871645079</v>
      </c>
      <c r="K52" s="334">
        <f t="shared" si="6"/>
        <v>122.85157903649142</v>
      </c>
      <c r="L52" s="334">
        <f t="shared" si="6"/>
        <v>125.39158411650159</v>
      </c>
      <c r="M52" s="334">
        <f t="shared" si="6"/>
        <v>20.99737532808399</v>
      </c>
      <c r="N52" s="334">
        <f t="shared" si="6"/>
        <v>122.85157903649142</v>
      </c>
      <c r="O52" s="334">
        <f t="shared" si="6"/>
        <v>117.26356786046907</v>
      </c>
      <c r="P52" s="334">
        <f t="shared" si="6"/>
        <v>126.91558716450767</v>
      </c>
      <c r="Q52" s="334">
        <f t="shared" si="6"/>
        <v>20.99737532808399</v>
      </c>
      <c r="R52" s="334">
        <f t="shared" si="6"/>
        <v>20.99737532808399</v>
      </c>
      <c r="S52" s="334">
        <f t="shared" si="6"/>
        <v>83.2274997883329</v>
      </c>
      <c r="T52" s="334">
        <f t="shared" si="6"/>
        <v>134.02760138853614</v>
      </c>
      <c r="U52" s="334">
        <f t="shared" si="6"/>
        <v>126.40758614850566</v>
      </c>
      <c r="V52" s="334">
        <f t="shared" si="6"/>
        <v>20.99737532808399</v>
      </c>
      <c r="W52" s="334">
        <f t="shared" si="6"/>
        <v>20.99737532808399</v>
      </c>
      <c r="X52" s="17">
        <f aca="true" t="shared" si="7" ref="X52:X58">AVERAGE(E52:V52)</f>
        <v>86.95284057234782</v>
      </c>
      <c r="Y52" s="18"/>
      <c r="Z52" s="21"/>
      <c r="AA52" s="21"/>
      <c r="AB52" s="8"/>
      <c r="AC52" s="8"/>
      <c r="AD52" s="8"/>
      <c r="AE52" s="8"/>
      <c r="AF52" s="8"/>
      <c r="AG52" s="8"/>
      <c r="AH52" s="8"/>
    </row>
    <row r="53" spans="2:34" s="6" customFormat="1" ht="12" customHeight="1">
      <c r="B53" s="6" t="s">
        <v>8</v>
      </c>
      <c r="C53" s="8"/>
      <c r="D53" s="8" t="s">
        <v>9</v>
      </c>
      <c r="E53" s="334">
        <f aca="true" t="shared" si="8" ref="E53:W53">$AF$99-E32</f>
        <v>86.27550588434514</v>
      </c>
      <c r="F53" s="334">
        <f t="shared" si="8"/>
        <v>100.49953433240202</v>
      </c>
      <c r="G53" s="334">
        <f t="shared" si="8"/>
        <v>58.8434510202354</v>
      </c>
      <c r="H53" s="334">
        <f t="shared" si="8"/>
        <v>109.13555160443656</v>
      </c>
      <c r="I53" s="334">
        <f t="shared" si="8"/>
        <v>99.48353230039797</v>
      </c>
      <c r="J53" s="334">
        <f t="shared" si="8"/>
        <v>81.70349674032683</v>
      </c>
      <c r="K53" s="334">
        <f t="shared" si="8"/>
        <v>83.73550080433496</v>
      </c>
      <c r="L53" s="334">
        <f t="shared" si="8"/>
        <v>74.08348150029636</v>
      </c>
      <c r="M53" s="334">
        <f t="shared" si="8"/>
        <v>76.11548556430449</v>
      </c>
      <c r="N53" s="334">
        <f t="shared" si="8"/>
        <v>85.76750486834311</v>
      </c>
      <c r="O53" s="334">
        <f t="shared" si="8"/>
        <v>76.62348658030652</v>
      </c>
      <c r="P53" s="334">
        <f t="shared" si="8"/>
        <v>82.7194987723309</v>
      </c>
      <c r="Q53" s="334">
        <f t="shared" si="8"/>
        <v>82.7194987723309</v>
      </c>
      <c r="R53" s="334">
        <f t="shared" si="8"/>
        <v>86.27550588434514</v>
      </c>
      <c r="S53" s="334">
        <f t="shared" si="8"/>
        <v>53.25543984421303</v>
      </c>
      <c r="T53" s="334">
        <f t="shared" si="8"/>
        <v>81.1954957243248</v>
      </c>
      <c r="U53" s="334">
        <f t="shared" si="8"/>
        <v>75.60748454830247</v>
      </c>
      <c r="V53" s="334">
        <f t="shared" si="8"/>
        <v>20.99737532808399</v>
      </c>
      <c r="W53" s="334">
        <f t="shared" si="8"/>
        <v>20.99737532808399</v>
      </c>
      <c r="X53" s="17">
        <f t="shared" si="7"/>
        <v>78.61315722631447</v>
      </c>
      <c r="Y53" s="18"/>
      <c r="Z53" s="21"/>
      <c r="AA53" s="21"/>
      <c r="AB53" s="8"/>
      <c r="AC53" s="8"/>
      <c r="AD53" s="8"/>
      <c r="AE53" s="8"/>
      <c r="AF53" s="8"/>
      <c r="AG53" s="8"/>
      <c r="AH53" s="8"/>
    </row>
    <row r="54" spans="3:34" s="6" customFormat="1" ht="12" customHeight="1">
      <c r="C54" s="8"/>
      <c r="D54" s="8" t="s">
        <v>7</v>
      </c>
      <c r="E54" s="334">
        <f aca="true" t="shared" si="9" ref="E54:W54">$AF$99-E33</f>
        <v>88.56151045635426</v>
      </c>
      <c r="F54" s="334">
        <f t="shared" si="9"/>
        <v>88.05350944035222</v>
      </c>
      <c r="G54" s="334">
        <f t="shared" si="9"/>
        <v>90.33951401236139</v>
      </c>
      <c r="H54" s="334">
        <f t="shared" si="9"/>
        <v>92.62551858437052</v>
      </c>
      <c r="I54" s="334">
        <f t="shared" si="9"/>
        <v>39.793412920159184</v>
      </c>
      <c r="J54" s="334">
        <f t="shared" si="9"/>
        <v>87.03750740834815</v>
      </c>
      <c r="K54" s="334">
        <f t="shared" si="9"/>
        <v>86.02150537634408</v>
      </c>
      <c r="L54" s="334">
        <f t="shared" si="9"/>
        <v>80.94149521632377</v>
      </c>
      <c r="M54" s="334">
        <f t="shared" si="9"/>
        <v>90.08551350436035</v>
      </c>
      <c r="N54" s="334">
        <f t="shared" si="9"/>
        <v>94.65752264837863</v>
      </c>
      <c r="O54" s="334">
        <f t="shared" si="9"/>
        <v>86.52950639234611</v>
      </c>
      <c r="P54" s="334">
        <f t="shared" si="9"/>
        <v>83.98950131233597</v>
      </c>
      <c r="Q54" s="334">
        <f t="shared" si="9"/>
        <v>89.57751248835831</v>
      </c>
      <c r="R54" s="334">
        <f t="shared" si="9"/>
        <v>73.82948099229532</v>
      </c>
      <c r="S54" s="334">
        <f t="shared" si="9"/>
        <v>50.461434256201855</v>
      </c>
      <c r="T54" s="334">
        <f t="shared" si="9"/>
        <v>95.16552366438067</v>
      </c>
      <c r="U54" s="334">
        <f t="shared" si="9"/>
        <v>72.30547794428922</v>
      </c>
      <c r="V54" s="334">
        <f t="shared" si="9"/>
        <v>20.99737532808399</v>
      </c>
      <c r="W54" s="334">
        <f t="shared" si="9"/>
        <v>20.99737532808399</v>
      </c>
      <c r="X54" s="17">
        <f t="shared" si="7"/>
        <v>78.3873789969802</v>
      </c>
      <c r="Y54" s="18"/>
      <c r="Z54" s="21"/>
      <c r="AA54" s="21"/>
      <c r="AB54" s="8"/>
      <c r="AC54" s="8"/>
      <c r="AD54" s="8"/>
      <c r="AE54" s="8"/>
      <c r="AF54" s="8"/>
      <c r="AG54" s="8"/>
      <c r="AH54" s="8"/>
    </row>
    <row r="55" spans="2:34" s="6" customFormat="1" ht="12" customHeight="1">
      <c r="B55" s="6" t="s">
        <v>10</v>
      </c>
      <c r="C55" s="8"/>
      <c r="D55" s="8" t="s">
        <v>9</v>
      </c>
      <c r="E55" s="334">
        <f aca="true" t="shared" si="10" ref="E55:W55">$AF$99-E34</f>
        <v>95.6735246803827</v>
      </c>
      <c r="F55" s="334">
        <f t="shared" si="10"/>
        <v>105.83354500042336</v>
      </c>
      <c r="G55" s="334">
        <f t="shared" si="10"/>
        <v>67.73346880027093</v>
      </c>
      <c r="H55" s="334">
        <f t="shared" si="10"/>
        <v>119.54957243247823</v>
      </c>
      <c r="I55" s="334">
        <f t="shared" si="10"/>
        <v>109.89755312843958</v>
      </c>
      <c r="J55" s="334">
        <f t="shared" si="10"/>
        <v>99.22953179239693</v>
      </c>
      <c r="K55" s="334">
        <f t="shared" si="10"/>
        <v>100.245533824401</v>
      </c>
      <c r="L55" s="334">
        <f t="shared" si="10"/>
        <v>91.10151553636442</v>
      </c>
      <c r="M55" s="334">
        <f t="shared" si="10"/>
        <v>95.6735246803827</v>
      </c>
      <c r="N55" s="334">
        <f t="shared" si="10"/>
        <v>104.30954195241725</v>
      </c>
      <c r="O55" s="334">
        <f t="shared" si="10"/>
        <v>94.65752264837863</v>
      </c>
      <c r="P55" s="334">
        <f t="shared" si="10"/>
        <v>99.22953179239693</v>
      </c>
      <c r="Q55" s="334">
        <f t="shared" si="10"/>
        <v>99.22953179239693</v>
      </c>
      <c r="R55" s="334">
        <f t="shared" si="10"/>
        <v>103.29353992041317</v>
      </c>
      <c r="S55" s="334">
        <f t="shared" si="10"/>
        <v>69.25747184827702</v>
      </c>
      <c r="T55" s="334">
        <f t="shared" si="10"/>
        <v>98.21352976039286</v>
      </c>
      <c r="U55" s="334">
        <f t="shared" si="10"/>
        <v>95.16552366438067</v>
      </c>
      <c r="V55" s="334">
        <f t="shared" si="10"/>
        <v>20.99737532808399</v>
      </c>
      <c r="W55" s="334">
        <f t="shared" si="10"/>
        <v>20.99737532808399</v>
      </c>
      <c r="X55" s="17">
        <f t="shared" si="7"/>
        <v>92.73840769903765</v>
      </c>
      <c r="Y55" s="18"/>
      <c r="Z55" s="21"/>
      <c r="AA55" s="21"/>
      <c r="AB55" s="8"/>
      <c r="AC55" s="8"/>
      <c r="AD55" s="8"/>
      <c r="AE55" s="8"/>
      <c r="AF55" s="8"/>
      <c r="AG55" s="8"/>
      <c r="AH55" s="8"/>
    </row>
    <row r="56" spans="3:34" s="6" customFormat="1" ht="12" customHeight="1">
      <c r="C56" s="8"/>
      <c r="D56" s="8" t="s">
        <v>7</v>
      </c>
      <c r="E56" s="334">
        <f aca="true" t="shared" si="11" ref="E56:W56">$AF$99-E35</f>
        <v>98.72153077639489</v>
      </c>
      <c r="F56" s="334">
        <f t="shared" si="11"/>
        <v>93.13351960037255</v>
      </c>
      <c r="G56" s="334">
        <f t="shared" si="11"/>
        <v>103.80154093641522</v>
      </c>
      <c r="H56" s="334">
        <f t="shared" si="11"/>
        <v>108.88155109643554</v>
      </c>
      <c r="I56" s="334">
        <f t="shared" si="11"/>
        <v>58.08144949623234</v>
      </c>
      <c r="J56" s="334">
        <f t="shared" si="11"/>
        <v>102.27753788840913</v>
      </c>
      <c r="K56" s="334">
        <f t="shared" si="11"/>
        <v>99.22953179239693</v>
      </c>
      <c r="L56" s="334">
        <f t="shared" si="11"/>
        <v>97.70552874439083</v>
      </c>
      <c r="M56" s="334">
        <f t="shared" si="11"/>
        <v>105.83354500042336</v>
      </c>
      <c r="N56" s="334">
        <f t="shared" si="11"/>
        <v>108.37355008043352</v>
      </c>
      <c r="O56" s="334">
        <f t="shared" si="11"/>
        <v>101.7695368724071</v>
      </c>
      <c r="P56" s="334">
        <f t="shared" si="11"/>
        <v>97.19752772838879</v>
      </c>
      <c r="Q56" s="334">
        <f t="shared" si="11"/>
        <v>99.22953179239693</v>
      </c>
      <c r="R56" s="334">
        <f t="shared" si="11"/>
        <v>87.03750740834816</v>
      </c>
      <c r="S56" s="334">
        <f t="shared" si="11"/>
        <v>66.20946575226485</v>
      </c>
      <c r="T56" s="334">
        <f t="shared" si="11"/>
        <v>105.3255439844213</v>
      </c>
      <c r="U56" s="334">
        <f t="shared" si="11"/>
        <v>85.00550334434004</v>
      </c>
      <c r="V56" s="334">
        <f t="shared" si="11"/>
        <v>20.99737532808399</v>
      </c>
      <c r="W56" s="334">
        <f t="shared" si="11"/>
        <v>20.99737532808399</v>
      </c>
      <c r="X56" s="17">
        <f t="shared" si="7"/>
        <v>91.04507097903087</v>
      </c>
      <c r="Y56" s="18"/>
      <c r="Z56" s="21"/>
      <c r="AA56" s="21"/>
      <c r="AB56" s="8"/>
      <c r="AC56" s="8"/>
      <c r="AD56" s="8"/>
      <c r="AE56" s="8"/>
      <c r="AF56" s="8"/>
      <c r="AG56" s="8"/>
      <c r="AH56" s="8"/>
    </row>
    <row r="57" spans="2:34" s="6" customFormat="1" ht="12" customHeight="1">
      <c r="B57" s="6" t="s">
        <v>11</v>
      </c>
      <c r="C57" s="8"/>
      <c r="D57" s="8" t="s">
        <v>9</v>
      </c>
      <c r="E57" s="334">
        <f aca="true" t="shared" si="12" ref="E57:W57">$AF$99-E36</f>
        <v>93.38752010837355</v>
      </c>
      <c r="F57" s="334">
        <f t="shared" si="12"/>
        <v>101.00753534840406</v>
      </c>
      <c r="G57" s="334">
        <f t="shared" si="12"/>
        <v>61.383456100245546</v>
      </c>
      <c r="H57" s="334">
        <f t="shared" si="12"/>
        <v>113.19955973245284</v>
      </c>
      <c r="I57" s="334">
        <f t="shared" si="12"/>
        <v>103.03953941241218</v>
      </c>
      <c r="J57" s="334">
        <f t="shared" si="12"/>
        <v>93.38752010837355</v>
      </c>
      <c r="K57" s="334">
        <f t="shared" si="12"/>
        <v>94.91152315637966</v>
      </c>
      <c r="L57" s="334">
        <f t="shared" si="12"/>
        <v>88.30750994835324</v>
      </c>
      <c r="M57" s="334">
        <f t="shared" si="12"/>
        <v>91.35551604436544</v>
      </c>
      <c r="N57" s="334">
        <f t="shared" si="12"/>
        <v>94.91152315637966</v>
      </c>
      <c r="O57" s="334">
        <f t="shared" si="12"/>
        <v>86.78350690034715</v>
      </c>
      <c r="P57" s="334">
        <f t="shared" si="12"/>
        <v>92.87951909237155</v>
      </c>
      <c r="Q57" s="334">
        <f t="shared" si="12"/>
        <v>96.43552620438575</v>
      </c>
      <c r="R57" s="334">
        <f t="shared" si="12"/>
        <v>97.45152823638982</v>
      </c>
      <c r="S57" s="334">
        <f t="shared" si="12"/>
        <v>67.47946829226994</v>
      </c>
      <c r="T57" s="334">
        <f t="shared" si="12"/>
        <v>97.95952925239186</v>
      </c>
      <c r="U57" s="334">
        <f t="shared" si="12"/>
        <v>88.81551096435528</v>
      </c>
      <c r="V57" s="334">
        <f t="shared" si="12"/>
        <v>20.99737532808399</v>
      </c>
      <c r="W57" s="334">
        <f t="shared" si="12"/>
        <v>20.99737532808399</v>
      </c>
      <c r="X57" s="17">
        <f t="shared" si="7"/>
        <v>87.98295374368529</v>
      </c>
      <c r="Y57" s="18"/>
      <c r="Z57" s="21"/>
      <c r="AA57" s="21"/>
      <c r="AB57" s="8"/>
      <c r="AC57" s="8"/>
      <c r="AD57" s="8"/>
      <c r="AE57" s="8"/>
      <c r="AF57" s="8"/>
      <c r="AG57" s="8"/>
      <c r="AH57" s="8"/>
    </row>
    <row r="58" spans="3:34" s="6" customFormat="1" ht="12" customHeight="1">
      <c r="C58" s="8"/>
      <c r="D58" s="8" t="s">
        <v>7</v>
      </c>
      <c r="E58" s="334">
        <f aca="true" t="shared" si="13" ref="E58:W58">$AF$99-E37</f>
        <v>99.73753280839897</v>
      </c>
      <c r="F58" s="334">
        <f t="shared" si="13"/>
        <v>100.75353484040303</v>
      </c>
      <c r="G58" s="334">
        <f t="shared" si="13"/>
        <v>103.2935399204132</v>
      </c>
      <c r="H58" s="334">
        <f t="shared" si="13"/>
        <v>107.35754804842945</v>
      </c>
      <c r="I58" s="334">
        <f t="shared" si="13"/>
        <v>59.097451528236405</v>
      </c>
      <c r="J58" s="334">
        <f t="shared" si="13"/>
        <v>95.16552366438069</v>
      </c>
      <c r="K58" s="334">
        <f t="shared" si="13"/>
        <v>98.72153077639489</v>
      </c>
      <c r="L58" s="334">
        <f t="shared" si="13"/>
        <v>95.16552366438069</v>
      </c>
      <c r="M58" s="334">
        <f t="shared" si="13"/>
        <v>101.26153585640506</v>
      </c>
      <c r="N58" s="334">
        <f t="shared" si="13"/>
        <v>106.34154601642538</v>
      </c>
      <c r="O58" s="334">
        <f t="shared" si="13"/>
        <v>98.72153077639489</v>
      </c>
      <c r="P58" s="334">
        <f t="shared" si="13"/>
        <v>96.68952671238677</v>
      </c>
      <c r="Q58" s="334">
        <f t="shared" si="13"/>
        <v>101.26153585640506</v>
      </c>
      <c r="R58" s="334">
        <f t="shared" si="13"/>
        <v>88.56151045635426</v>
      </c>
      <c r="S58" s="334">
        <f t="shared" si="13"/>
        <v>68.74947083227502</v>
      </c>
      <c r="T58" s="334">
        <f t="shared" si="13"/>
        <v>109.38955211243757</v>
      </c>
      <c r="U58" s="334">
        <f t="shared" si="13"/>
        <v>82.97349928033191</v>
      </c>
      <c r="V58" s="334">
        <f t="shared" si="13"/>
        <v>20.99737532808399</v>
      </c>
      <c r="W58" s="334">
        <f t="shared" si="13"/>
        <v>20.99737532808399</v>
      </c>
      <c r="X58" s="17">
        <f t="shared" si="7"/>
        <v>90.79107047102984</v>
      </c>
      <c r="Y58" s="18"/>
      <c r="Z58" s="21"/>
      <c r="AA58" s="21"/>
      <c r="AB58" s="8"/>
      <c r="AC58" s="8"/>
      <c r="AD58" s="8"/>
      <c r="AE58" s="8"/>
      <c r="AF58" s="8"/>
      <c r="AG58" s="8"/>
      <c r="AH58" s="8"/>
    </row>
    <row r="59" spans="3:34" s="6" customFormat="1" ht="12" customHeight="1">
      <c r="C59" s="8"/>
      <c r="D59" s="8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334"/>
      <c r="W59" s="334"/>
      <c r="X59" s="17">
        <f>AVERAGE(X51:X58)</f>
        <v>87.77834222335112</v>
      </c>
      <c r="Y59" s="18"/>
      <c r="Z59" s="21"/>
      <c r="AA59" s="21"/>
      <c r="AB59" s="8"/>
      <c r="AC59" s="8"/>
      <c r="AD59" s="8"/>
      <c r="AE59" s="8"/>
      <c r="AF59" s="8"/>
      <c r="AG59" s="8"/>
      <c r="AH59" s="8"/>
    </row>
    <row r="60" spans="3:34" s="6" customFormat="1" ht="12" customHeight="1">
      <c r="C60" s="6" t="s">
        <v>42</v>
      </c>
      <c r="D60" s="8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8"/>
      <c r="AB60" s="8"/>
      <c r="AC60" s="8"/>
      <c r="AD60" s="8"/>
      <c r="AE60" s="8"/>
      <c r="AF60" s="8"/>
      <c r="AG60" s="8"/>
      <c r="AH60" s="8"/>
    </row>
    <row r="61" spans="2:34" s="6" customFormat="1" ht="12" customHeight="1">
      <c r="B61" s="6" t="s">
        <v>6</v>
      </c>
      <c r="C61" s="8"/>
      <c r="D61" s="8" t="s">
        <v>9</v>
      </c>
      <c r="E61" s="334">
        <f aca="true" t="shared" si="14" ref="E61:E68">$AG$99-E39</f>
        <v>-299.7205994411989</v>
      </c>
      <c r="F61" s="334">
        <f aca="true" t="shared" si="15" ref="F61:W68">$AG$99-F39</f>
        <v>-300.2286004572009</v>
      </c>
      <c r="G61" s="334">
        <f t="shared" si="15"/>
        <v>-303.2766065532132</v>
      </c>
      <c r="H61" s="334">
        <f t="shared" si="15"/>
        <v>-302.2606045212091</v>
      </c>
      <c r="I61" s="334">
        <f t="shared" si="15"/>
        <v>-303.78460756921515</v>
      </c>
      <c r="J61" s="334">
        <f t="shared" si="15"/>
        <v>-301.75260350520705</v>
      </c>
      <c r="K61" s="334">
        <f t="shared" si="15"/>
        <v>-291.5925831851664</v>
      </c>
      <c r="L61" s="334">
        <f t="shared" si="15"/>
        <v>-290.57658115316235</v>
      </c>
      <c r="M61" s="334">
        <f t="shared" si="15"/>
        <v>-303.78460756921515</v>
      </c>
      <c r="N61" s="334">
        <f t="shared" si="15"/>
        <v>-298.1965963931928</v>
      </c>
      <c r="O61" s="334">
        <f t="shared" si="15"/>
        <v>-316.992633985268</v>
      </c>
      <c r="P61" s="334">
        <f t="shared" si="15"/>
        <v>-304.2926085852172</v>
      </c>
      <c r="Q61" s="334">
        <f t="shared" si="15"/>
        <v>-292.6085852171705</v>
      </c>
      <c r="R61" s="334">
        <f t="shared" si="15"/>
        <v>-277.36855473710955</v>
      </c>
      <c r="S61" s="334">
        <f t="shared" si="15"/>
        <v>-271.2725425450851</v>
      </c>
      <c r="T61" s="334">
        <f t="shared" si="15"/>
        <v>-297.6885953771908</v>
      </c>
      <c r="U61" s="334">
        <f t="shared" si="15"/>
        <v>-312.92862585725175</v>
      </c>
      <c r="V61" s="334">
        <f t="shared" si="15"/>
        <v>-314.9606299212599</v>
      </c>
      <c r="W61" s="334">
        <f t="shared" si="15"/>
        <v>-294.6405892811786</v>
      </c>
      <c r="X61" s="17">
        <f>AVERAGE(E61:V61)</f>
        <v>-299.071487031863</v>
      </c>
      <c r="Y61" s="18"/>
      <c r="Z61" s="21"/>
      <c r="AA61" s="21"/>
      <c r="AB61" s="8"/>
      <c r="AC61" s="8"/>
      <c r="AD61" s="8"/>
      <c r="AE61" s="8"/>
      <c r="AF61" s="8"/>
      <c r="AG61" s="8"/>
      <c r="AH61" s="8"/>
    </row>
    <row r="62" spans="3:34" s="6" customFormat="1" ht="12" customHeight="1">
      <c r="C62" s="8"/>
      <c r="D62" s="8" t="s">
        <v>7</v>
      </c>
      <c r="E62" s="334">
        <f t="shared" si="14"/>
        <v>-283.972</v>
      </c>
      <c r="F62" s="334">
        <f aca="true" t="shared" si="16" ref="F62:T62">$AG$99-F40</f>
        <v>-282.956</v>
      </c>
      <c r="G62" s="334">
        <f t="shared" si="16"/>
        <v>-288.544</v>
      </c>
      <c r="H62" s="334">
        <f t="shared" si="16"/>
        <v>-286.00399999999996</v>
      </c>
      <c r="I62" s="334">
        <f t="shared" si="16"/>
        <v>-281.432</v>
      </c>
      <c r="J62" s="334">
        <f t="shared" si="16"/>
        <v>-282.44800000000004</v>
      </c>
      <c r="K62" s="334">
        <f t="shared" si="16"/>
        <v>-275.84400000000005</v>
      </c>
      <c r="L62" s="334">
        <f t="shared" si="16"/>
        <v>-280.92400000000004</v>
      </c>
      <c r="M62" s="334">
        <f t="shared" si="16"/>
        <v>-316.484</v>
      </c>
      <c r="N62" s="334">
        <f t="shared" si="16"/>
        <v>-303.78399999999993</v>
      </c>
      <c r="O62" s="334">
        <f t="shared" si="16"/>
        <v>-315.468</v>
      </c>
      <c r="P62" s="334">
        <f t="shared" si="16"/>
        <v>-326.136</v>
      </c>
      <c r="Q62" s="334">
        <f t="shared" si="16"/>
        <v>-332.232</v>
      </c>
      <c r="R62" s="334">
        <f t="shared" si="16"/>
        <v>-322.072</v>
      </c>
      <c r="S62" s="334">
        <f t="shared" si="16"/>
        <v>-317.5</v>
      </c>
      <c r="T62" s="334">
        <f t="shared" si="16"/>
        <v>-296.67199999999997</v>
      </c>
      <c r="U62" s="334">
        <f t="shared" si="15"/>
        <v>-306.324</v>
      </c>
      <c r="V62" s="334">
        <f t="shared" si="15"/>
        <v>-324.104</v>
      </c>
      <c r="W62" s="334">
        <f t="shared" si="15"/>
        <v>-330.20000000000005</v>
      </c>
      <c r="X62" s="17">
        <f aca="true" t="shared" si="17" ref="X62:X68">AVERAGE(E62:V62)</f>
        <v>-301.2722222222222</v>
      </c>
      <c r="Y62" s="18"/>
      <c r="Z62" s="21"/>
      <c r="AA62" s="21"/>
      <c r="AB62" s="8"/>
      <c r="AC62" s="8"/>
      <c r="AD62" s="8"/>
      <c r="AE62" s="8"/>
      <c r="AF62" s="8"/>
      <c r="AG62" s="8"/>
      <c r="AH62" s="8"/>
    </row>
    <row r="63" spans="2:34" s="6" customFormat="1" ht="12" customHeight="1">
      <c r="B63" s="6" t="s">
        <v>8</v>
      </c>
      <c r="C63" s="8"/>
      <c r="D63" s="8" t="s">
        <v>9</v>
      </c>
      <c r="E63" s="334">
        <f t="shared" si="14"/>
        <v>-302.006604013208</v>
      </c>
      <c r="F63" s="334">
        <f t="shared" si="15"/>
        <v>-303.0226060452121</v>
      </c>
      <c r="G63" s="334">
        <f t="shared" si="15"/>
        <v>-308.6106172212344</v>
      </c>
      <c r="H63" s="334">
        <f t="shared" si="15"/>
        <v>-306.07061214122433</v>
      </c>
      <c r="I63" s="334">
        <f t="shared" si="15"/>
        <v>-307.0866141732284</v>
      </c>
      <c r="J63" s="334">
        <f t="shared" si="15"/>
        <v>-303.0226060452121</v>
      </c>
      <c r="K63" s="334">
        <f t="shared" si="15"/>
        <v>-296.4185928371857</v>
      </c>
      <c r="L63" s="334">
        <f t="shared" si="15"/>
        <v>-297.4345948691897</v>
      </c>
      <c r="M63" s="334">
        <f t="shared" si="15"/>
        <v>-305.0546101092202</v>
      </c>
      <c r="N63" s="334">
        <f t="shared" si="15"/>
        <v>-297.94259588519174</v>
      </c>
      <c r="O63" s="334">
        <f t="shared" si="15"/>
        <v>-318.77063754127505</v>
      </c>
      <c r="P63" s="334">
        <f t="shared" si="15"/>
        <v>-303.0226060452121</v>
      </c>
      <c r="Q63" s="334">
        <f t="shared" si="15"/>
        <v>-292.86258572517147</v>
      </c>
      <c r="R63" s="334">
        <f t="shared" si="15"/>
        <v>-278.13055626111253</v>
      </c>
      <c r="S63" s="334">
        <f t="shared" si="15"/>
        <v>-269.494538989078</v>
      </c>
      <c r="T63" s="334">
        <f t="shared" si="15"/>
        <v>-294.38658877317755</v>
      </c>
      <c r="U63" s="334">
        <f t="shared" si="15"/>
        <v>-313.6906273812548</v>
      </c>
      <c r="V63" s="334">
        <f t="shared" si="15"/>
        <v>-315.2146304292608</v>
      </c>
      <c r="W63" s="334">
        <f t="shared" si="15"/>
        <v>-292.86258572517147</v>
      </c>
      <c r="X63" s="17">
        <f t="shared" si="17"/>
        <v>-300.68015691586936</v>
      </c>
      <c r="Y63" s="18"/>
      <c r="Z63" s="21"/>
      <c r="AA63" s="21"/>
      <c r="AB63" s="8"/>
      <c r="AC63" s="8"/>
      <c r="AD63" s="8"/>
      <c r="AE63" s="8"/>
      <c r="AF63" s="8"/>
      <c r="AG63" s="8"/>
      <c r="AH63" s="8"/>
    </row>
    <row r="64" spans="3:34" s="6" customFormat="1" ht="12" customHeight="1">
      <c r="C64" s="8"/>
      <c r="D64" s="8" t="s">
        <v>7</v>
      </c>
      <c r="E64" s="334">
        <f t="shared" si="14"/>
        <v>-301.244602489205</v>
      </c>
      <c r="F64" s="334">
        <f t="shared" si="15"/>
        <v>-302.7686055372111</v>
      </c>
      <c r="G64" s="334">
        <f t="shared" si="15"/>
        <v>-308.8646177292355</v>
      </c>
      <c r="H64" s="334">
        <f t="shared" si="15"/>
        <v>-304.2926085852171</v>
      </c>
      <c r="I64" s="334">
        <f t="shared" si="15"/>
        <v>-301.244602489205</v>
      </c>
      <c r="J64" s="334">
        <f t="shared" si="15"/>
        <v>-302.7686055372111</v>
      </c>
      <c r="K64" s="334">
        <f t="shared" si="15"/>
        <v>-295.14859029718065</v>
      </c>
      <c r="L64" s="334">
        <f t="shared" si="15"/>
        <v>-296.6725933451867</v>
      </c>
      <c r="M64" s="334">
        <f t="shared" si="15"/>
        <v>-318.00863601727207</v>
      </c>
      <c r="N64" s="334">
        <f t="shared" si="15"/>
        <v>-318.5166370332741</v>
      </c>
      <c r="O64" s="334">
        <f t="shared" si="15"/>
        <v>-335.7886715773431</v>
      </c>
      <c r="P64" s="334">
        <f t="shared" si="15"/>
        <v>-342.39268478536957</v>
      </c>
      <c r="Q64" s="334">
        <f t="shared" si="15"/>
        <v>-345.94869189738387</v>
      </c>
      <c r="R64" s="334">
        <f t="shared" si="15"/>
        <v>-337.8206756413513</v>
      </c>
      <c r="S64" s="334">
        <f t="shared" si="15"/>
        <v>-334.7726695453391</v>
      </c>
      <c r="T64" s="334">
        <f t="shared" si="15"/>
        <v>-314.4526289052578</v>
      </c>
      <c r="U64" s="334">
        <f t="shared" si="15"/>
        <v>-323.0886461772924</v>
      </c>
      <c r="V64" s="334">
        <f t="shared" si="15"/>
        <v>-341.37668275336557</v>
      </c>
      <c r="W64" s="334">
        <f t="shared" si="15"/>
        <v>-350.52070104140205</v>
      </c>
      <c r="X64" s="17">
        <f t="shared" si="17"/>
        <v>-318.06508057460564</v>
      </c>
      <c r="Y64" s="18"/>
      <c r="Z64" s="21"/>
      <c r="AA64" s="21"/>
      <c r="AB64" s="8"/>
      <c r="AC64" s="8"/>
      <c r="AD64" s="8"/>
      <c r="AE64" s="8"/>
      <c r="AF64" s="8"/>
      <c r="AG64" s="8"/>
      <c r="AH64" s="8"/>
    </row>
    <row r="65" spans="2:34" s="6" customFormat="1" ht="12" customHeight="1">
      <c r="B65" s="6" t="s">
        <v>10</v>
      </c>
      <c r="C65" s="8"/>
      <c r="D65" s="8" t="s">
        <v>9</v>
      </c>
      <c r="E65" s="334">
        <f t="shared" si="14"/>
        <v>-306.83261366522737</v>
      </c>
      <c r="F65" s="334">
        <f t="shared" si="15"/>
        <v>-305.8166116332233</v>
      </c>
      <c r="G65" s="334">
        <f t="shared" si="15"/>
        <v>-310.38862077724156</v>
      </c>
      <c r="H65" s="334">
        <f t="shared" si="15"/>
        <v>-307.8486156972315</v>
      </c>
      <c r="I65" s="334">
        <f t="shared" si="15"/>
        <v>-311.40462280924567</v>
      </c>
      <c r="J65" s="334">
        <f t="shared" si="15"/>
        <v>-308.35661671323345</v>
      </c>
      <c r="K65" s="334">
        <f t="shared" si="15"/>
        <v>-301.244602489205</v>
      </c>
      <c r="L65" s="334">
        <f t="shared" si="15"/>
        <v>-295.6565913131826</v>
      </c>
      <c r="M65" s="334">
        <f t="shared" si="15"/>
        <v>-306.83261366522737</v>
      </c>
      <c r="N65" s="334">
        <f t="shared" si="15"/>
        <v>-304.8006096012192</v>
      </c>
      <c r="O65" s="334">
        <f t="shared" si="15"/>
        <v>-321.0566421132842</v>
      </c>
      <c r="P65" s="334">
        <f t="shared" si="15"/>
        <v>-306.3246126492253</v>
      </c>
      <c r="Q65" s="334">
        <f t="shared" si="15"/>
        <v>-294.13258826517654</v>
      </c>
      <c r="R65" s="334">
        <f t="shared" si="15"/>
        <v>-279.9085598171197</v>
      </c>
      <c r="S65" s="334">
        <f t="shared" si="15"/>
        <v>-272.7965455930912</v>
      </c>
      <c r="T65" s="334">
        <f t="shared" si="15"/>
        <v>-296.1645923291847</v>
      </c>
      <c r="U65" s="334">
        <f t="shared" si="15"/>
        <v>-316.992633985268</v>
      </c>
      <c r="V65" s="334">
        <f t="shared" si="15"/>
        <v>-315.9766319532639</v>
      </c>
      <c r="W65" s="334">
        <f t="shared" si="15"/>
        <v>-295.14859029718065</v>
      </c>
      <c r="X65" s="17">
        <f t="shared" si="17"/>
        <v>-303.4741625038806</v>
      </c>
      <c r="Y65" s="18"/>
      <c r="Z65" s="21"/>
      <c r="AA65" s="21"/>
      <c r="AB65" s="8"/>
      <c r="AC65" s="8"/>
      <c r="AD65" s="8"/>
      <c r="AE65" s="8"/>
      <c r="AF65" s="8"/>
      <c r="AG65" s="8"/>
      <c r="AH65" s="8"/>
    </row>
    <row r="66" spans="3:34" s="6" customFormat="1" ht="12" customHeight="1">
      <c r="C66" s="8"/>
      <c r="D66" s="8" t="s">
        <v>7</v>
      </c>
      <c r="E66" s="334">
        <f t="shared" si="14"/>
        <v>-306.83261366522737</v>
      </c>
      <c r="F66" s="334">
        <f t="shared" si="15"/>
        <v>-311.9126238252477</v>
      </c>
      <c r="G66" s="334">
        <f t="shared" si="15"/>
        <v>-310.3886207772416</v>
      </c>
      <c r="H66" s="334">
        <f t="shared" si="15"/>
        <v>-310.3886207772416</v>
      </c>
      <c r="I66" s="334">
        <f t="shared" si="15"/>
        <v>-307.3406146812294</v>
      </c>
      <c r="J66" s="334">
        <f t="shared" si="15"/>
        <v>-306.83261366522737</v>
      </c>
      <c r="K66" s="334">
        <f t="shared" si="15"/>
        <v>-300.73660147320294</v>
      </c>
      <c r="L66" s="334">
        <f t="shared" si="15"/>
        <v>-306.32461264922534</v>
      </c>
      <c r="M66" s="334">
        <f t="shared" si="15"/>
        <v>-334.77266954533917</v>
      </c>
      <c r="N66" s="334">
        <f t="shared" si="15"/>
        <v>-323.08864617729233</v>
      </c>
      <c r="O66" s="334">
        <f t="shared" si="15"/>
        <v>-336.8046736093473</v>
      </c>
      <c r="P66" s="334">
        <f t="shared" si="15"/>
        <v>-345.44069088138184</v>
      </c>
      <c r="Q66" s="334">
        <f t="shared" si="15"/>
        <v>-335.0266700533401</v>
      </c>
      <c r="R66" s="334">
        <f t="shared" si="15"/>
        <v>-339.8526797053594</v>
      </c>
      <c r="S66" s="334">
        <f t="shared" si="15"/>
        <v>-339.8526797053594</v>
      </c>
      <c r="T66" s="334">
        <f t="shared" si="15"/>
        <v>-315.4686309372619</v>
      </c>
      <c r="U66" s="334">
        <f t="shared" si="15"/>
        <v>-325.12065024130044</v>
      </c>
      <c r="V66" s="334">
        <f t="shared" si="15"/>
        <v>-342.39268478536957</v>
      </c>
      <c r="W66" s="334">
        <f t="shared" si="15"/>
        <v>-348.48869697739394</v>
      </c>
      <c r="X66" s="17">
        <f t="shared" si="17"/>
        <v>-322.1431998419553</v>
      </c>
      <c r="Y66" s="18"/>
      <c r="Z66" s="21"/>
      <c r="AA66" s="21"/>
      <c r="AB66" s="8"/>
      <c r="AC66" s="8"/>
      <c r="AD66" s="8"/>
      <c r="AE66" s="8"/>
      <c r="AF66" s="8"/>
      <c r="AG66" s="8"/>
      <c r="AH66" s="8"/>
    </row>
    <row r="67" spans="2:34" s="6" customFormat="1" ht="12" customHeight="1">
      <c r="B67" s="6" t="s">
        <v>11</v>
      </c>
      <c r="C67" s="8"/>
      <c r="D67" s="8" t="s">
        <v>9</v>
      </c>
      <c r="E67" s="334">
        <f t="shared" si="14"/>
        <v>-296.1645923291847</v>
      </c>
      <c r="F67" s="334">
        <f t="shared" si="15"/>
        <v>-296.1645923291847</v>
      </c>
      <c r="G67" s="334">
        <f t="shared" si="15"/>
        <v>-307.3406146812294</v>
      </c>
      <c r="H67" s="334">
        <f t="shared" si="15"/>
        <v>-299.21259842519686</v>
      </c>
      <c r="I67" s="334">
        <f t="shared" si="15"/>
        <v>0</v>
      </c>
      <c r="J67" s="334">
        <f t="shared" si="15"/>
        <v>-302.2606045212091</v>
      </c>
      <c r="K67" s="334">
        <f t="shared" si="15"/>
        <v>-289.0525781051562</v>
      </c>
      <c r="L67" s="334">
        <f t="shared" si="15"/>
        <v>-284.98856997713995</v>
      </c>
      <c r="M67" s="334">
        <f t="shared" si="15"/>
        <v>-295.1485902971806</v>
      </c>
      <c r="N67" s="334">
        <f t="shared" si="15"/>
        <v>0</v>
      </c>
      <c r="O67" s="334">
        <f t="shared" si="15"/>
        <v>-311.40462280924567</v>
      </c>
      <c r="P67" s="334">
        <f t="shared" si="15"/>
        <v>-301.75260350520705</v>
      </c>
      <c r="Q67" s="334">
        <f t="shared" si="15"/>
        <v>-282.95656591313184</v>
      </c>
      <c r="R67" s="334">
        <f t="shared" si="15"/>
        <v>-272.7965455930912</v>
      </c>
      <c r="S67" s="334">
        <f t="shared" si="15"/>
        <v>0</v>
      </c>
      <c r="T67" s="334">
        <f t="shared" si="15"/>
        <v>-286.00457200914406</v>
      </c>
      <c r="U67" s="334">
        <f t="shared" si="15"/>
        <v>-299.7205994411989</v>
      </c>
      <c r="V67" s="334">
        <f t="shared" si="15"/>
        <v>-295.1485902971806</v>
      </c>
      <c r="W67" s="334">
        <f t="shared" si="15"/>
        <v>-281.94056388112773</v>
      </c>
      <c r="X67" s="17">
        <f t="shared" si="17"/>
        <v>-245.56204667964892</v>
      </c>
      <c r="Y67" s="18"/>
      <c r="Z67" s="21"/>
      <c r="AA67" s="21"/>
      <c r="AB67" s="8"/>
      <c r="AC67" s="8"/>
      <c r="AD67" s="8"/>
      <c r="AE67" s="8"/>
      <c r="AF67" s="8"/>
      <c r="AG67" s="8"/>
      <c r="AH67" s="8"/>
    </row>
    <row r="68" spans="3:34" s="6" customFormat="1" ht="12" customHeight="1">
      <c r="C68" s="8"/>
      <c r="D68" s="8" t="s">
        <v>7</v>
      </c>
      <c r="E68" s="334">
        <f t="shared" si="14"/>
        <v>-324.86664973329954</v>
      </c>
      <c r="F68" s="334">
        <f t="shared" si="15"/>
        <v>-322.8346456692914</v>
      </c>
      <c r="G68" s="334">
        <f t="shared" si="15"/>
        <v>-321.31064262128524</v>
      </c>
      <c r="H68" s="334">
        <f t="shared" si="15"/>
        <v>-319.2786385572772</v>
      </c>
      <c r="I68" s="334">
        <f t="shared" si="15"/>
        <v>0</v>
      </c>
      <c r="J68" s="334">
        <f t="shared" si="15"/>
        <v>-324.35864871729746</v>
      </c>
      <c r="K68" s="334">
        <f t="shared" si="15"/>
        <v>-319.78663957327916</v>
      </c>
      <c r="L68" s="334">
        <f t="shared" si="15"/>
        <v>-316.738633477267</v>
      </c>
      <c r="M68" s="334">
        <f t="shared" si="15"/>
        <v>-327.4066548133097</v>
      </c>
      <c r="N68" s="334">
        <f t="shared" si="15"/>
        <v>0</v>
      </c>
      <c r="O68" s="334">
        <f t="shared" si="15"/>
        <v>-330.96266192532386</v>
      </c>
      <c r="P68" s="334">
        <f t="shared" si="15"/>
        <v>-333.50266700533405</v>
      </c>
      <c r="Q68" s="334">
        <f t="shared" si="15"/>
        <v>-328.93065786131575</v>
      </c>
      <c r="R68" s="334">
        <f t="shared" si="15"/>
        <v>-327.4066548133097</v>
      </c>
      <c r="S68" s="334">
        <f t="shared" si="15"/>
        <v>0</v>
      </c>
      <c r="T68" s="334">
        <f t="shared" si="15"/>
        <v>-315.21463042926086</v>
      </c>
      <c r="U68" s="334">
        <f t="shared" si="15"/>
        <v>-317.246634493269</v>
      </c>
      <c r="V68" s="334">
        <f t="shared" si="15"/>
        <v>-341.12268224536456</v>
      </c>
      <c r="W68" s="334">
        <f t="shared" si="15"/>
        <v>-332.994665989332</v>
      </c>
      <c r="X68" s="17">
        <f t="shared" si="17"/>
        <v>-270.6093189964158</v>
      </c>
      <c r="Y68" s="18"/>
      <c r="Z68" s="21"/>
      <c r="AA68" s="21"/>
      <c r="AB68" s="8"/>
      <c r="AC68" s="8"/>
      <c r="AD68" s="8"/>
      <c r="AE68" s="8"/>
      <c r="AF68" s="8"/>
      <c r="AG68" s="8"/>
      <c r="AH68" s="8"/>
    </row>
    <row r="69" spans="3:34" s="6" customFormat="1" ht="12" customHeight="1">
      <c r="C69" s="8"/>
      <c r="D69" s="8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17"/>
      <c r="Y69" s="18"/>
      <c r="Z69" s="21"/>
      <c r="AA69" s="21"/>
      <c r="AB69" s="8"/>
      <c r="AC69" s="8"/>
      <c r="AD69" s="8"/>
      <c r="AE69" s="8"/>
      <c r="AF69" s="8"/>
      <c r="AG69" s="8"/>
      <c r="AH69" s="8"/>
    </row>
    <row r="70" spans="1:34" s="6" customFormat="1" ht="12" customHeight="1">
      <c r="A70" s="6" t="s">
        <v>15</v>
      </c>
      <c r="C70" s="8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8"/>
      <c r="Y70" s="8"/>
      <c r="AB70" s="8"/>
      <c r="AC70" s="8"/>
      <c r="AD70" s="8"/>
      <c r="AE70" s="8"/>
      <c r="AF70" s="8"/>
      <c r="AG70" s="8"/>
      <c r="AH70" s="8"/>
    </row>
    <row r="71" spans="3:34" s="6" customFormat="1" ht="12" customHeight="1">
      <c r="C71" s="8"/>
      <c r="E71" s="19">
        <v>1</v>
      </c>
      <c r="F71" s="19">
        <f aca="true" t="shared" si="18" ref="F71:W71">E71+1</f>
        <v>2</v>
      </c>
      <c r="G71" s="19">
        <f t="shared" si="18"/>
        <v>3</v>
      </c>
      <c r="H71" s="19">
        <f t="shared" si="18"/>
        <v>4</v>
      </c>
      <c r="I71" s="19">
        <f t="shared" si="18"/>
        <v>5</v>
      </c>
      <c r="J71" s="19">
        <f t="shared" si="18"/>
        <v>6</v>
      </c>
      <c r="K71" s="19">
        <f t="shared" si="18"/>
        <v>7</v>
      </c>
      <c r="L71" s="19">
        <f t="shared" si="18"/>
        <v>8</v>
      </c>
      <c r="M71" s="19">
        <f t="shared" si="18"/>
        <v>9</v>
      </c>
      <c r="N71" s="19">
        <f t="shared" si="18"/>
        <v>10</v>
      </c>
      <c r="O71" s="19">
        <f t="shared" si="18"/>
        <v>11</v>
      </c>
      <c r="P71" s="19">
        <f t="shared" si="18"/>
        <v>12</v>
      </c>
      <c r="Q71" s="19">
        <f t="shared" si="18"/>
        <v>13</v>
      </c>
      <c r="R71" s="19">
        <f t="shared" si="18"/>
        <v>14</v>
      </c>
      <c r="S71" s="19">
        <f t="shared" si="18"/>
        <v>15</v>
      </c>
      <c r="T71" s="19">
        <f t="shared" si="18"/>
        <v>16</v>
      </c>
      <c r="U71" s="19">
        <f t="shared" si="18"/>
        <v>17</v>
      </c>
      <c r="V71" s="19">
        <f t="shared" si="18"/>
        <v>18</v>
      </c>
      <c r="W71" s="19">
        <f t="shared" si="18"/>
        <v>19</v>
      </c>
      <c r="X71" s="19" t="s">
        <v>0</v>
      </c>
      <c r="Y71" s="19"/>
      <c r="AB71" s="8"/>
      <c r="AC71" s="8"/>
      <c r="AD71" s="8"/>
      <c r="AE71" s="8"/>
      <c r="AF71" s="8"/>
      <c r="AG71" s="8"/>
      <c r="AH71" s="8"/>
    </row>
    <row r="72" spans="3:34" s="6" customFormat="1" ht="12" customHeight="1">
      <c r="C72" s="6" t="s">
        <v>5</v>
      </c>
      <c r="X72" s="8"/>
      <c r="Y72" s="8"/>
      <c r="AB72" s="8"/>
      <c r="AC72" s="8"/>
      <c r="AD72" s="8"/>
      <c r="AE72" s="8"/>
      <c r="AF72" s="8"/>
      <c r="AG72" s="8"/>
      <c r="AH72" s="8"/>
    </row>
    <row r="73" spans="2:34" s="6" customFormat="1" ht="12" customHeight="1">
      <c r="B73" s="6" t="s">
        <v>6</v>
      </c>
      <c r="C73" s="8" t="str">
        <f>$C$30</f>
        <v>I-001 5th sizing</v>
      </c>
      <c r="D73" s="8" t="s">
        <v>9</v>
      </c>
      <c r="X73" s="8"/>
      <c r="Y73" s="8"/>
      <c r="AB73" s="8"/>
      <c r="AC73" s="8"/>
      <c r="AD73" s="8"/>
      <c r="AE73" s="8"/>
      <c r="AF73" s="8"/>
      <c r="AG73" s="8"/>
      <c r="AH73" s="8"/>
    </row>
    <row r="74" spans="3:34" s="6" customFormat="1" ht="12" customHeight="1">
      <c r="C74" s="8"/>
      <c r="D74" s="8" t="s">
        <v>7</v>
      </c>
      <c r="X74" s="8"/>
      <c r="Y74" s="8"/>
      <c r="AB74" s="8"/>
      <c r="AC74" s="8"/>
      <c r="AD74" s="8"/>
      <c r="AE74" s="8"/>
      <c r="AF74" s="8"/>
      <c r="AG74" s="8"/>
      <c r="AH74" s="8"/>
    </row>
    <row r="75" spans="2:34" s="6" customFormat="1" ht="12" customHeight="1">
      <c r="B75" s="6" t="s">
        <v>8</v>
      </c>
      <c r="C75" s="8"/>
      <c r="D75" s="8" t="s">
        <v>9</v>
      </c>
      <c r="X75" s="8"/>
      <c r="Y75" s="8"/>
      <c r="AB75" s="8"/>
      <c r="AC75" s="8"/>
      <c r="AD75" s="8"/>
      <c r="AE75" s="8"/>
      <c r="AF75" s="8"/>
      <c r="AG75" s="8"/>
      <c r="AH75" s="8"/>
    </row>
    <row r="76" spans="3:34" s="6" customFormat="1" ht="12" customHeight="1">
      <c r="C76" s="8"/>
      <c r="D76" s="8" t="s">
        <v>7</v>
      </c>
      <c r="X76" s="8"/>
      <c r="Y76" s="8"/>
      <c r="AB76" s="8"/>
      <c r="AC76" s="8"/>
      <c r="AD76" s="8"/>
      <c r="AE76" s="8"/>
      <c r="AF76" s="8"/>
      <c r="AG76" s="8"/>
      <c r="AH76" s="8"/>
    </row>
    <row r="77" spans="2:34" s="6" customFormat="1" ht="12" customHeight="1">
      <c r="B77" s="6" t="s">
        <v>10</v>
      </c>
      <c r="C77" s="8"/>
      <c r="D77" s="8" t="s">
        <v>9</v>
      </c>
      <c r="X77" s="8"/>
      <c r="Y77" s="8"/>
      <c r="AB77" s="8"/>
      <c r="AC77" s="8"/>
      <c r="AD77" s="8"/>
      <c r="AE77" s="8"/>
      <c r="AF77" s="8"/>
      <c r="AG77" s="8"/>
      <c r="AH77" s="8"/>
    </row>
    <row r="78" spans="3:34" s="6" customFormat="1" ht="12" customHeight="1">
      <c r="C78" s="8"/>
      <c r="D78" s="8" t="s">
        <v>7</v>
      </c>
      <c r="X78" s="8"/>
      <c r="Y78" s="8"/>
      <c r="AB78" s="8"/>
      <c r="AC78" s="8"/>
      <c r="AD78" s="8"/>
      <c r="AE78" s="8"/>
      <c r="AF78" s="8"/>
      <c r="AG78" s="8"/>
      <c r="AH78" s="8"/>
    </row>
    <row r="79" spans="2:34" s="6" customFormat="1" ht="12" customHeight="1">
      <c r="B79" s="6" t="s">
        <v>11</v>
      </c>
      <c r="C79" s="8"/>
      <c r="D79" s="8" t="s">
        <v>9</v>
      </c>
      <c r="X79" s="8"/>
      <c r="Y79" s="8"/>
      <c r="AB79" s="8"/>
      <c r="AC79" s="8"/>
      <c r="AD79" s="8"/>
      <c r="AE79" s="8"/>
      <c r="AF79" s="8"/>
      <c r="AG79" s="8"/>
      <c r="AH79" s="8"/>
    </row>
    <row r="80" spans="3:34" s="6" customFormat="1" ht="12" customHeight="1">
      <c r="C80" s="8"/>
      <c r="D80" s="8" t="s">
        <v>7</v>
      </c>
      <c r="X80" s="8"/>
      <c r="Y80" s="8"/>
      <c r="AB80" s="8"/>
      <c r="AC80" s="8"/>
      <c r="AD80" s="8"/>
      <c r="AE80" s="8"/>
      <c r="AF80" s="8"/>
      <c r="AG80" s="8"/>
      <c r="AH80" s="8"/>
    </row>
    <row r="81" spans="3:34" s="6" customFormat="1" ht="12" customHeight="1">
      <c r="C81" s="61" t="s">
        <v>42</v>
      </c>
      <c r="D81" s="8"/>
      <c r="X81" s="8"/>
      <c r="Y81" s="8"/>
      <c r="AB81" s="8"/>
      <c r="AC81" s="8"/>
      <c r="AD81" s="8"/>
      <c r="AE81" s="8"/>
      <c r="AF81" s="8"/>
      <c r="AG81" s="8"/>
      <c r="AH81" s="8"/>
    </row>
    <row r="82" spans="2:34" s="6" customFormat="1" ht="12" customHeight="1">
      <c r="B82" s="6" t="s">
        <v>6</v>
      </c>
      <c r="C82" s="8"/>
      <c r="D82" s="8" t="s">
        <v>9</v>
      </c>
      <c r="X82" s="8"/>
      <c r="Y82" s="8"/>
      <c r="AB82" s="8"/>
      <c r="AC82" s="8"/>
      <c r="AD82" s="8"/>
      <c r="AE82" s="8"/>
      <c r="AF82" s="8"/>
      <c r="AG82" s="8"/>
      <c r="AH82" s="8"/>
    </row>
    <row r="83" spans="3:34" s="6" customFormat="1" ht="12" customHeight="1">
      <c r="C83" s="8"/>
      <c r="D83" s="8" t="s">
        <v>7</v>
      </c>
      <c r="X83" s="8"/>
      <c r="Y83" s="8"/>
      <c r="AB83" s="8"/>
      <c r="AC83" s="8"/>
      <c r="AD83" s="8"/>
      <c r="AE83" s="8"/>
      <c r="AF83" s="8"/>
      <c r="AG83" s="8"/>
      <c r="AH83" s="8"/>
    </row>
    <row r="84" spans="2:34" s="6" customFormat="1" ht="12" customHeight="1">
      <c r="B84" s="6" t="s">
        <v>8</v>
      </c>
      <c r="C84" s="8"/>
      <c r="D84" s="8" t="s">
        <v>9</v>
      </c>
      <c r="X84" s="8"/>
      <c r="Y84" s="8"/>
      <c r="AB84" s="8"/>
      <c r="AC84" s="8"/>
      <c r="AD84" s="8"/>
      <c r="AE84" s="8"/>
      <c r="AF84" s="8"/>
      <c r="AG84" s="8"/>
      <c r="AH84" s="8"/>
    </row>
    <row r="85" spans="3:34" s="6" customFormat="1" ht="12" customHeight="1">
      <c r="C85" s="8"/>
      <c r="D85" s="8" t="s">
        <v>7</v>
      </c>
      <c r="X85" s="8"/>
      <c r="Y85" s="8"/>
      <c r="AB85" s="8"/>
      <c r="AC85" s="8"/>
      <c r="AD85" s="8"/>
      <c r="AE85" s="8"/>
      <c r="AF85" s="8"/>
      <c r="AG85" s="8"/>
      <c r="AH85" s="8"/>
    </row>
    <row r="86" spans="2:34" s="6" customFormat="1" ht="12" customHeight="1">
      <c r="B86" s="6" t="s">
        <v>10</v>
      </c>
      <c r="C86" s="8"/>
      <c r="D86" s="8" t="s">
        <v>9</v>
      </c>
      <c r="X86" s="8"/>
      <c r="Y86" s="8"/>
      <c r="AB86" s="8"/>
      <c r="AC86" s="8"/>
      <c r="AD86" s="8"/>
      <c r="AE86" s="8"/>
      <c r="AF86" s="8"/>
      <c r="AG86" s="8"/>
      <c r="AH86" s="8"/>
    </row>
    <row r="87" spans="3:34" s="6" customFormat="1" ht="12" customHeight="1">
      <c r="C87" s="8"/>
      <c r="D87" s="8" t="s">
        <v>7</v>
      </c>
      <c r="X87" s="8"/>
      <c r="Y87" s="8"/>
      <c r="AB87" s="8"/>
      <c r="AC87" s="8"/>
      <c r="AD87" s="8"/>
      <c r="AE87" s="8"/>
      <c r="AF87" s="8"/>
      <c r="AG87" s="8"/>
      <c r="AH87" s="8"/>
    </row>
    <row r="88" spans="2:34" s="6" customFormat="1" ht="12" customHeight="1">
      <c r="B88" s="6" t="s">
        <v>11</v>
      </c>
      <c r="C88" s="8"/>
      <c r="D88" s="8" t="s">
        <v>9</v>
      </c>
      <c r="X88" s="8"/>
      <c r="Y88" s="8"/>
      <c r="AB88" s="8"/>
      <c r="AC88" s="8"/>
      <c r="AD88" s="8"/>
      <c r="AE88" s="8"/>
      <c r="AF88" s="8"/>
      <c r="AG88" s="8"/>
      <c r="AH88" s="8"/>
    </row>
    <row r="89" spans="3:34" s="6" customFormat="1" ht="12" customHeight="1">
      <c r="C89" s="8"/>
      <c r="D89" s="8" t="s">
        <v>7</v>
      </c>
      <c r="X89" s="8"/>
      <c r="Y89" s="8"/>
      <c r="AB89" s="8"/>
      <c r="AC89" s="8"/>
      <c r="AD89" s="8"/>
      <c r="AE89" s="8"/>
      <c r="AF89" s="8"/>
      <c r="AG89" s="8"/>
      <c r="AH89" s="8"/>
    </row>
    <row r="90" spans="3:34" s="6" customFormat="1" ht="12" customHeight="1">
      <c r="C90" s="8"/>
      <c r="D90" s="8"/>
      <c r="X90" s="8"/>
      <c r="Y90" s="44" t="s">
        <v>16</v>
      </c>
      <c r="Z90"/>
      <c r="AB90" s="8"/>
      <c r="AC90" s="8"/>
      <c r="AD90" s="8"/>
      <c r="AE90" s="8"/>
      <c r="AF90" s="64" t="s">
        <v>17</v>
      </c>
      <c r="AG90" s="38"/>
      <c r="AH90" s="8"/>
    </row>
    <row r="91" spans="3:34" s="6" customFormat="1" ht="12" customHeight="1">
      <c r="C91" s="8"/>
      <c r="D91" s="8"/>
      <c r="X91" s="8"/>
      <c r="Y91" s="44"/>
      <c r="Z91"/>
      <c r="AB91" s="8"/>
      <c r="AC91" s="8"/>
      <c r="AD91" s="8"/>
      <c r="AE91" s="8"/>
      <c r="AF91" s="64"/>
      <c r="AG91" s="34"/>
      <c r="AH91" s="8"/>
    </row>
    <row r="92" spans="3:34" s="6" customFormat="1" ht="12" customHeight="1">
      <c r="C92" s="8"/>
      <c r="D92" s="8"/>
      <c r="X92" s="8"/>
      <c r="Y92" s="28"/>
      <c r="Z92"/>
      <c r="AB92" s="8"/>
      <c r="AC92" s="8"/>
      <c r="AD92" s="8"/>
      <c r="AE92" s="8"/>
      <c r="AF92" s="8"/>
      <c r="AG92" s="8"/>
      <c r="AH92" s="8"/>
    </row>
    <row r="93" spans="3:34" s="9" customFormat="1" ht="12" customHeight="1">
      <c r="C93"/>
      <c r="D93"/>
      <c r="X93" s="10"/>
      <c r="Y93" s="29" t="s">
        <v>18</v>
      </c>
      <c r="Z93"/>
      <c r="AB93"/>
      <c r="AC93"/>
      <c r="AD93" s="10"/>
      <c r="AE93"/>
      <c r="AF93" s="8" t="s">
        <v>19</v>
      </c>
      <c r="AG93" s="8" t="s">
        <v>20</v>
      </c>
      <c r="AH93" s="10"/>
    </row>
    <row r="94" spans="3:34" s="9" customFormat="1" ht="12" customHeight="1">
      <c r="C94"/>
      <c r="D94"/>
      <c r="X94" s="10"/>
      <c r="Y94" s="29"/>
      <c r="Z94" t="s">
        <v>136</v>
      </c>
      <c r="AB94"/>
      <c r="AC94"/>
      <c r="AD94" s="10"/>
      <c r="AE94"/>
      <c r="AF94" s="18">
        <v>91.5</v>
      </c>
      <c r="AG94" s="18">
        <f>AG95</f>
        <v>69.5</v>
      </c>
      <c r="AH94" s="10"/>
    </row>
    <row r="95" spans="3:34" s="6" customFormat="1" ht="12" customHeight="1">
      <c r="C95"/>
      <c r="D95"/>
      <c r="X95" s="8"/>
      <c r="Y95"/>
      <c r="Z95" s="6" t="s">
        <v>21</v>
      </c>
      <c r="AA95"/>
      <c r="AB95"/>
      <c r="AC95"/>
      <c r="AD95" s="8"/>
      <c r="AE95"/>
      <c r="AF95" s="18">
        <f>83.5</f>
        <v>83.5</v>
      </c>
      <c r="AG95" s="18">
        <f>69.5</f>
        <v>69.5</v>
      </c>
      <c r="AH95" s="8"/>
    </row>
    <row r="96" spans="3:34" s="6" customFormat="1" ht="12" customHeight="1">
      <c r="C96"/>
      <c r="D96"/>
      <c r="X96" s="8"/>
      <c r="Y96"/>
      <c r="Z96" s="6" t="s">
        <v>22</v>
      </c>
      <c r="AA96"/>
      <c r="AB96"/>
      <c r="AC96"/>
      <c r="AD96" s="8"/>
      <c r="AE96"/>
      <c r="AF96" s="18">
        <v>29</v>
      </c>
      <c r="AG96" s="18">
        <v>24</v>
      </c>
      <c r="AH96" s="8"/>
    </row>
    <row r="97" spans="3:34" s="6" customFormat="1" ht="12" customHeight="1">
      <c r="C97"/>
      <c r="D97"/>
      <c r="X97" s="8"/>
      <c r="Y97"/>
      <c r="Z97" s="6" t="s">
        <v>23</v>
      </c>
      <c r="AA97"/>
      <c r="AB97"/>
      <c r="AC97"/>
      <c r="AD97" s="8"/>
      <c r="AE97"/>
      <c r="AF97" s="18">
        <v>381</v>
      </c>
      <c r="AG97" s="18">
        <v>400</v>
      </c>
      <c r="AH97" s="8"/>
    </row>
    <row r="98" spans="3:34" s="6" customFormat="1" ht="12" customHeight="1">
      <c r="C98"/>
      <c r="D98"/>
      <c r="X98" s="8"/>
      <c r="Y98"/>
      <c r="Z98" s="6" t="s">
        <v>24</v>
      </c>
      <c r="AA98"/>
      <c r="AB98"/>
      <c r="AC98"/>
      <c r="AD98" s="8"/>
      <c r="AE98"/>
      <c r="AF98" s="18"/>
      <c r="AG98" s="18">
        <v>653</v>
      </c>
      <c r="AH98" s="8"/>
    </row>
    <row r="99" spans="3:34" s="6" customFormat="1" ht="12" customHeight="1">
      <c r="C99"/>
      <c r="D99"/>
      <c r="X99" s="8"/>
      <c r="Y99"/>
      <c r="Z99" s="6" t="s">
        <v>25</v>
      </c>
      <c r="AA99"/>
      <c r="AB99"/>
      <c r="AC99"/>
      <c r="AD99" s="8"/>
      <c r="AE99"/>
      <c r="AF99" s="17">
        <f>1000*((AF94-AF95)/AF97)</f>
        <v>20.99737532808399</v>
      </c>
      <c r="AG99" s="17">
        <f>1000*((AG94-AG95)/AG97)</f>
        <v>0</v>
      </c>
      <c r="AH99" s="8"/>
    </row>
    <row r="100" spans="3:34" s="6" customFormat="1" ht="12" customHeight="1">
      <c r="C100"/>
      <c r="D100"/>
      <c r="X100" s="8"/>
      <c r="Y100"/>
      <c r="Z100" s="6" t="s">
        <v>26</v>
      </c>
      <c r="AA100"/>
      <c r="AB100"/>
      <c r="AC100"/>
      <c r="AD100" s="8"/>
      <c r="AE100"/>
      <c r="AF100" s="18">
        <f>AF99*39.37</f>
        <v>826.6666666666666</v>
      </c>
      <c r="AG100" s="18">
        <f>AG99*39.37</f>
        <v>0</v>
      </c>
      <c r="AH100" s="8"/>
    </row>
    <row r="101" spans="3:34" s="6" customFormat="1" ht="12" customHeight="1">
      <c r="C101"/>
      <c r="D101"/>
      <c r="X101" s="8"/>
      <c r="Y101" s="8"/>
      <c r="Z101"/>
      <c r="AB101"/>
      <c r="AC101"/>
      <c r="AD101" s="8"/>
      <c r="AE101" s="18"/>
      <c r="AF101" s="18"/>
      <c r="AG101" s="8"/>
      <c r="AH101" s="8"/>
    </row>
    <row r="102" spans="3:34" s="6" customFormat="1" ht="12" customHeight="1">
      <c r="C102" s="8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63" t="s">
        <v>27</v>
      </c>
      <c r="Z102"/>
      <c r="AB102" s="8"/>
      <c r="AC102" s="8"/>
      <c r="AD102" s="8"/>
      <c r="AE102" s="8"/>
      <c r="AF102" s="8"/>
      <c r="AG102" s="8"/>
      <c r="AH102" s="8"/>
    </row>
    <row r="103" spans="3:34" s="6" customFormat="1" ht="12" customHeight="1">
      <c r="C103" s="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30"/>
      <c r="AA103" s="31"/>
      <c r="AB103" s="32"/>
      <c r="AC103" s="31" t="s">
        <v>28</v>
      </c>
      <c r="AD103" s="31"/>
      <c r="AE103" s="31" t="s">
        <v>29</v>
      </c>
      <c r="AF103" s="31" t="s">
        <v>30</v>
      </c>
      <c r="AG103" s="32" t="s">
        <v>31</v>
      </c>
      <c r="AH103" s="8"/>
    </row>
    <row r="104" spans="1:34" s="15" customFormat="1" ht="12" customHeight="1">
      <c r="A104" s="6" t="s">
        <v>32</v>
      </c>
      <c r="B104" s="6"/>
      <c r="C104" s="16"/>
      <c r="D104" s="16"/>
      <c r="E104" s="8">
        <v>1</v>
      </c>
      <c r="F104" s="8">
        <f aca="true" t="shared" si="19" ref="F104:W104">E104+1</f>
        <v>2</v>
      </c>
      <c r="G104" s="8">
        <f t="shared" si="19"/>
        <v>3</v>
      </c>
      <c r="H104" s="8">
        <f t="shared" si="19"/>
        <v>4</v>
      </c>
      <c r="I104" s="8">
        <f t="shared" si="19"/>
        <v>5</v>
      </c>
      <c r="J104" s="8">
        <f t="shared" si="19"/>
        <v>6</v>
      </c>
      <c r="K104" s="8">
        <f t="shared" si="19"/>
        <v>7</v>
      </c>
      <c r="L104" s="8">
        <f t="shared" si="19"/>
        <v>8</v>
      </c>
      <c r="M104" s="8">
        <f t="shared" si="19"/>
        <v>9</v>
      </c>
      <c r="N104" s="8">
        <f t="shared" si="19"/>
        <v>10</v>
      </c>
      <c r="O104" s="8">
        <f t="shared" si="19"/>
        <v>11</v>
      </c>
      <c r="P104" s="8"/>
      <c r="Q104" s="8"/>
      <c r="R104" s="8"/>
      <c r="S104" s="8">
        <f>O104+1</f>
        <v>12</v>
      </c>
      <c r="T104" s="8">
        <f t="shared" si="19"/>
        <v>13</v>
      </c>
      <c r="U104" s="8">
        <f t="shared" si="19"/>
        <v>14</v>
      </c>
      <c r="V104" s="8">
        <f t="shared" si="19"/>
        <v>15</v>
      </c>
      <c r="W104" s="8">
        <f t="shared" si="19"/>
        <v>16</v>
      </c>
      <c r="X104" s="8" t="s">
        <v>0</v>
      </c>
      <c r="Y104" s="8"/>
      <c r="Z104" s="40" t="s">
        <v>33</v>
      </c>
      <c r="AA104" s="41" t="s">
        <v>34</v>
      </c>
      <c r="AB104" s="42" t="s">
        <v>35</v>
      </c>
      <c r="AC104" s="41" t="s">
        <v>36</v>
      </c>
      <c r="AD104" s="41" t="s">
        <v>37</v>
      </c>
      <c r="AE104" s="41" t="s">
        <v>38</v>
      </c>
      <c r="AF104" s="41" t="s">
        <v>39</v>
      </c>
      <c r="AG104" s="42" t="s">
        <v>40</v>
      </c>
      <c r="AH104" s="16"/>
    </row>
    <row r="105" spans="3:34" s="6" customFormat="1" ht="12" customHeight="1">
      <c r="C105" s="6" t="s">
        <v>5</v>
      </c>
      <c r="X105" s="8"/>
      <c r="Y105" s="8"/>
      <c r="Z105" s="33" t="s">
        <v>41</v>
      </c>
      <c r="AA105" s="34"/>
      <c r="AB105" s="37"/>
      <c r="AC105" s="35">
        <f>AVERAGE(X106:X113)</f>
        <v>-63.51203327406657</v>
      </c>
      <c r="AD105" s="34"/>
      <c r="AE105" s="35">
        <v>0</v>
      </c>
      <c r="AF105" s="35">
        <f>AVERAGE(AF106:AF113)</f>
        <v>0</v>
      </c>
      <c r="AG105" s="36">
        <f>AVERAGE(AG106:AG113)</f>
        <v>-63.51203327406657</v>
      </c>
      <c r="AH105" s="17"/>
    </row>
    <row r="106" spans="2:34" s="6" customFormat="1" ht="12" customHeight="1">
      <c r="B106" s="6" t="s">
        <v>6</v>
      </c>
      <c r="C106" s="8" t="str">
        <f>$C$30</f>
        <v>I-001 5th sizing</v>
      </c>
      <c r="D106" s="8" t="s">
        <v>9</v>
      </c>
      <c r="E106" s="6">
        <f aca="true" t="shared" si="20" ref="E106:E113">E30+E73</f>
        <v>-99.82219964439932</v>
      </c>
      <c r="F106" s="6">
        <f aca="true" t="shared" si="21" ref="F106:W106">F30+F73</f>
        <v>-97.79019558039118</v>
      </c>
      <c r="G106" s="6">
        <f t="shared" si="21"/>
        <v>-68.32613665227332</v>
      </c>
      <c r="H106" s="6">
        <f t="shared" si="21"/>
        <v>-129.28625857251717</v>
      </c>
      <c r="I106" s="6">
        <f t="shared" si="21"/>
        <v>0</v>
      </c>
      <c r="J106" s="6">
        <f t="shared" si="21"/>
        <v>-94.742189484379</v>
      </c>
      <c r="K106" s="6">
        <f t="shared" si="21"/>
        <v>-107.95021590043181</v>
      </c>
      <c r="L106" s="6">
        <f t="shared" si="21"/>
        <v>-108.45821691643387</v>
      </c>
      <c r="M106" s="6">
        <f t="shared" si="21"/>
        <v>0</v>
      </c>
      <c r="N106" s="6">
        <f t="shared" si="21"/>
        <v>-104.90220980441961</v>
      </c>
      <c r="O106" s="6">
        <f t="shared" si="21"/>
        <v>-93.21818643637286</v>
      </c>
      <c r="S106" s="6">
        <f t="shared" si="21"/>
        <v>-97.79019558039118</v>
      </c>
      <c r="T106" s="6">
        <f t="shared" si="21"/>
        <v>-134.36626873253746</v>
      </c>
      <c r="U106" s="6">
        <f t="shared" si="21"/>
        <v>-106.93421386842775</v>
      </c>
      <c r="V106" s="6">
        <f t="shared" si="21"/>
        <v>0</v>
      </c>
      <c r="W106" s="6">
        <f t="shared" si="21"/>
        <v>0</v>
      </c>
      <c r="X106" s="8">
        <f aca="true" t="shared" si="22" ref="X106:X123">AVERAGE(E106:W106)</f>
        <v>-77.72415544831092</v>
      </c>
      <c r="Y106" s="8"/>
      <c r="Z106" s="336" t="str">
        <f>C9</f>
        <v>I-001 5th sizing</v>
      </c>
      <c r="AA106" s="34" t="s">
        <v>6</v>
      </c>
      <c r="AB106" s="340" t="str">
        <f>D9</f>
        <v>A</v>
      </c>
      <c r="AC106" s="35">
        <f aca="true" t="shared" si="23" ref="AC106:AC113">X106</f>
        <v>-77.72415544831092</v>
      </c>
      <c r="AD106" s="35">
        <f>AVERAGE(X106,X113)</f>
        <v>-71.13601727203456</v>
      </c>
      <c r="AE106" s="35">
        <f>$AE$105</f>
        <v>0</v>
      </c>
      <c r="AF106" s="34">
        <v>0</v>
      </c>
      <c r="AG106" s="36">
        <f>AD106+AE106+AF106</f>
        <v>-71.13601727203456</v>
      </c>
      <c r="AH106" s="8"/>
    </row>
    <row r="107" spans="3:34" s="6" customFormat="1" ht="12" customHeight="1">
      <c r="C107" s="8"/>
      <c r="D107" s="8" t="s">
        <v>7</v>
      </c>
      <c r="E107" s="6">
        <f t="shared" si="20"/>
        <v>-97.28219456438913</v>
      </c>
      <c r="F107" s="6">
        <f aca="true" t="shared" si="24" ref="F107:O107">F31+F74</f>
        <v>-89.1541783083566</v>
      </c>
      <c r="G107" s="6">
        <f t="shared" si="24"/>
        <v>-118.11023622047243</v>
      </c>
      <c r="H107" s="6">
        <f t="shared" si="24"/>
        <v>0</v>
      </c>
      <c r="I107" s="6">
        <f t="shared" si="24"/>
        <v>0</v>
      </c>
      <c r="J107" s="6">
        <f t="shared" si="24"/>
        <v>-91.6941833883668</v>
      </c>
      <c r="K107" s="6">
        <f t="shared" si="24"/>
        <v>-101.85420370840743</v>
      </c>
      <c r="L107" s="6">
        <f t="shared" si="24"/>
        <v>-104.3942087884176</v>
      </c>
      <c r="M107" s="6">
        <f t="shared" si="24"/>
        <v>0</v>
      </c>
      <c r="N107" s="6">
        <f t="shared" si="24"/>
        <v>-101.85420370840743</v>
      </c>
      <c r="O107" s="6">
        <f t="shared" si="24"/>
        <v>-96.26619253238508</v>
      </c>
      <c r="S107" s="6">
        <f aca="true" t="shared" si="25" ref="S107:W113">S31+S74</f>
        <v>-62.230124460248916</v>
      </c>
      <c r="T107" s="6">
        <f t="shared" si="25"/>
        <v>-113.03022606045215</v>
      </c>
      <c r="U107" s="6">
        <f t="shared" si="25"/>
        <v>-105.41021082042167</v>
      </c>
      <c r="V107" s="6">
        <f t="shared" si="25"/>
        <v>0</v>
      </c>
      <c r="W107" s="6">
        <f t="shared" si="25"/>
        <v>0</v>
      </c>
      <c r="X107" s="8">
        <f t="shared" si="22"/>
        <v>-67.58001016002032</v>
      </c>
      <c r="Y107" s="8"/>
      <c r="Z107" s="336" t="str">
        <f aca="true" t="shared" si="26" ref="Z107:Z113">C10</f>
        <v>I-001 5th sizing</v>
      </c>
      <c r="AA107" s="34"/>
      <c r="AB107" s="340" t="str">
        <f aca="true" t="shared" si="27" ref="AB107:AB113">D10</f>
        <v>B</v>
      </c>
      <c r="AC107" s="35">
        <f t="shared" si="23"/>
        <v>-67.58001016002032</v>
      </c>
      <c r="AD107" s="35"/>
      <c r="AE107" s="34"/>
      <c r="AF107" s="34"/>
      <c r="AG107" s="37"/>
      <c r="AH107" s="8"/>
    </row>
    <row r="108" spans="2:34" s="6" customFormat="1" ht="12" customHeight="1">
      <c r="B108" s="6" t="s">
        <v>8</v>
      </c>
      <c r="C108" s="8"/>
      <c r="D108" s="8" t="s">
        <v>9</v>
      </c>
      <c r="E108" s="6">
        <f t="shared" si="20"/>
        <v>-65.27813055626115</v>
      </c>
      <c r="F108" s="6">
        <f aca="true" t="shared" si="28" ref="F108:O108">F32+F75</f>
        <v>-79.50215900431803</v>
      </c>
      <c r="G108" s="6">
        <f t="shared" si="28"/>
        <v>-37.84607569215141</v>
      </c>
      <c r="H108" s="6">
        <f t="shared" si="28"/>
        <v>-88.13817627635257</v>
      </c>
      <c r="I108" s="6">
        <f t="shared" si="28"/>
        <v>-78.48615697231398</v>
      </c>
      <c r="J108" s="6">
        <f t="shared" si="28"/>
        <v>-60.70612141224284</v>
      </c>
      <c r="K108" s="6">
        <f t="shared" si="28"/>
        <v>-62.73812547625097</v>
      </c>
      <c r="L108" s="6">
        <f t="shared" si="28"/>
        <v>-53.08610617221237</v>
      </c>
      <c r="M108" s="6">
        <f t="shared" si="28"/>
        <v>-55.1181102362205</v>
      </c>
      <c r="N108" s="6">
        <f t="shared" si="28"/>
        <v>-64.77012954025912</v>
      </c>
      <c r="O108" s="6">
        <f t="shared" si="28"/>
        <v>-55.62611125222253</v>
      </c>
      <c r="S108" s="6">
        <f t="shared" si="25"/>
        <v>-32.25806451612904</v>
      </c>
      <c r="T108" s="6">
        <f t="shared" si="25"/>
        <v>-60.19812039624081</v>
      </c>
      <c r="U108" s="6">
        <f t="shared" si="25"/>
        <v>-54.61010922021847</v>
      </c>
      <c r="V108" s="6">
        <f t="shared" si="25"/>
        <v>0</v>
      </c>
      <c r="W108" s="6">
        <f t="shared" si="25"/>
        <v>0</v>
      </c>
      <c r="X108" s="8">
        <f t="shared" si="22"/>
        <v>-53.02260604521211</v>
      </c>
      <c r="Y108" s="8"/>
      <c r="Z108" s="336" t="str">
        <f t="shared" si="26"/>
        <v>I-001 2nd sizing</v>
      </c>
      <c r="AA108" s="34" t="s">
        <v>8</v>
      </c>
      <c r="AB108" s="340" t="str">
        <f t="shared" si="27"/>
        <v>A</v>
      </c>
      <c r="AC108" s="35">
        <f t="shared" si="23"/>
        <v>-53.02260604521211</v>
      </c>
      <c r="AD108" s="35">
        <f>AVERAGE(X107:X108)</f>
        <v>-60.30130810261622</v>
      </c>
      <c r="AE108" s="35">
        <f>$AE$105</f>
        <v>0</v>
      </c>
      <c r="AF108" s="34">
        <v>0</v>
      </c>
      <c r="AG108" s="36">
        <f>AD108+AE108+AF108</f>
        <v>-60.30130810261622</v>
      </c>
      <c r="AH108" s="8"/>
    </row>
    <row r="109" spans="3:34" s="6" customFormat="1" ht="12" customHeight="1">
      <c r="C109" s="8"/>
      <c r="D109" s="8" t="s">
        <v>7</v>
      </c>
      <c r="E109" s="6">
        <f t="shared" si="20"/>
        <v>-67.56413512827027</v>
      </c>
      <c r="F109" s="6">
        <f aca="true" t="shared" si="29" ref="F109:O109">F33+F76</f>
        <v>-67.05613411226823</v>
      </c>
      <c r="G109" s="6">
        <f t="shared" si="29"/>
        <v>-69.3421386842774</v>
      </c>
      <c r="H109" s="6">
        <f t="shared" si="29"/>
        <v>-71.62814325628653</v>
      </c>
      <c r="I109" s="6">
        <f t="shared" si="29"/>
        <v>-18.79603759207519</v>
      </c>
      <c r="J109" s="6">
        <f t="shared" si="29"/>
        <v>-66.04013208026416</v>
      </c>
      <c r="K109" s="6">
        <f t="shared" si="29"/>
        <v>-65.02413004826009</v>
      </c>
      <c r="L109" s="6">
        <f t="shared" si="29"/>
        <v>-59.94411988823979</v>
      </c>
      <c r="M109" s="6">
        <f t="shared" si="29"/>
        <v>-69.08813817627636</v>
      </c>
      <c r="N109" s="6">
        <f t="shared" si="29"/>
        <v>-73.66014732029464</v>
      </c>
      <c r="O109" s="6">
        <f t="shared" si="29"/>
        <v>-65.53213106426212</v>
      </c>
      <c r="S109" s="6">
        <f t="shared" si="25"/>
        <v>-29.46405892811787</v>
      </c>
      <c r="T109" s="6">
        <f t="shared" si="25"/>
        <v>-74.16814833629668</v>
      </c>
      <c r="U109" s="6">
        <f t="shared" si="25"/>
        <v>-51.30810261620523</v>
      </c>
      <c r="V109" s="6">
        <f t="shared" si="25"/>
        <v>0</v>
      </c>
      <c r="W109" s="6">
        <f t="shared" si="25"/>
        <v>0</v>
      </c>
      <c r="X109" s="8">
        <f t="shared" si="22"/>
        <v>-53.038481076962164</v>
      </c>
      <c r="Y109" s="8"/>
      <c r="Z109" s="336" t="str">
        <f t="shared" si="26"/>
        <v>I-001 2nd sizing</v>
      </c>
      <c r="AA109" s="34"/>
      <c r="AB109" s="340" t="str">
        <f t="shared" si="27"/>
        <v>B</v>
      </c>
      <c r="AC109" s="35">
        <f t="shared" si="23"/>
        <v>-53.038481076962164</v>
      </c>
      <c r="AD109" s="35"/>
      <c r="AE109" s="34"/>
      <c r="AF109" s="34"/>
      <c r="AG109" s="37"/>
      <c r="AH109" s="8"/>
    </row>
    <row r="110" spans="2:34" s="6" customFormat="1" ht="12" customHeight="1">
      <c r="B110" s="6" t="s">
        <v>10</v>
      </c>
      <c r="C110" s="8"/>
      <c r="D110" s="8" t="s">
        <v>9</v>
      </c>
      <c r="E110" s="6">
        <f t="shared" si="20"/>
        <v>-74.67614935229871</v>
      </c>
      <c r="F110" s="6">
        <f aca="true" t="shared" si="30" ref="F110:O110">F34+F77</f>
        <v>-84.83616967233937</v>
      </c>
      <c r="G110" s="6">
        <f t="shared" si="30"/>
        <v>-46.73609347218694</v>
      </c>
      <c r="H110" s="6">
        <f t="shared" si="30"/>
        <v>-98.55219710439424</v>
      </c>
      <c r="I110" s="6">
        <f t="shared" si="30"/>
        <v>-88.90017780035559</v>
      </c>
      <c r="J110" s="6">
        <f t="shared" si="30"/>
        <v>-78.23215646431294</v>
      </c>
      <c r="K110" s="6">
        <f t="shared" si="30"/>
        <v>-79.248158496317</v>
      </c>
      <c r="L110" s="6">
        <f t="shared" si="30"/>
        <v>-70.10414020828043</v>
      </c>
      <c r="M110" s="6">
        <f t="shared" si="30"/>
        <v>-74.67614935229871</v>
      </c>
      <c r="N110" s="6">
        <f t="shared" si="30"/>
        <v>-83.31216662433326</v>
      </c>
      <c r="O110" s="6">
        <f t="shared" si="30"/>
        <v>-73.66014732029464</v>
      </c>
      <c r="S110" s="6">
        <f t="shared" si="25"/>
        <v>-48.26009652019304</v>
      </c>
      <c r="T110" s="6">
        <f t="shared" si="25"/>
        <v>-77.21615443230887</v>
      </c>
      <c r="U110" s="6">
        <f t="shared" si="25"/>
        <v>-74.16814833629668</v>
      </c>
      <c r="V110" s="6">
        <f t="shared" si="25"/>
        <v>0</v>
      </c>
      <c r="W110" s="6">
        <f t="shared" si="25"/>
        <v>0</v>
      </c>
      <c r="X110" s="8">
        <f t="shared" si="22"/>
        <v>-65.78613157226316</v>
      </c>
      <c r="Y110" s="8"/>
      <c r="Z110" s="336" t="str">
        <f t="shared" si="26"/>
        <v>I-001 3rd sizing</v>
      </c>
      <c r="AA110" s="34" t="s">
        <v>10</v>
      </c>
      <c r="AB110" s="340" t="str">
        <f t="shared" si="27"/>
        <v>A</v>
      </c>
      <c r="AC110" s="35">
        <f t="shared" si="23"/>
        <v>-65.78613157226316</v>
      </c>
      <c r="AD110" s="35">
        <f>AVERAGE(X109:X110)</f>
        <v>-59.41230632461266</v>
      </c>
      <c r="AE110" s="35">
        <f>$AE$105</f>
        <v>0</v>
      </c>
      <c r="AF110" s="34">
        <v>0</v>
      </c>
      <c r="AG110" s="36">
        <f>AD110+AE110+AF110</f>
        <v>-59.41230632461266</v>
      </c>
      <c r="AH110" s="8"/>
    </row>
    <row r="111" spans="3:34" s="6" customFormat="1" ht="12" customHeight="1">
      <c r="C111" s="8"/>
      <c r="D111" s="8" t="s">
        <v>7</v>
      </c>
      <c r="E111" s="6">
        <f t="shared" si="20"/>
        <v>-77.7241554483109</v>
      </c>
      <c r="F111" s="6">
        <f aca="true" t="shared" si="31" ref="F111:O111">F35+F78</f>
        <v>-72.13614427228856</v>
      </c>
      <c r="G111" s="6">
        <f t="shared" si="31"/>
        <v>-82.80416560833123</v>
      </c>
      <c r="H111" s="6">
        <f t="shared" si="31"/>
        <v>-87.88417576835155</v>
      </c>
      <c r="I111" s="6">
        <f t="shared" si="31"/>
        <v>-37.08407416814835</v>
      </c>
      <c r="J111" s="6">
        <f t="shared" si="31"/>
        <v>-81.28016256032514</v>
      </c>
      <c r="K111" s="6">
        <f t="shared" si="31"/>
        <v>-78.23215646431294</v>
      </c>
      <c r="L111" s="6">
        <f t="shared" si="31"/>
        <v>-76.70815341630684</v>
      </c>
      <c r="M111" s="6">
        <f t="shared" si="31"/>
        <v>-84.83616967233937</v>
      </c>
      <c r="N111" s="6">
        <f t="shared" si="31"/>
        <v>-87.37617475234953</v>
      </c>
      <c r="O111" s="6">
        <f t="shared" si="31"/>
        <v>-80.77216154432311</v>
      </c>
      <c r="S111" s="6">
        <f t="shared" si="25"/>
        <v>-45.21209042418086</v>
      </c>
      <c r="T111" s="6">
        <f t="shared" si="25"/>
        <v>-84.32816865633731</v>
      </c>
      <c r="U111" s="6">
        <f t="shared" si="25"/>
        <v>-64.00812801625605</v>
      </c>
      <c r="V111" s="6">
        <f t="shared" si="25"/>
        <v>0</v>
      </c>
      <c r="W111" s="6">
        <f t="shared" si="25"/>
        <v>0</v>
      </c>
      <c r="X111" s="8">
        <f t="shared" si="22"/>
        <v>-65.0241300482601</v>
      </c>
      <c r="Y111" s="8"/>
      <c r="Z111" s="336" t="str">
        <f t="shared" si="26"/>
        <v>I-001 3rd sizing</v>
      </c>
      <c r="AA111" s="34"/>
      <c r="AB111" s="340" t="str">
        <f t="shared" si="27"/>
        <v>B</v>
      </c>
      <c r="AC111" s="35">
        <f t="shared" si="23"/>
        <v>-65.0241300482601</v>
      </c>
      <c r="AD111" s="35"/>
      <c r="AE111" s="34"/>
      <c r="AF111" s="34"/>
      <c r="AG111" s="37"/>
      <c r="AH111" s="8"/>
    </row>
    <row r="112" spans="2:34" s="6" customFormat="1" ht="12" customHeight="1">
      <c r="B112" s="6" t="s">
        <v>11</v>
      </c>
      <c r="C112" s="8"/>
      <c r="D112" s="8" t="s">
        <v>9</v>
      </c>
      <c r="E112" s="6">
        <f t="shared" si="20"/>
        <v>-72.39014478028956</v>
      </c>
      <c r="F112" s="6">
        <f aca="true" t="shared" si="32" ref="F112:O112">F36+F79</f>
        <v>-80.01016002032007</v>
      </c>
      <c r="G112" s="6">
        <f t="shared" si="32"/>
        <v>-40.386080772161556</v>
      </c>
      <c r="H112" s="6">
        <f t="shared" si="32"/>
        <v>-92.20218440436885</v>
      </c>
      <c r="I112" s="6">
        <f t="shared" si="32"/>
        <v>-82.04216408432819</v>
      </c>
      <c r="J112" s="6">
        <f t="shared" si="32"/>
        <v>-72.39014478028956</v>
      </c>
      <c r="K112" s="6">
        <f t="shared" si="32"/>
        <v>-73.91414782829567</v>
      </c>
      <c r="L112" s="6">
        <f t="shared" si="32"/>
        <v>-67.31013462026925</v>
      </c>
      <c r="M112" s="6">
        <f t="shared" si="32"/>
        <v>-70.35814071628145</v>
      </c>
      <c r="N112" s="6">
        <f t="shared" si="32"/>
        <v>-73.91414782829567</v>
      </c>
      <c r="O112" s="6">
        <f t="shared" si="32"/>
        <v>-65.78613157226316</v>
      </c>
      <c r="S112" s="6">
        <f t="shared" si="25"/>
        <v>-46.48209296418595</v>
      </c>
      <c r="T112" s="6">
        <f t="shared" si="25"/>
        <v>-76.96215392430787</v>
      </c>
      <c r="U112" s="6">
        <f t="shared" si="25"/>
        <v>-67.8181356362713</v>
      </c>
      <c r="V112" s="6">
        <f t="shared" si="25"/>
        <v>0</v>
      </c>
      <c r="W112" s="6">
        <f t="shared" si="25"/>
        <v>0</v>
      </c>
      <c r="X112" s="8">
        <f t="shared" si="22"/>
        <v>-61.37287274574551</v>
      </c>
      <c r="Y112" s="8"/>
      <c r="Z112" s="336" t="str">
        <f t="shared" si="26"/>
        <v>I-001 4th sizing</v>
      </c>
      <c r="AA112" s="34" t="s">
        <v>11</v>
      </c>
      <c r="AB112" s="340" t="str">
        <f t="shared" si="27"/>
        <v>A</v>
      </c>
      <c r="AC112" s="35">
        <f t="shared" si="23"/>
        <v>-61.37287274574551</v>
      </c>
      <c r="AD112" s="35">
        <f>AVERAGE(X111:X112)</f>
        <v>-63.19850139700281</v>
      </c>
      <c r="AE112" s="35">
        <f>$AE$105</f>
        <v>0</v>
      </c>
      <c r="AF112" s="34">
        <v>0</v>
      </c>
      <c r="AG112" s="36">
        <f>AD112+AE112+AF112</f>
        <v>-63.19850139700281</v>
      </c>
      <c r="AH112" s="8"/>
    </row>
    <row r="113" spans="3:34" s="6" customFormat="1" ht="12" customHeight="1">
      <c r="C113" s="8"/>
      <c r="D113" s="8" t="s">
        <v>7</v>
      </c>
      <c r="E113" s="6">
        <f t="shared" si="20"/>
        <v>-78.74015748031498</v>
      </c>
      <c r="F113" s="6">
        <f aca="true" t="shared" si="33" ref="F113:O113">F37+F80</f>
        <v>-79.75615951231904</v>
      </c>
      <c r="G113" s="6">
        <f t="shared" si="33"/>
        <v>-82.2961645923292</v>
      </c>
      <c r="H113" s="6">
        <f t="shared" si="33"/>
        <v>-86.36017272034546</v>
      </c>
      <c r="I113" s="6">
        <f t="shared" si="33"/>
        <v>-38.100076200152415</v>
      </c>
      <c r="J113" s="6">
        <f t="shared" si="33"/>
        <v>-74.1681483362967</v>
      </c>
      <c r="K113" s="6">
        <f t="shared" si="33"/>
        <v>-77.7241554483109</v>
      </c>
      <c r="L113" s="6">
        <f t="shared" si="33"/>
        <v>-74.1681483362967</v>
      </c>
      <c r="M113" s="6">
        <f t="shared" si="33"/>
        <v>-80.26416052832107</v>
      </c>
      <c r="N113" s="6">
        <f t="shared" si="33"/>
        <v>-85.34417068834139</v>
      </c>
      <c r="O113" s="6">
        <f t="shared" si="33"/>
        <v>-77.7241554483109</v>
      </c>
      <c r="S113" s="6">
        <f t="shared" si="25"/>
        <v>-47.752095504191026</v>
      </c>
      <c r="T113" s="6">
        <f t="shared" si="25"/>
        <v>-88.39217678435358</v>
      </c>
      <c r="U113" s="6">
        <f t="shared" si="25"/>
        <v>-61.97612395224792</v>
      </c>
      <c r="V113" s="6">
        <f t="shared" si="25"/>
        <v>0</v>
      </c>
      <c r="W113" s="6">
        <f t="shared" si="25"/>
        <v>0</v>
      </c>
      <c r="X113" s="8">
        <f t="shared" si="22"/>
        <v>-64.5478790957582</v>
      </c>
      <c r="Y113" s="8"/>
      <c r="Z113" s="336" t="str">
        <f t="shared" si="26"/>
        <v>I-001 4th sizing</v>
      </c>
      <c r="AA113" s="34"/>
      <c r="AB113" s="340" t="str">
        <f t="shared" si="27"/>
        <v>B</v>
      </c>
      <c r="AC113" s="35">
        <f t="shared" si="23"/>
        <v>-64.5478790957582</v>
      </c>
      <c r="AD113" s="35"/>
      <c r="AE113" s="34"/>
      <c r="AF113" s="34"/>
      <c r="AG113" s="37"/>
      <c r="AH113" s="8"/>
    </row>
    <row r="114" spans="3:34" s="6" customFormat="1" ht="12" customHeight="1">
      <c r="C114" s="8"/>
      <c r="D114" s="8"/>
      <c r="X114" s="8"/>
      <c r="Y114" s="8"/>
      <c r="Z114" s="337"/>
      <c r="AA114" s="34"/>
      <c r="AB114" s="37"/>
      <c r="AC114" s="35"/>
      <c r="AD114" s="35"/>
      <c r="AE114" s="34"/>
      <c r="AF114" s="34"/>
      <c r="AG114" s="37"/>
      <c r="AH114" s="8"/>
    </row>
    <row r="115" spans="3:34" s="6" customFormat="1" ht="12" customHeight="1">
      <c r="C115" s="61" t="s">
        <v>42</v>
      </c>
      <c r="D115" s="8"/>
      <c r="E115" s="6">
        <f aca="true" t="shared" si="34" ref="E115:O115">E38+E81</f>
        <v>0</v>
      </c>
      <c r="F115" s="6">
        <f t="shared" si="34"/>
        <v>0</v>
      </c>
      <c r="G115" s="6">
        <f t="shared" si="34"/>
        <v>0</v>
      </c>
      <c r="H115" s="6">
        <f t="shared" si="34"/>
        <v>0</v>
      </c>
      <c r="I115" s="6">
        <f t="shared" si="34"/>
        <v>0</v>
      </c>
      <c r="J115" s="6">
        <f t="shared" si="34"/>
        <v>0</v>
      </c>
      <c r="K115" s="6">
        <f t="shared" si="34"/>
        <v>0</v>
      </c>
      <c r="L115" s="6">
        <f t="shared" si="34"/>
        <v>0</v>
      </c>
      <c r="M115" s="6">
        <f t="shared" si="34"/>
        <v>0</v>
      </c>
      <c r="N115" s="6">
        <f t="shared" si="34"/>
        <v>0</v>
      </c>
      <c r="O115" s="6">
        <f t="shared" si="34"/>
        <v>0</v>
      </c>
      <c r="S115" s="6">
        <f aca="true" t="shared" si="35" ref="S115:W123">S38+S81</f>
        <v>0</v>
      </c>
      <c r="T115" s="6">
        <f t="shared" si="35"/>
        <v>0</v>
      </c>
      <c r="U115" s="6">
        <f t="shared" si="35"/>
        <v>0</v>
      </c>
      <c r="V115" s="6">
        <f t="shared" si="35"/>
        <v>0</v>
      </c>
      <c r="W115" s="6">
        <f t="shared" si="35"/>
        <v>0</v>
      </c>
      <c r="X115" s="8">
        <f t="shared" si="22"/>
        <v>0</v>
      </c>
      <c r="Y115" s="8"/>
      <c r="Z115" s="338" t="s">
        <v>43</v>
      </c>
      <c r="AA115" s="34"/>
      <c r="AB115" s="37"/>
      <c r="AC115" s="35">
        <f>AVERAGE(X116:X123)</f>
        <v>293.1224647971171</v>
      </c>
      <c r="AD115" s="35"/>
      <c r="AE115" s="35">
        <v>0</v>
      </c>
      <c r="AF115" s="35">
        <f>AVERAGE(AE116:AE123)</f>
        <v>0</v>
      </c>
      <c r="AG115" s="36">
        <f>AVERAGE(AF116:AF123)</f>
        <v>0</v>
      </c>
      <c r="AH115" s="17"/>
    </row>
    <row r="116" spans="2:34" s="6" customFormat="1" ht="12" customHeight="1">
      <c r="B116" s="6" t="s">
        <v>6</v>
      </c>
      <c r="C116" s="8"/>
      <c r="D116" s="8" t="s">
        <v>9</v>
      </c>
      <c r="E116" s="6">
        <f aca="true" t="shared" si="36" ref="E116:O116">E39+E82</f>
        <v>299.7205994411989</v>
      </c>
      <c r="F116" s="6">
        <f t="shared" si="36"/>
        <v>300.2286004572009</v>
      </c>
      <c r="G116" s="6">
        <f t="shared" si="36"/>
        <v>303.2766065532132</v>
      </c>
      <c r="H116" s="6">
        <f t="shared" si="36"/>
        <v>302.2606045212091</v>
      </c>
      <c r="I116" s="6">
        <f t="shared" si="36"/>
        <v>303.78460756921515</v>
      </c>
      <c r="J116" s="6">
        <f t="shared" si="36"/>
        <v>301.75260350520705</v>
      </c>
      <c r="K116" s="6">
        <f t="shared" si="36"/>
        <v>291.5925831851664</v>
      </c>
      <c r="L116" s="6">
        <f t="shared" si="36"/>
        <v>290.57658115316235</v>
      </c>
      <c r="M116" s="6">
        <f t="shared" si="36"/>
        <v>303.78460756921515</v>
      </c>
      <c r="N116" s="6">
        <f t="shared" si="36"/>
        <v>298.1965963931928</v>
      </c>
      <c r="O116" s="6">
        <f t="shared" si="36"/>
        <v>316.992633985268</v>
      </c>
      <c r="S116" s="6">
        <f t="shared" si="35"/>
        <v>271.2725425450851</v>
      </c>
      <c r="T116" s="6">
        <f t="shared" si="35"/>
        <v>297.6885953771908</v>
      </c>
      <c r="U116" s="6">
        <f t="shared" si="35"/>
        <v>312.92862585725175</v>
      </c>
      <c r="V116" s="6">
        <f t="shared" si="35"/>
        <v>314.9606299212599</v>
      </c>
      <c r="W116" s="6">
        <f t="shared" si="35"/>
        <v>294.6405892811786</v>
      </c>
      <c r="X116" s="8">
        <f t="shared" si="22"/>
        <v>300.22860045720097</v>
      </c>
      <c r="Y116" s="8"/>
      <c r="Z116" s="336" t="str">
        <f>C18</f>
        <v>O-004 1st sizing</v>
      </c>
      <c r="AA116" s="34" t="s">
        <v>6</v>
      </c>
      <c r="AB116" s="340" t="str">
        <f>D18</f>
        <v>A</v>
      </c>
      <c r="AC116" s="35">
        <f aca="true" t="shared" si="37" ref="AC116:AC123">X116</f>
        <v>300.22860045720097</v>
      </c>
      <c r="AD116" s="35">
        <f>AVERAGE(X116,X123)</f>
        <v>281.8056261112523</v>
      </c>
      <c r="AE116" s="35">
        <f>$AE$105</f>
        <v>0</v>
      </c>
      <c r="AF116" s="34">
        <v>0</v>
      </c>
      <c r="AG116" s="36">
        <f>AD116+AE116+AF116</f>
        <v>281.8056261112523</v>
      </c>
      <c r="AH116" s="8"/>
    </row>
    <row r="117" spans="3:34" s="6" customFormat="1" ht="12" customHeight="1">
      <c r="C117" s="8"/>
      <c r="D117" s="8" t="s">
        <v>7</v>
      </c>
      <c r="E117" s="6">
        <f aca="true" t="shared" si="38" ref="E117:O117">E40+E83</f>
        <v>283.972</v>
      </c>
      <c r="F117" s="6">
        <f t="shared" si="38"/>
        <v>282.956</v>
      </c>
      <c r="G117" s="6">
        <f t="shared" si="38"/>
        <v>288.544</v>
      </c>
      <c r="H117" s="6">
        <f t="shared" si="38"/>
        <v>286.00399999999996</v>
      </c>
      <c r="I117" s="6">
        <f t="shared" si="38"/>
        <v>281.432</v>
      </c>
      <c r="J117" s="6">
        <f t="shared" si="38"/>
        <v>282.44800000000004</v>
      </c>
      <c r="K117" s="6">
        <f t="shared" si="38"/>
        <v>275.84400000000005</v>
      </c>
      <c r="L117" s="6">
        <f t="shared" si="38"/>
        <v>280.92400000000004</v>
      </c>
      <c r="M117" s="6">
        <f t="shared" si="38"/>
        <v>316.484</v>
      </c>
      <c r="N117" s="6">
        <f t="shared" si="38"/>
        <v>303.78399999999993</v>
      </c>
      <c r="O117" s="6">
        <f t="shared" si="38"/>
        <v>315.468</v>
      </c>
      <c r="S117" s="6">
        <f t="shared" si="35"/>
        <v>317.5</v>
      </c>
      <c r="T117" s="6">
        <f t="shared" si="35"/>
        <v>296.67199999999997</v>
      </c>
      <c r="U117" s="6">
        <f t="shared" si="35"/>
        <v>306.324</v>
      </c>
      <c r="V117" s="6">
        <f t="shared" si="35"/>
        <v>324.104</v>
      </c>
      <c r="W117" s="6">
        <f t="shared" si="35"/>
        <v>330.20000000000005</v>
      </c>
      <c r="X117" s="8">
        <f t="shared" si="22"/>
        <v>298.29125</v>
      </c>
      <c r="Y117" s="8"/>
      <c r="Z117" s="336" t="str">
        <f aca="true" t="shared" si="39" ref="Z117:Z123">C19</f>
        <v>O-004 1st sizing</v>
      </c>
      <c r="AA117" s="34"/>
      <c r="AB117" s="340" t="str">
        <f aca="true" t="shared" si="40" ref="AB117:AB123">D19</f>
        <v>B</v>
      </c>
      <c r="AC117" s="35">
        <f t="shared" si="37"/>
        <v>298.29125</v>
      </c>
      <c r="AD117" s="35"/>
      <c r="AE117" s="34"/>
      <c r="AF117" s="34"/>
      <c r="AG117" s="37"/>
      <c r="AH117" s="8"/>
    </row>
    <row r="118" spans="2:34" s="6" customFormat="1" ht="12" customHeight="1">
      <c r="B118" s="6" t="s">
        <v>8</v>
      </c>
      <c r="C118" s="8"/>
      <c r="D118" s="8" t="s">
        <v>9</v>
      </c>
      <c r="E118" s="6">
        <f aca="true" t="shared" si="41" ref="E118:O118">E41+E84</f>
        <v>302.006604013208</v>
      </c>
      <c r="F118" s="6">
        <f t="shared" si="41"/>
        <v>303.0226060452121</v>
      </c>
      <c r="G118" s="6">
        <f t="shared" si="41"/>
        <v>308.6106172212344</v>
      </c>
      <c r="H118" s="6">
        <f t="shared" si="41"/>
        <v>306.07061214122433</v>
      </c>
      <c r="I118" s="6">
        <f t="shared" si="41"/>
        <v>307.0866141732284</v>
      </c>
      <c r="J118" s="6">
        <f t="shared" si="41"/>
        <v>303.0226060452121</v>
      </c>
      <c r="K118" s="6">
        <f t="shared" si="41"/>
        <v>296.4185928371857</v>
      </c>
      <c r="L118" s="6">
        <f t="shared" si="41"/>
        <v>297.4345948691897</v>
      </c>
      <c r="M118" s="6">
        <f t="shared" si="41"/>
        <v>305.0546101092202</v>
      </c>
      <c r="N118" s="6">
        <f t="shared" si="41"/>
        <v>297.94259588519174</v>
      </c>
      <c r="O118" s="6">
        <f t="shared" si="41"/>
        <v>318.77063754127505</v>
      </c>
      <c r="S118" s="6">
        <f t="shared" si="35"/>
        <v>269.494538989078</v>
      </c>
      <c r="T118" s="6">
        <f t="shared" si="35"/>
        <v>294.38658877317755</v>
      </c>
      <c r="U118" s="6">
        <f t="shared" si="35"/>
        <v>313.6906273812548</v>
      </c>
      <c r="V118" s="6">
        <f t="shared" si="35"/>
        <v>315.2146304292608</v>
      </c>
      <c r="W118" s="6">
        <f t="shared" si="35"/>
        <v>292.86258572517147</v>
      </c>
      <c r="X118" s="8">
        <f t="shared" si="22"/>
        <v>301.9431038862078</v>
      </c>
      <c r="Y118" s="8"/>
      <c r="Z118" s="336" t="str">
        <f t="shared" si="39"/>
        <v>O-004 2nd sizing</v>
      </c>
      <c r="AA118" s="34" t="s">
        <v>8</v>
      </c>
      <c r="AB118" s="340" t="str">
        <f t="shared" si="40"/>
        <v>A</v>
      </c>
      <c r="AC118" s="35">
        <f t="shared" si="37"/>
        <v>301.9431038862078</v>
      </c>
      <c r="AD118" s="35">
        <f>AVERAGE(X117:X118)</f>
        <v>300.1171769431039</v>
      </c>
      <c r="AE118" s="35">
        <f>$AE$105</f>
        <v>0</v>
      </c>
      <c r="AF118" s="34">
        <v>0</v>
      </c>
      <c r="AG118" s="36">
        <f>AD118+AE118+AF118</f>
        <v>300.1171769431039</v>
      </c>
      <c r="AH118" s="8"/>
    </row>
    <row r="119" spans="3:34" s="6" customFormat="1" ht="12" customHeight="1">
      <c r="C119" s="8"/>
      <c r="D119" s="8" t="s">
        <v>7</v>
      </c>
      <c r="E119" s="6">
        <f aca="true" t="shared" si="42" ref="E119:O119">E42+E85</f>
        <v>301.244602489205</v>
      </c>
      <c r="F119" s="6">
        <f t="shared" si="42"/>
        <v>302.7686055372111</v>
      </c>
      <c r="G119" s="6">
        <f t="shared" si="42"/>
        <v>308.8646177292355</v>
      </c>
      <c r="H119" s="6">
        <f t="shared" si="42"/>
        <v>304.2926085852171</v>
      </c>
      <c r="I119" s="6">
        <f t="shared" si="42"/>
        <v>301.244602489205</v>
      </c>
      <c r="J119" s="6">
        <f t="shared" si="42"/>
        <v>302.7686055372111</v>
      </c>
      <c r="K119" s="6">
        <f t="shared" si="42"/>
        <v>295.14859029718065</v>
      </c>
      <c r="L119" s="6">
        <f t="shared" si="42"/>
        <v>296.6725933451867</v>
      </c>
      <c r="M119" s="6">
        <f t="shared" si="42"/>
        <v>318.00863601727207</v>
      </c>
      <c r="N119" s="6">
        <f t="shared" si="42"/>
        <v>318.5166370332741</v>
      </c>
      <c r="O119" s="6">
        <f t="shared" si="42"/>
        <v>335.7886715773431</v>
      </c>
      <c r="S119" s="6">
        <f t="shared" si="35"/>
        <v>334.7726695453391</v>
      </c>
      <c r="T119" s="6">
        <f t="shared" si="35"/>
        <v>314.4526289052578</v>
      </c>
      <c r="U119" s="6">
        <f t="shared" si="35"/>
        <v>323.0886461772924</v>
      </c>
      <c r="V119" s="6">
        <f t="shared" si="35"/>
        <v>341.37668275336557</v>
      </c>
      <c r="W119" s="6">
        <f t="shared" si="35"/>
        <v>350.52070104140205</v>
      </c>
      <c r="X119" s="8">
        <f t="shared" si="22"/>
        <v>315.5956311912624</v>
      </c>
      <c r="Y119" s="8"/>
      <c r="Z119" s="336" t="str">
        <f t="shared" si="39"/>
        <v>O-004 2nd sizing</v>
      </c>
      <c r="AA119" s="34"/>
      <c r="AB119" s="340" t="str">
        <f t="shared" si="40"/>
        <v>B</v>
      </c>
      <c r="AC119" s="35">
        <f t="shared" si="37"/>
        <v>315.5956311912624</v>
      </c>
      <c r="AD119" s="35"/>
      <c r="AE119" s="34"/>
      <c r="AF119" s="34"/>
      <c r="AG119" s="37"/>
      <c r="AH119" s="8"/>
    </row>
    <row r="120" spans="2:34" s="6" customFormat="1" ht="12" customHeight="1">
      <c r="B120" s="6" t="s">
        <v>10</v>
      </c>
      <c r="C120" s="8"/>
      <c r="D120" s="8" t="s">
        <v>9</v>
      </c>
      <c r="E120" s="6">
        <f aca="true" t="shared" si="43" ref="E120:O120">E43+E86</f>
        <v>306.83261366522737</v>
      </c>
      <c r="F120" s="6">
        <f t="shared" si="43"/>
        <v>305.8166116332233</v>
      </c>
      <c r="G120" s="6">
        <f t="shared" si="43"/>
        <v>310.38862077724156</v>
      </c>
      <c r="H120" s="6">
        <f t="shared" si="43"/>
        <v>307.8486156972315</v>
      </c>
      <c r="I120" s="6">
        <f t="shared" si="43"/>
        <v>311.40462280924567</v>
      </c>
      <c r="J120" s="6">
        <f t="shared" si="43"/>
        <v>308.35661671323345</v>
      </c>
      <c r="K120" s="6">
        <f t="shared" si="43"/>
        <v>301.244602489205</v>
      </c>
      <c r="L120" s="6">
        <f t="shared" si="43"/>
        <v>295.6565913131826</v>
      </c>
      <c r="M120" s="6">
        <f t="shared" si="43"/>
        <v>306.83261366522737</v>
      </c>
      <c r="N120" s="6">
        <f t="shared" si="43"/>
        <v>304.8006096012192</v>
      </c>
      <c r="O120" s="6">
        <f t="shared" si="43"/>
        <v>321.0566421132842</v>
      </c>
      <c r="S120" s="6">
        <f t="shared" si="35"/>
        <v>272.7965455930912</v>
      </c>
      <c r="T120" s="6">
        <f t="shared" si="35"/>
        <v>296.1645923291847</v>
      </c>
      <c r="U120" s="6">
        <f t="shared" si="35"/>
        <v>316.992633985268</v>
      </c>
      <c r="V120" s="6">
        <f t="shared" si="35"/>
        <v>315.9766319532639</v>
      </c>
      <c r="W120" s="6">
        <f t="shared" si="35"/>
        <v>295.14859029718065</v>
      </c>
      <c r="X120" s="8">
        <f t="shared" si="22"/>
        <v>304.8323596647194</v>
      </c>
      <c r="Y120" s="8"/>
      <c r="Z120" s="336" t="str">
        <f t="shared" si="39"/>
        <v>O-004 3rd sizing</v>
      </c>
      <c r="AA120" s="34" t="s">
        <v>10</v>
      </c>
      <c r="AB120" s="340" t="str">
        <f t="shared" si="40"/>
        <v>A</v>
      </c>
      <c r="AC120" s="35">
        <f t="shared" si="37"/>
        <v>304.8323596647194</v>
      </c>
      <c r="AD120" s="35">
        <f>AVERAGE(X119:X120)</f>
        <v>310.2139954279909</v>
      </c>
      <c r="AE120" s="35">
        <f>$AE$105</f>
        <v>0</v>
      </c>
      <c r="AF120" s="34">
        <v>0</v>
      </c>
      <c r="AG120" s="36">
        <f>AD120+AE120+AF120</f>
        <v>310.2139954279909</v>
      </c>
      <c r="AH120" s="8"/>
    </row>
    <row r="121" spans="3:34" s="6" customFormat="1" ht="12" customHeight="1">
      <c r="C121" s="8"/>
      <c r="D121" s="8" t="s">
        <v>7</v>
      </c>
      <c r="E121" s="6">
        <f aca="true" t="shared" si="44" ref="E121:O121">E44+E87</f>
        <v>306.83261366522737</v>
      </c>
      <c r="F121" s="6">
        <f t="shared" si="44"/>
        <v>311.9126238252477</v>
      </c>
      <c r="G121" s="6">
        <f t="shared" si="44"/>
        <v>310.3886207772416</v>
      </c>
      <c r="H121" s="6">
        <f t="shared" si="44"/>
        <v>310.3886207772416</v>
      </c>
      <c r="I121" s="6">
        <f t="shared" si="44"/>
        <v>307.3406146812294</v>
      </c>
      <c r="J121" s="6">
        <f t="shared" si="44"/>
        <v>306.83261366522737</v>
      </c>
      <c r="K121" s="6">
        <f t="shared" si="44"/>
        <v>300.73660147320294</v>
      </c>
      <c r="L121" s="6">
        <f t="shared" si="44"/>
        <v>306.32461264922534</v>
      </c>
      <c r="M121" s="6">
        <f t="shared" si="44"/>
        <v>334.77266954533917</v>
      </c>
      <c r="N121" s="6">
        <f t="shared" si="44"/>
        <v>323.08864617729233</v>
      </c>
      <c r="O121" s="6">
        <f t="shared" si="44"/>
        <v>336.8046736093473</v>
      </c>
      <c r="S121" s="6">
        <f t="shared" si="35"/>
        <v>339.8526797053594</v>
      </c>
      <c r="T121" s="6">
        <f t="shared" si="35"/>
        <v>315.4686309372619</v>
      </c>
      <c r="U121" s="6">
        <f t="shared" si="35"/>
        <v>325.12065024130044</v>
      </c>
      <c r="V121" s="6">
        <f t="shared" si="35"/>
        <v>342.39268478536957</v>
      </c>
      <c r="W121" s="6">
        <f t="shared" si="35"/>
        <v>348.48869697739394</v>
      </c>
      <c r="X121" s="8">
        <f t="shared" si="22"/>
        <v>320.4216408432818</v>
      </c>
      <c r="Y121" s="8"/>
      <c r="Z121" s="336" t="str">
        <f t="shared" si="39"/>
        <v>O-004 3rd sizing</v>
      </c>
      <c r="AA121" s="34"/>
      <c r="AB121" s="340" t="str">
        <f t="shared" si="40"/>
        <v>B</v>
      </c>
      <c r="AC121" s="35">
        <f t="shared" si="37"/>
        <v>320.4216408432818</v>
      </c>
      <c r="AD121" s="35"/>
      <c r="AE121" s="34"/>
      <c r="AF121" s="34"/>
      <c r="AG121" s="37"/>
      <c r="AH121" s="8"/>
    </row>
    <row r="122" spans="2:34" s="6" customFormat="1" ht="12" customHeight="1">
      <c r="B122" s="6" t="s">
        <v>11</v>
      </c>
      <c r="C122" s="8"/>
      <c r="D122" s="8" t="s">
        <v>9</v>
      </c>
      <c r="E122" s="6">
        <f aca="true" t="shared" si="45" ref="E122:O122">E45+E88</f>
        <v>296.1645923291847</v>
      </c>
      <c r="F122" s="6">
        <f t="shared" si="45"/>
        <v>296.1645923291847</v>
      </c>
      <c r="G122" s="6">
        <f t="shared" si="45"/>
        <v>307.3406146812294</v>
      </c>
      <c r="H122" s="6">
        <f t="shared" si="45"/>
        <v>299.21259842519686</v>
      </c>
      <c r="I122" s="6">
        <f t="shared" si="45"/>
        <v>0</v>
      </c>
      <c r="J122" s="6">
        <f t="shared" si="45"/>
        <v>302.2606045212091</v>
      </c>
      <c r="K122" s="6">
        <f t="shared" si="45"/>
        <v>289.0525781051562</v>
      </c>
      <c r="L122" s="6">
        <f t="shared" si="45"/>
        <v>284.98856997713995</v>
      </c>
      <c r="M122" s="6">
        <f t="shared" si="45"/>
        <v>295.1485902971806</v>
      </c>
      <c r="N122" s="6">
        <f t="shared" si="45"/>
        <v>0</v>
      </c>
      <c r="O122" s="6">
        <f t="shared" si="45"/>
        <v>311.40462280924567</v>
      </c>
      <c r="S122" s="6">
        <f t="shared" si="35"/>
        <v>0</v>
      </c>
      <c r="T122" s="6">
        <f t="shared" si="35"/>
        <v>286.00457200914406</v>
      </c>
      <c r="U122" s="6">
        <f t="shared" si="35"/>
        <v>299.7205994411989</v>
      </c>
      <c r="V122" s="6">
        <f t="shared" si="35"/>
        <v>295.1485902971806</v>
      </c>
      <c r="W122" s="6">
        <f t="shared" si="35"/>
        <v>281.94056388112773</v>
      </c>
      <c r="X122" s="8">
        <f t="shared" si="22"/>
        <v>240.28448056896116</v>
      </c>
      <c r="Y122" s="8"/>
      <c r="Z122" s="336" t="str">
        <f t="shared" si="39"/>
        <v>O-004 4th sizing</v>
      </c>
      <c r="AA122" s="34" t="s">
        <v>11</v>
      </c>
      <c r="AB122" s="340" t="str">
        <f t="shared" si="40"/>
        <v>A</v>
      </c>
      <c r="AC122" s="35">
        <f t="shared" si="37"/>
        <v>240.28448056896116</v>
      </c>
      <c r="AD122" s="35">
        <f>AVERAGE(X121:X122)</f>
        <v>280.3530607061215</v>
      </c>
      <c r="AE122" s="35">
        <f>$AE$105</f>
        <v>0</v>
      </c>
      <c r="AF122" s="34">
        <v>0</v>
      </c>
      <c r="AG122" s="36">
        <f>AD122+AE122+AF122</f>
        <v>280.3530607061215</v>
      </c>
      <c r="AH122" s="8"/>
    </row>
    <row r="123" spans="3:34" s="6" customFormat="1" ht="12" customHeight="1">
      <c r="C123" s="8"/>
      <c r="D123" s="8" t="s">
        <v>7</v>
      </c>
      <c r="E123" s="6">
        <f aca="true" t="shared" si="46" ref="E123:O123">E46+E89</f>
        <v>324.86664973329954</v>
      </c>
      <c r="F123" s="6">
        <f t="shared" si="46"/>
        <v>322.8346456692914</v>
      </c>
      <c r="G123" s="6">
        <f t="shared" si="46"/>
        <v>321.31064262128524</v>
      </c>
      <c r="H123" s="6">
        <f t="shared" si="46"/>
        <v>319.2786385572772</v>
      </c>
      <c r="I123" s="6">
        <f t="shared" si="46"/>
        <v>0</v>
      </c>
      <c r="J123" s="6">
        <f t="shared" si="46"/>
        <v>324.35864871729746</v>
      </c>
      <c r="K123" s="6">
        <f t="shared" si="46"/>
        <v>319.78663957327916</v>
      </c>
      <c r="L123" s="6">
        <f t="shared" si="46"/>
        <v>316.738633477267</v>
      </c>
      <c r="M123" s="6">
        <f t="shared" si="46"/>
        <v>327.4066548133097</v>
      </c>
      <c r="N123" s="6">
        <f t="shared" si="46"/>
        <v>0</v>
      </c>
      <c r="O123" s="6">
        <f t="shared" si="46"/>
        <v>330.96266192532386</v>
      </c>
      <c r="S123" s="6">
        <f t="shared" si="35"/>
        <v>0</v>
      </c>
      <c r="T123" s="6">
        <f t="shared" si="35"/>
        <v>315.21463042926086</v>
      </c>
      <c r="U123" s="6">
        <f t="shared" si="35"/>
        <v>317.246634493269</v>
      </c>
      <c r="V123" s="6">
        <f t="shared" si="35"/>
        <v>341.12268224536456</v>
      </c>
      <c r="W123" s="6">
        <f t="shared" si="35"/>
        <v>332.994665989332</v>
      </c>
      <c r="X123" s="8">
        <f t="shared" si="22"/>
        <v>263.3826517653036</v>
      </c>
      <c r="Y123" s="8"/>
      <c r="Z123" s="339" t="str">
        <f t="shared" si="39"/>
        <v>O-004 4th sizing</v>
      </c>
      <c r="AA123" s="38"/>
      <c r="AB123" s="341" t="str">
        <f t="shared" si="40"/>
        <v>B</v>
      </c>
      <c r="AC123" s="335">
        <f t="shared" si="37"/>
        <v>263.3826517653036</v>
      </c>
      <c r="AD123" s="38"/>
      <c r="AE123" s="38"/>
      <c r="AF123" s="38"/>
      <c r="AG123" s="39"/>
      <c r="AH123" s="8"/>
    </row>
    <row r="124" spans="3:34" s="6" customFormat="1" ht="12" customHeight="1">
      <c r="C124" s="8"/>
      <c r="D124" s="8"/>
      <c r="X124" s="8"/>
      <c r="Y124" s="8"/>
      <c r="Z124" s="43"/>
      <c r="AA124" s="34"/>
      <c r="AB124" s="34"/>
      <c r="AC124" s="34"/>
      <c r="AD124" s="34"/>
      <c r="AE124" s="34"/>
      <c r="AF124" s="34"/>
      <c r="AG124" s="34"/>
      <c r="AH124" s="8"/>
    </row>
    <row r="125" spans="3:34" s="9" customFormat="1" ht="12" customHeight="1">
      <c r="C125"/>
      <c r="D125"/>
      <c r="X125" s="10"/>
      <c r="Y125" s="29" t="s">
        <v>44</v>
      </c>
      <c r="AA125"/>
      <c r="AB125"/>
      <c r="AC125"/>
      <c r="AD125" s="10"/>
      <c r="AE125"/>
      <c r="AF125" s="8" t="s">
        <v>19</v>
      </c>
      <c r="AG125" s="8" t="s">
        <v>20</v>
      </c>
      <c r="AH125" s="10"/>
    </row>
    <row r="126" spans="3:34" s="6" customFormat="1" ht="12" customHeight="1">
      <c r="C126"/>
      <c r="D126"/>
      <c r="X126" s="8"/>
      <c r="Y126" s="8"/>
      <c r="Z126" s="6" t="s">
        <v>45</v>
      </c>
      <c r="AA126"/>
      <c r="AB126"/>
      <c r="AC126"/>
      <c r="AD126" s="8"/>
      <c r="AE126"/>
      <c r="AF126" s="17">
        <f>AC105</f>
        <v>-63.51203327406657</v>
      </c>
      <c r="AG126" s="17">
        <f>AC115</f>
        <v>293.1224647971171</v>
      </c>
      <c r="AH126" s="8"/>
    </row>
    <row r="127" spans="3:34" s="6" customFormat="1" ht="12" customHeight="1">
      <c r="C127"/>
      <c r="D127"/>
      <c r="X127" s="8"/>
      <c r="Y127" s="8"/>
      <c r="Z127" s="6" t="s">
        <v>46</v>
      </c>
      <c r="AA127"/>
      <c r="AB127"/>
      <c r="AC127"/>
      <c r="AD127" s="8"/>
      <c r="AE127"/>
      <c r="AF127" s="17">
        <f>AE105</f>
        <v>0</v>
      </c>
      <c r="AG127" s="17">
        <f>AE115</f>
        <v>0</v>
      </c>
      <c r="AH127" s="8"/>
    </row>
    <row r="128" spans="3:34" s="6" customFormat="1" ht="12" customHeight="1">
      <c r="C128"/>
      <c r="D128"/>
      <c r="X128"/>
      <c r="Y128"/>
      <c r="Z128" s="6" t="s">
        <v>47</v>
      </c>
      <c r="AA128"/>
      <c r="AB128"/>
      <c r="AC128"/>
      <c r="AD128" s="8"/>
      <c r="AE128"/>
      <c r="AF128" s="17">
        <f>AF105</f>
        <v>0</v>
      </c>
      <c r="AG128" s="17">
        <f>AF115</f>
        <v>0</v>
      </c>
      <c r="AH128" s="8"/>
    </row>
    <row r="129" spans="3:34" s="6" customFormat="1" ht="12" customHeight="1">
      <c r="C129"/>
      <c r="D129"/>
      <c r="X129" s="8"/>
      <c r="Y129" s="8"/>
      <c r="Z129" s="6" t="s">
        <v>48</v>
      </c>
      <c r="AA129"/>
      <c r="AB129"/>
      <c r="AC129"/>
      <c r="AD129" s="8"/>
      <c r="AE129"/>
      <c r="AF129" s="17">
        <f>AF126+AF127+AF128</f>
        <v>-63.51203327406657</v>
      </c>
      <c r="AG129" s="17">
        <f>AG126+AG127+AG128</f>
        <v>293.1224647971171</v>
      </c>
      <c r="AH129" s="8"/>
    </row>
    <row r="130" spans="3:34" s="6" customFormat="1" ht="12" customHeight="1">
      <c r="C130"/>
      <c r="D130"/>
      <c r="X130" s="8"/>
      <c r="Y130" s="8"/>
      <c r="Z130" s="6" t="s">
        <v>49</v>
      </c>
      <c r="AA130"/>
      <c r="AB130"/>
      <c r="AC130"/>
      <c r="AD130" s="8"/>
      <c r="AE130"/>
      <c r="AF130" s="17">
        <f>AF129/39.37</f>
        <v>-1.613208871579034</v>
      </c>
      <c r="AG130" s="17">
        <f>AG129/39.37</f>
        <v>7.445325496497769</v>
      </c>
      <c r="AH130" s="8"/>
    </row>
    <row r="131" spans="3:34" s="6" customFormat="1" ht="12" customHeight="1">
      <c r="C131" s="8"/>
      <c r="D131" s="8"/>
      <c r="X131" s="8"/>
      <c r="Y131" s="8"/>
      <c r="AA131" s="8"/>
      <c r="AB131" s="8"/>
      <c r="AC131" s="8"/>
      <c r="AD131" s="8"/>
      <c r="AE131" s="8"/>
      <c r="AF131" s="8"/>
      <c r="AG131" s="8"/>
      <c r="AH131" s="8"/>
    </row>
    <row r="132" spans="3:34" s="9" customFormat="1" ht="12" customHeight="1">
      <c r="C132"/>
      <c r="D132"/>
      <c r="X132" s="10"/>
      <c r="Y132" s="29" t="s">
        <v>50</v>
      </c>
      <c r="Z132"/>
      <c r="AB132"/>
      <c r="AC132"/>
      <c r="AD132" s="10"/>
      <c r="AE132"/>
      <c r="AF132"/>
      <c r="AG132"/>
      <c r="AH132" s="10"/>
    </row>
    <row r="133" spans="3:34" s="6" customFormat="1" ht="12" customHeight="1">
      <c r="C133"/>
      <c r="D133"/>
      <c r="X133" s="8"/>
      <c r="Y133" s="8"/>
      <c r="Z133" s="6" t="s">
        <v>51</v>
      </c>
      <c r="AA133"/>
      <c r="AB133"/>
      <c r="AC133"/>
      <c r="AD133" s="8"/>
      <c r="AE133"/>
      <c r="AF133" s="17">
        <f>AF130*AF97</f>
        <v>-614.632580071612</v>
      </c>
      <c r="AG133" s="17">
        <f>AG130*AG97</f>
        <v>2978.1301985991076</v>
      </c>
      <c r="AH133" s="8"/>
    </row>
    <row r="134" spans="3:34" s="6" customFormat="1" ht="12" customHeight="1">
      <c r="C134"/>
      <c r="D134"/>
      <c r="X134" s="8"/>
      <c r="Y134" s="8"/>
      <c r="Z134" s="6" t="s">
        <v>52</v>
      </c>
      <c r="AA134"/>
      <c r="AB134"/>
      <c r="AC134"/>
      <c r="AD134" s="8"/>
      <c r="AE134"/>
      <c r="AF134" s="17"/>
      <c r="AG134" s="17">
        <f>AVERAGE(AF133:AG133)/AG98</f>
        <v>1.8097225256718954</v>
      </c>
      <c r="AH134" s="8"/>
    </row>
    <row r="135" spans="3:34" s="6" customFormat="1" ht="12" customHeight="1">
      <c r="C135"/>
      <c r="D135"/>
      <c r="X135" s="8"/>
      <c r="Y135" s="8"/>
      <c r="AA135" s="18"/>
      <c r="AB135" s="18"/>
      <c r="AC135" s="8"/>
      <c r="AD135" s="8"/>
      <c r="AE135" s="8"/>
      <c r="AF135" s="8"/>
      <c r="AG135" s="8"/>
      <c r="AH135" s="8"/>
    </row>
    <row r="136" spans="3:34" s="6" customFormat="1" ht="12" customHeight="1">
      <c r="C136" s="8"/>
      <c r="X136" s="8"/>
      <c r="Y136" s="8"/>
      <c r="AA136" s="8"/>
      <c r="AB136" s="8"/>
      <c r="AC136" s="8"/>
      <c r="AD136" s="8"/>
      <c r="AE136" s="8"/>
      <c r="AF136" s="8"/>
      <c r="AG136" s="8"/>
      <c r="AH136" s="8"/>
    </row>
    <row r="137" spans="3:34" s="6" customFormat="1" ht="12" customHeight="1">
      <c r="C137" s="8"/>
      <c r="X137" s="8"/>
      <c r="Y137" s="8"/>
      <c r="AB137" s="8"/>
      <c r="AC137" s="8"/>
      <c r="AD137" s="8"/>
      <c r="AE137" s="8"/>
      <c r="AF137" s="8"/>
      <c r="AG137" s="8"/>
      <c r="AH137" s="8"/>
    </row>
    <row r="138" spans="24:34" s="6" customFormat="1" ht="12" customHeight="1">
      <c r="X138" s="8"/>
      <c r="Y138" s="8"/>
      <c r="AB138" s="8"/>
      <c r="AC138" s="8"/>
      <c r="AD138" s="8"/>
      <c r="AE138" s="8"/>
      <c r="AF138" s="8"/>
      <c r="AG138" s="8"/>
      <c r="AH138" s="8"/>
    </row>
    <row r="139" spans="1:34" s="6" customFormat="1" ht="12" customHeight="1">
      <c r="A139" s="6" t="s">
        <v>53</v>
      </c>
      <c r="C139" s="7"/>
      <c r="X139" s="8"/>
      <c r="Y139" s="8"/>
      <c r="AB139" s="8"/>
      <c r="AC139" s="8"/>
      <c r="AD139" s="8"/>
      <c r="AE139" s="8"/>
      <c r="AF139" s="8"/>
      <c r="AG139" s="8"/>
      <c r="AH139" s="8"/>
    </row>
    <row r="140" spans="1:34" s="6" customFormat="1" ht="12" customHeight="1">
      <c r="A140" s="6" t="s">
        <v>54</v>
      </c>
      <c r="X140" s="8"/>
      <c r="Y140" s="8"/>
      <c r="AB140" s="8"/>
      <c r="AC140" s="8"/>
      <c r="AD140" s="8"/>
      <c r="AE140" s="8"/>
      <c r="AF140" s="8"/>
      <c r="AG140" s="8"/>
      <c r="AH140" s="8"/>
    </row>
    <row r="141" spans="1:34" s="6" customFormat="1" ht="12" customHeight="1">
      <c r="A141" s="6" t="s">
        <v>55</v>
      </c>
      <c r="X141" s="8"/>
      <c r="Y141" s="8"/>
      <c r="AB141" s="8"/>
      <c r="AC141" s="8"/>
      <c r="AD141" s="8"/>
      <c r="AE141" s="8"/>
      <c r="AF141" s="8"/>
      <c r="AG141" s="8"/>
      <c r="AH141" s="8"/>
    </row>
    <row r="142" spans="1:34" s="6" customFormat="1" ht="12" customHeight="1">
      <c r="A142" s="6" t="s">
        <v>56</v>
      </c>
      <c r="X142" s="8"/>
      <c r="Y142" s="8"/>
      <c r="AB142" s="8"/>
      <c r="AC142" s="8"/>
      <c r="AD142" s="8"/>
      <c r="AE142" s="8"/>
      <c r="AF142" s="8"/>
      <c r="AG142" s="8"/>
      <c r="AH142" s="8"/>
    </row>
    <row r="143" spans="1:34" s="6" customFormat="1" ht="12" customHeight="1">
      <c r="A143" s="6" t="s">
        <v>57</v>
      </c>
      <c r="X143" s="8"/>
      <c r="Y143" s="8"/>
      <c r="AB143" s="8"/>
      <c r="AC143" s="8"/>
      <c r="AD143" s="8"/>
      <c r="AE143" s="8"/>
      <c r="AF143" s="8"/>
      <c r="AG143" s="8"/>
      <c r="AH143" s="8"/>
    </row>
    <row r="144" spans="1:3" ht="12" customHeight="1">
      <c r="A144" s="5" t="s">
        <v>58</v>
      </c>
      <c r="B144" s="5"/>
      <c r="C144" s="5"/>
    </row>
    <row r="145" spans="1:3" ht="12" customHeight="1">
      <c r="A145" s="5" t="s">
        <v>59</v>
      </c>
      <c r="B145" s="5"/>
      <c r="C145" s="5"/>
    </row>
    <row r="146" spans="1:3" ht="12" customHeight="1">
      <c r="A146" s="5" t="s">
        <v>60</v>
      </c>
      <c r="B146" s="5"/>
      <c r="C146" s="5"/>
    </row>
    <row r="147" spans="1:3" ht="12" customHeight="1">
      <c r="A147" s="5" t="s">
        <v>61</v>
      </c>
      <c r="B147" s="5"/>
      <c r="C147" s="5"/>
    </row>
    <row r="148" spans="1:3" ht="12" customHeight="1">
      <c r="A148" s="5" t="s">
        <v>62</v>
      </c>
      <c r="B148" s="5"/>
      <c r="C148" s="5"/>
    </row>
    <row r="149" spans="1:3" ht="12" customHeight="1">
      <c r="A149" s="5" t="s">
        <v>63</v>
      </c>
      <c r="B149" s="5"/>
      <c r="C149" s="5"/>
    </row>
    <row r="150" spans="1:3" ht="12" customHeight="1">
      <c r="A150" s="5" t="s">
        <v>64</v>
      </c>
      <c r="B150" s="5"/>
      <c r="C150" s="5"/>
    </row>
    <row r="151" spans="1:3" ht="12" customHeight="1">
      <c r="A151" s="5" t="s">
        <v>65</v>
      </c>
      <c r="B151" s="5"/>
      <c r="C151" s="5"/>
    </row>
    <row r="152" spans="1:4" ht="12" customHeight="1">
      <c r="A152"/>
      <c r="B152"/>
      <c r="C152"/>
      <c r="D152"/>
    </row>
    <row r="153" spans="1:4" ht="12" customHeight="1">
      <c r="A153"/>
      <c r="B153"/>
      <c r="C153"/>
      <c r="D153"/>
    </row>
  </sheetData>
  <printOptions horizontalCentered="1" verticalCentered="1"/>
  <pageMargins left="0.75" right="0.75" top="1" bottom="1" header="0.5" footer="0.5"/>
  <pageSetup fitToHeight="1" fitToWidth="1" orientation="portrait" r:id="rId1"/>
  <headerFooter alignWithMargins="0">
    <oddHeader>&amp;C&amp;"Chicago,Regular"&amp;F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20"/>
  <sheetViews>
    <sheetView view="pageBreakPreview" zoomScale="60" workbookViewId="0" topLeftCell="A1">
      <selection activeCell="H13" sqref="H13"/>
    </sheetView>
  </sheetViews>
  <sheetFormatPr defaultColWidth="9.00390625" defaultRowHeight="27" customHeight="1"/>
  <cols>
    <col min="1" max="1" width="22.625" style="765" customWidth="1"/>
    <col min="2" max="2" width="13.625" style="683" customWidth="1"/>
    <col min="3" max="6" width="17.75390625" style="683" customWidth="1"/>
    <col min="7" max="7" width="23.625" style="680" customWidth="1"/>
    <col min="8" max="8" width="13.625" style="681" customWidth="1"/>
    <col min="9" max="12" width="17.125" style="681" customWidth="1"/>
    <col min="13" max="16384" width="13.625" style="610" customWidth="1"/>
  </cols>
  <sheetData>
    <row r="2" spans="1:13" ht="27" customHeight="1">
      <c r="A2" s="765" t="str">
        <f>'Part Size List'!A2</f>
        <v>Component part measurements</v>
      </c>
      <c r="B2" s="766"/>
      <c r="C2" s="766"/>
      <c r="D2" s="766"/>
      <c r="E2" s="766"/>
      <c r="F2" s="766"/>
      <c r="G2" s="680" t="str">
        <f>'Part Size List'!U2</f>
        <v>Component part measurements</v>
      </c>
      <c r="H2" s="682"/>
      <c r="I2" s="682"/>
      <c r="J2" s="682"/>
      <c r="K2" s="682"/>
      <c r="L2" s="682"/>
      <c r="M2" s="268"/>
    </row>
    <row r="3" spans="2:13" ht="27" customHeight="1">
      <c r="B3" s="766"/>
      <c r="C3" s="766"/>
      <c r="D3" s="766"/>
      <c r="E3" s="766"/>
      <c r="F3" s="766"/>
      <c r="H3" s="682"/>
      <c r="I3" s="682"/>
      <c r="J3" s="682"/>
      <c r="K3" s="682"/>
      <c r="L3" s="682"/>
      <c r="M3" s="268"/>
    </row>
    <row r="4" spans="1:13" ht="33" customHeight="1">
      <c r="A4" s="767" t="str">
        <f>'Part Size List'!A4</f>
        <v>Note:  A "0" measurement is a part of nominal size or a measurement which does not apply to the specified direction</v>
      </c>
      <c r="B4" s="767"/>
      <c r="C4" s="767"/>
      <c r="D4" s="767"/>
      <c r="E4" s="767"/>
      <c r="F4" s="767"/>
      <c r="G4" s="630" t="str">
        <f>'Part Size List'!U4</f>
        <v>Note:  A "0" measurement is a part of nominal size or a measurement which does not apply to the specified direction</v>
      </c>
      <c r="H4" s="630"/>
      <c r="I4" s="630"/>
      <c r="J4" s="630"/>
      <c r="K4" s="630"/>
      <c r="L4" s="630"/>
      <c r="M4" s="268"/>
    </row>
    <row r="5" spans="2:13" ht="27" customHeight="1">
      <c r="B5" s="766"/>
      <c r="C5" s="766"/>
      <c r="D5" s="766"/>
      <c r="E5" s="766"/>
      <c r="F5" s="766"/>
      <c r="H5" s="682"/>
      <c r="I5" s="682"/>
      <c r="J5" s="682"/>
      <c r="K5" s="682"/>
      <c r="L5" s="682"/>
      <c r="M5" s="268"/>
    </row>
    <row r="6" spans="1:13" ht="27" customHeight="1">
      <c r="A6" s="686" t="str">
        <f>'Part Size List'!A6</f>
        <v>Assembly</v>
      </c>
      <c r="B6" s="768"/>
      <c r="C6" s="769" t="s">
        <v>251</v>
      </c>
      <c r="D6" s="770"/>
      <c r="E6" s="770"/>
      <c r="F6" s="771"/>
      <c r="G6" s="700" t="str">
        <f>'Part Size List'!U6</f>
        <v>Assembly</v>
      </c>
      <c r="H6" s="611"/>
      <c r="I6" s="657" t="s">
        <v>251</v>
      </c>
      <c r="J6" s="777"/>
      <c r="K6" s="777"/>
      <c r="L6" s="629"/>
      <c r="M6" s="268"/>
    </row>
    <row r="7" spans="1:16" ht="27" customHeight="1">
      <c r="A7" s="772"/>
      <c r="B7" s="691"/>
      <c r="C7" s="769" t="str">
        <f>'Part Size List'!B6</f>
        <v>Inner coil </v>
      </c>
      <c r="D7" s="771"/>
      <c r="E7" s="769" t="str">
        <f>'Part Size List'!L6</f>
        <v>Outer coil</v>
      </c>
      <c r="F7" s="771"/>
      <c r="G7" s="701"/>
      <c r="H7" s="612"/>
      <c r="I7" s="657" t="str">
        <f>'Part Size List'!V6</f>
        <v>Inner coil </v>
      </c>
      <c r="J7" s="629"/>
      <c r="K7" s="657" t="str">
        <f>'Part Size List'!AF6</f>
        <v>Outer coil</v>
      </c>
      <c r="L7" s="629"/>
      <c r="M7" s="268"/>
      <c r="N7" s="268"/>
      <c r="O7" s="268"/>
      <c r="P7" s="268"/>
    </row>
    <row r="8" spans="1:13" ht="27" customHeight="1">
      <c r="A8" s="692"/>
      <c r="B8" s="773"/>
      <c r="C8" s="774" t="str">
        <f>'Part Size List'!I9</f>
        <v>Azimuthal</v>
      </c>
      <c r="D8" s="775" t="str">
        <f>'Part Size List'!J9</f>
        <v>Radial</v>
      </c>
      <c r="E8" s="774" t="str">
        <f>'Part Size List'!S9</f>
        <v>Azimuthal</v>
      </c>
      <c r="F8" s="775" t="str">
        <f>'Part Size List'!T9</f>
        <v>Radial</v>
      </c>
      <c r="G8" s="702"/>
      <c r="H8" s="703"/>
      <c r="I8" s="704" t="str">
        <f>'Part Size List'!AC9</f>
        <v>Azimuthal</v>
      </c>
      <c r="J8" s="705" t="str">
        <f>'Part Size List'!AD9</f>
        <v>Radial</v>
      </c>
      <c r="K8" s="704" t="str">
        <f>'Part Size List'!AM9</f>
        <v>Azimuthal</v>
      </c>
      <c r="L8" s="705" t="str">
        <f>'Part Size List'!AN9</f>
        <v>Radial</v>
      </c>
      <c r="M8" s="268"/>
    </row>
    <row r="9" spans="1:12" s="683" customFormat="1" ht="27" customHeight="1">
      <c r="A9" s="686" t="str">
        <f>'Part Size List'!A26</f>
        <v>Mech. Model #1</v>
      </c>
      <c r="B9" s="687" t="str">
        <f>'Part Size List'!D26</f>
        <v>Total</v>
      </c>
      <c r="C9" s="694">
        <f>'Part Size List'!I26</f>
        <v>-1.2699999999999996</v>
      </c>
      <c r="D9" s="695">
        <f>'Part Size List'!J26</f>
        <v>0.7999999999999998</v>
      </c>
      <c r="E9" s="694">
        <f>'Part Size List'!S26</f>
        <v>-0.599999999999999</v>
      </c>
      <c r="F9" s="695">
        <f>'Part Size List'!T26</f>
        <v>-0.9000000000000004</v>
      </c>
      <c r="G9" s="708" t="str">
        <f>'Part Size List'!U26</f>
        <v>Mech. Model #1</v>
      </c>
      <c r="H9" s="709" t="str">
        <f>'Part Size List'!X26</f>
        <v>Total</v>
      </c>
      <c r="I9" s="711">
        <f>'Part Size List'!AC26</f>
        <v>-32.25799999999999</v>
      </c>
      <c r="J9" s="712">
        <f>'Part Size List'!AD26</f>
        <v>20.319999999999993</v>
      </c>
      <c r="K9" s="711">
        <f>'Part Size List'!AM26</f>
        <v>-15.239999999999974</v>
      </c>
      <c r="L9" s="712">
        <f>'Part Size List'!AN26</f>
        <v>-22.860000000000007</v>
      </c>
    </row>
    <row r="10" spans="1:12" s="685" customFormat="1" ht="27" customHeight="1">
      <c r="A10" s="688"/>
      <c r="B10" s="689" t="str">
        <f>'Part Size List'!D27</f>
        <v>Target</v>
      </c>
      <c r="C10" s="696">
        <f>'Part Size List'!I27</f>
        <v>0</v>
      </c>
      <c r="D10" s="697">
        <f>'Part Size List'!J27</f>
        <v>0</v>
      </c>
      <c r="E10" s="696">
        <f>'Part Size List'!S27</f>
        <v>0</v>
      </c>
      <c r="F10" s="697">
        <f>'Part Size List'!T27</f>
        <v>0</v>
      </c>
      <c r="G10" s="706"/>
      <c r="H10" s="707" t="str">
        <f>'Part Size List'!X27</f>
        <v>Target</v>
      </c>
      <c r="I10" s="713">
        <f>'Part Size List'!AC27</f>
        <v>0</v>
      </c>
      <c r="J10" s="714">
        <f>'Part Size List'!AD27</f>
        <v>0</v>
      </c>
      <c r="K10" s="713">
        <f>'Part Size List'!AM27</f>
        <v>0</v>
      </c>
      <c r="L10" s="714">
        <f>'Part Size List'!AN27</f>
        <v>0</v>
      </c>
    </row>
    <row r="11" spans="1:12" s="683" customFormat="1" ht="27" customHeight="1">
      <c r="A11" s="690"/>
      <c r="B11" s="691"/>
      <c r="C11" s="694"/>
      <c r="D11" s="695"/>
      <c r="E11" s="694"/>
      <c r="F11" s="695"/>
      <c r="G11" s="708"/>
      <c r="H11" s="709"/>
      <c r="I11" s="711"/>
      <c r="J11" s="712"/>
      <c r="K11" s="711"/>
      <c r="L11" s="712"/>
    </row>
    <row r="12" spans="1:12" s="683" customFormat="1" ht="27" customHeight="1">
      <c r="A12" s="690" t="str">
        <f>'Part Size List'!A50</f>
        <v>Mech. Model #2</v>
      </c>
      <c r="B12" s="691" t="str">
        <f>'Part Size List'!D50</f>
        <v>Total*</v>
      </c>
      <c r="C12" s="694">
        <f>'Part Size List'!I50</f>
        <v>15.13</v>
      </c>
      <c r="D12" s="695">
        <f>'Part Size List'!J50</f>
        <v>0.7999999999999998</v>
      </c>
      <c r="E12" s="694">
        <f>'Part Size List'!S50</f>
        <v>12.1</v>
      </c>
      <c r="F12" s="695">
        <f>'Part Size List'!T50</f>
        <v>-0.9000000000000004</v>
      </c>
      <c r="G12" s="708" t="str">
        <f>'Part Size List'!U50</f>
        <v>Mech. Model #2</v>
      </c>
      <c r="H12" s="709" t="str">
        <f>'Part Size List'!X50</f>
        <v>Total</v>
      </c>
      <c r="I12" s="711">
        <f>'Part Size List'!AC50</f>
        <v>384.302</v>
      </c>
      <c r="J12" s="712">
        <f>'Part Size List'!AD50</f>
        <v>20.319999999999993</v>
      </c>
      <c r="K12" s="711">
        <f>'Part Size List'!AM50</f>
        <v>307.34</v>
      </c>
      <c r="L12" s="712">
        <f>'Part Size List'!AN50</f>
        <v>-22.860000000000007</v>
      </c>
    </row>
    <row r="13" spans="1:12" s="685" customFormat="1" ht="27" customHeight="1">
      <c r="A13" s="688"/>
      <c r="B13" s="689" t="str">
        <f>'Part Size List'!D51</f>
        <v>Target</v>
      </c>
      <c r="C13" s="696">
        <f>'Part Size List'!I51</f>
        <v>16.3</v>
      </c>
      <c r="D13" s="697">
        <f>'Part Size List'!J51</f>
        <v>0</v>
      </c>
      <c r="E13" s="696">
        <f>'Part Size List'!S51</f>
        <v>8.4</v>
      </c>
      <c r="F13" s="697">
        <f>'Part Size List'!T51</f>
        <v>0</v>
      </c>
      <c r="G13" s="706"/>
      <c r="H13" s="707" t="str">
        <f>'Part Size List'!X51</f>
        <v>Target</v>
      </c>
      <c r="I13" s="713">
        <f>'Part Size List'!AC51</f>
        <v>414.02</v>
      </c>
      <c r="J13" s="714">
        <f>'Part Size List'!AD51</f>
        <v>0</v>
      </c>
      <c r="K13" s="713">
        <f>'Part Size List'!AM51</f>
        <v>213.35999999999999</v>
      </c>
      <c r="L13" s="714">
        <f>'Part Size List'!AN51</f>
        <v>0</v>
      </c>
    </row>
    <row r="14" spans="1:13" s="683" customFormat="1" ht="42" customHeight="1">
      <c r="A14" s="690"/>
      <c r="B14" s="691"/>
      <c r="C14" s="733" t="str">
        <f>'Part Size List'!D58</f>
        <v>* actual may be less 0.5 mils, from adhesive loss</v>
      </c>
      <c r="D14" s="776"/>
      <c r="E14" s="733" t="str">
        <f>'Part Size List'!N58</f>
        <v>* actual may be less 5.0 mils (max) to 1.5 mils (average) from compression of bearing strips</v>
      </c>
      <c r="F14" s="776"/>
      <c r="G14" s="717"/>
      <c r="H14" s="718"/>
      <c r="I14" s="735" t="str">
        <f>C14</f>
        <v>* actual may be less 0.5 mils, from adhesive loss</v>
      </c>
      <c r="J14" s="736"/>
      <c r="K14" s="735" t="str">
        <f>E14</f>
        <v>* actual may be less 5.0 mils (max) to 1.5 mils (average) from compression of bearing strips</v>
      </c>
      <c r="L14" s="734"/>
      <c r="M14" s="684"/>
    </row>
    <row r="15" spans="1:12" s="683" customFormat="1" ht="27" customHeight="1">
      <c r="A15" s="690"/>
      <c r="B15" s="691"/>
      <c r="C15" s="694"/>
      <c r="D15" s="695"/>
      <c r="E15" s="694"/>
      <c r="F15" s="695"/>
      <c r="G15" s="708"/>
      <c r="H15" s="709"/>
      <c r="I15" s="711"/>
      <c r="J15" s="712"/>
      <c r="K15" s="711"/>
      <c r="L15" s="712"/>
    </row>
    <row r="16" spans="1:12" s="683" customFormat="1" ht="27" customHeight="1">
      <c r="A16" s="690" t="str">
        <f>'Part Size List'!A75</f>
        <v>Mech. Model #3</v>
      </c>
      <c r="B16" s="691" t="str">
        <f>'Part Size List'!D75</f>
        <v>Total</v>
      </c>
      <c r="C16" s="694">
        <f>'Part Size List'!I75</f>
        <v>6.93</v>
      </c>
      <c r="D16" s="695">
        <f>'Part Size List'!J75</f>
        <v>0.7999999999999998</v>
      </c>
      <c r="E16" s="694">
        <f>'Part Size List'!S75</f>
        <v>3.500000000000001</v>
      </c>
      <c r="F16" s="695">
        <f>'Part Size List'!T75</f>
        <v>-3.9000000000000004</v>
      </c>
      <c r="G16" s="708" t="str">
        <f>'Part Size List'!U75</f>
        <v>Mech. Model #3</v>
      </c>
      <c r="H16" s="709" t="str">
        <f>'Part Size List'!X75</f>
        <v>Total</v>
      </c>
      <c r="I16" s="711">
        <f>'Part Size List'!AC75</f>
        <v>176.022</v>
      </c>
      <c r="J16" s="712">
        <f>'Part Size List'!AD75</f>
        <v>20.319999999999993</v>
      </c>
      <c r="K16" s="711">
        <f>'Part Size List'!AM75</f>
        <v>88.90000000000002</v>
      </c>
      <c r="L16" s="712">
        <f>'Part Size List'!AN75</f>
        <v>-99.06</v>
      </c>
    </row>
    <row r="17" spans="1:12" s="685" customFormat="1" ht="27" customHeight="1">
      <c r="A17" s="688"/>
      <c r="B17" s="689" t="str">
        <f>'Part Size List'!D76</f>
        <v>Target</v>
      </c>
      <c r="C17" s="696">
        <f>'Part Size List'!I76</f>
        <v>8</v>
      </c>
      <c r="D17" s="697">
        <f>'Part Size List'!J76</f>
        <v>0</v>
      </c>
      <c r="E17" s="696">
        <f>'Part Size List'!S76</f>
        <v>4.2</v>
      </c>
      <c r="F17" s="697">
        <f>'Part Size List'!T76</f>
        <v>0</v>
      </c>
      <c r="G17" s="706"/>
      <c r="H17" s="707" t="str">
        <f>'Part Size List'!X76</f>
        <v>Target</v>
      </c>
      <c r="I17" s="713">
        <f>'Part Size List'!AC76</f>
        <v>203.2</v>
      </c>
      <c r="J17" s="714">
        <f>'Part Size List'!AD76</f>
        <v>0</v>
      </c>
      <c r="K17" s="713">
        <f>'Part Size List'!AM76</f>
        <v>106.67999999999999</v>
      </c>
      <c r="L17" s="714">
        <f>'Part Size List'!AN76</f>
        <v>0</v>
      </c>
    </row>
    <row r="18" spans="1:12" s="683" customFormat="1" ht="27" customHeight="1">
      <c r="A18" s="690"/>
      <c r="B18" s="691"/>
      <c r="C18" s="694"/>
      <c r="D18" s="695"/>
      <c r="E18" s="694"/>
      <c r="F18" s="695"/>
      <c r="G18" s="708"/>
      <c r="H18" s="709"/>
      <c r="I18" s="711"/>
      <c r="J18" s="712"/>
      <c r="K18" s="711"/>
      <c r="L18" s="712"/>
    </row>
    <row r="19" spans="1:12" s="683" customFormat="1" ht="27" customHeight="1">
      <c r="A19" s="690" t="str">
        <f>'Part Size List'!A99</f>
        <v>Mech. Model </v>
      </c>
      <c r="B19" s="691" t="str">
        <f>'Part Size List'!D99</f>
        <v>Total</v>
      </c>
      <c r="C19" s="694">
        <f>'Part Size List'!I99</f>
        <v>0.9999999999999999</v>
      </c>
      <c r="D19" s="695">
        <f>'Part Size List'!J99</f>
        <v>0.9999999999999999</v>
      </c>
      <c r="E19" s="694">
        <f>'Part Size List'!S99</f>
        <v>0.8999999999999999</v>
      </c>
      <c r="F19" s="695">
        <f>'Part Size List'!T99</f>
        <v>0.8999999999999999</v>
      </c>
      <c r="G19" s="708" t="str">
        <f>'Part Size List'!U99</f>
        <v>Mech. Model </v>
      </c>
      <c r="H19" s="709" t="str">
        <f>'Part Size List'!X99</f>
        <v>Total</v>
      </c>
      <c r="I19" s="711">
        <f>'Part Size List'!AC99</f>
        <v>25.399999999999995</v>
      </c>
      <c r="J19" s="712">
        <f>'Part Size List'!AD99</f>
        <v>25.399999999999995</v>
      </c>
      <c r="K19" s="711">
        <f>'Part Size List'!AM99</f>
        <v>22.859999999999996</v>
      </c>
      <c r="L19" s="712">
        <f>'Part Size List'!AN99</f>
        <v>22.859999999999996</v>
      </c>
    </row>
    <row r="20" spans="1:13" s="683" customFormat="1" ht="27" customHeight="1">
      <c r="A20" s="692" t="str">
        <f>'Part Size List'!A100</f>
        <v>Tolerances</v>
      </c>
      <c r="B20" s="693" t="str">
        <f>'Part Size List'!D100</f>
        <v>Target</v>
      </c>
      <c r="C20" s="698">
        <f>'Part Size List'!I100</f>
        <v>0</v>
      </c>
      <c r="D20" s="699">
        <f>'Part Size List'!J100</f>
        <v>0</v>
      </c>
      <c r="E20" s="698">
        <f>'Part Size List'!S100</f>
        <v>0</v>
      </c>
      <c r="F20" s="699">
        <f>'Part Size List'!T100</f>
        <v>0</v>
      </c>
      <c r="G20" s="702" t="str">
        <f>'Part Size List'!U100</f>
        <v>Tolerances</v>
      </c>
      <c r="H20" s="710" t="str">
        <f>'Part Size List'!X100</f>
        <v>Target</v>
      </c>
      <c r="I20" s="715">
        <f>'Part Size List'!AC100</f>
        <v>0</v>
      </c>
      <c r="J20" s="716">
        <f>'Part Size List'!AD100</f>
        <v>0</v>
      </c>
      <c r="K20" s="715">
        <f>'Part Size List'!AM100</f>
        <v>0</v>
      </c>
      <c r="L20" s="716">
        <f>'Part Size List'!AN100</f>
        <v>0</v>
      </c>
      <c r="M20" s="685"/>
    </row>
  </sheetData>
  <mergeCells count="12">
    <mergeCell ref="G4:L4"/>
    <mergeCell ref="A4:F4"/>
    <mergeCell ref="C6:F6"/>
    <mergeCell ref="I6:L6"/>
    <mergeCell ref="I14:J14"/>
    <mergeCell ref="K14:L14"/>
    <mergeCell ref="I7:J7"/>
    <mergeCell ref="K7:L7"/>
    <mergeCell ref="C14:D14"/>
    <mergeCell ref="E14:F14"/>
    <mergeCell ref="C7:D7"/>
    <mergeCell ref="E7:F7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N122"/>
  <sheetViews>
    <sheetView tabSelected="1" view="pageBreakPreview" zoomScale="60" zoomScaleNormal="75" workbookViewId="0" topLeftCell="A68">
      <selection activeCell="R92" sqref="R92"/>
    </sheetView>
  </sheetViews>
  <sheetFormatPr defaultColWidth="9.00390625" defaultRowHeight="12.75"/>
  <cols>
    <col min="1" max="1" width="14.875" style="608" customWidth="1"/>
    <col min="2" max="2" width="4.25390625" style="608" customWidth="1"/>
    <col min="3" max="3" width="8.25390625" style="608" customWidth="1"/>
    <col min="4" max="4" width="25.00390625" style="608" customWidth="1"/>
    <col min="5" max="10" width="9.125" style="608" customWidth="1"/>
    <col min="11" max="11" width="4.375" style="608" customWidth="1"/>
    <col min="12" max="12" width="4.25390625" style="608" customWidth="1"/>
    <col min="13" max="13" width="9.00390625" style="628" customWidth="1"/>
    <col min="14" max="14" width="26.00390625" style="608" customWidth="1"/>
    <col min="15" max="20" width="9.125" style="608" customWidth="1"/>
    <col min="21" max="21" width="15.125" style="647" customWidth="1"/>
    <col min="22" max="22" width="5.25390625" style="647" customWidth="1"/>
    <col min="23" max="23" width="7.375" style="647" customWidth="1"/>
    <col min="24" max="24" width="22.875" style="647" customWidth="1"/>
    <col min="25" max="30" width="9.125" style="647" customWidth="1"/>
    <col min="31" max="31" width="3.25390625" style="647" customWidth="1"/>
    <col min="32" max="32" width="5.00390625" style="647" customWidth="1"/>
    <col min="33" max="33" width="9.125" style="647" customWidth="1"/>
    <col min="34" max="34" width="23.625" style="647" customWidth="1"/>
    <col min="35" max="40" width="9.125" style="647" customWidth="1"/>
    <col min="41" max="16384" width="9.125" style="608" customWidth="1"/>
  </cols>
  <sheetData>
    <row r="2" spans="1:40" ht="18">
      <c r="A2" s="731" t="s">
        <v>242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2" t="str">
        <f>A2</f>
        <v>Component part measurements</v>
      </c>
      <c r="V2" s="732"/>
      <c r="W2" s="732"/>
      <c r="X2" s="732"/>
      <c r="Y2" s="732"/>
      <c r="Z2" s="732"/>
      <c r="AA2" s="732"/>
      <c r="AB2" s="732"/>
      <c r="AC2" s="732"/>
      <c r="AD2" s="732"/>
      <c r="AE2" s="732"/>
      <c r="AF2" s="732"/>
      <c r="AG2" s="732"/>
      <c r="AH2" s="732"/>
      <c r="AI2" s="732"/>
      <c r="AJ2" s="732"/>
      <c r="AK2" s="732"/>
      <c r="AL2" s="732"/>
      <c r="AM2" s="732"/>
      <c r="AN2" s="732"/>
    </row>
    <row r="3" ht="12.75">
      <c r="AG3" s="648"/>
    </row>
    <row r="4" spans="1:33" ht="12.75">
      <c r="A4" s="608" t="s">
        <v>249</v>
      </c>
      <c r="U4" s="647" t="str">
        <f>A4</f>
        <v>Note:  A "0" measurement is a part of nominal size or a measurement which does not apply to the specified direction</v>
      </c>
      <c r="AG4" s="648"/>
    </row>
    <row r="5" ht="12.75">
      <c r="AG5" s="648"/>
    </row>
    <row r="6" spans="1:40" ht="12.75">
      <c r="A6" s="615" t="s">
        <v>224</v>
      </c>
      <c r="B6" s="726" t="s">
        <v>223</v>
      </c>
      <c r="C6" s="727"/>
      <c r="D6" s="727"/>
      <c r="E6" s="727"/>
      <c r="F6" s="727"/>
      <c r="G6" s="727"/>
      <c r="H6" s="727"/>
      <c r="I6" s="727"/>
      <c r="J6" s="728"/>
      <c r="K6" s="635"/>
      <c r="L6" s="726" t="s">
        <v>20</v>
      </c>
      <c r="M6" s="727"/>
      <c r="N6" s="727"/>
      <c r="O6" s="727"/>
      <c r="P6" s="727"/>
      <c r="Q6" s="727"/>
      <c r="R6" s="727"/>
      <c r="S6" s="727"/>
      <c r="T6" s="728"/>
      <c r="U6" s="649" t="s">
        <v>224</v>
      </c>
      <c r="V6" s="721" t="s">
        <v>223</v>
      </c>
      <c r="W6" s="722"/>
      <c r="X6" s="722"/>
      <c r="Y6" s="722"/>
      <c r="Z6" s="722"/>
      <c r="AA6" s="722"/>
      <c r="AB6" s="722"/>
      <c r="AC6" s="722"/>
      <c r="AD6" s="723"/>
      <c r="AE6" s="650"/>
      <c r="AF6" s="721" t="s">
        <v>20</v>
      </c>
      <c r="AG6" s="722"/>
      <c r="AH6" s="722"/>
      <c r="AI6" s="722"/>
      <c r="AJ6" s="722"/>
      <c r="AK6" s="722"/>
      <c r="AL6" s="722"/>
      <c r="AM6" s="722"/>
      <c r="AN6" s="723"/>
    </row>
    <row r="7" spans="1:40" ht="12.75">
      <c r="A7" s="632"/>
      <c r="B7" s="617" t="s">
        <v>225</v>
      </c>
      <c r="C7" s="186" t="s">
        <v>229</v>
      </c>
      <c r="D7" s="186" t="s">
        <v>226</v>
      </c>
      <c r="E7" s="726" t="s">
        <v>241</v>
      </c>
      <c r="F7" s="727"/>
      <c r="G7" s="727"/>
      <c r="H7" s="727"/>
      <c r="I7" s="727"/>
      <c r="J7" s="728"/>
      <c r="K7" s="634"/>
      <c r="L7" s="617" t="s">
        <v>225</v>
      </c>
      <c r="M7" s="186" t="s">
        <v>229</v>
      </c>
      <c r="N7" s="186" t="s">
        <v>226</v>
      </c>
      <c r="O7" s="726" t="s">
        <v>241</v>
      </c>
      <c r="P7" s="727"/>
      <c r="Q7" s="727"/>
      <c r="R7" s="727"/>
      <c r="S7" s="727"/>
      <c r="T7" s="728"/>
      <c r="U7" s="651"/>
      <c r="V7" s="652" t="s">
        <v>225</v>
      </c>
      <c r="W7" s="653" t="s">
        <v>229</v>
      </c>
      <c r="X7" s="653" t="s">
        <v>226</v>
      </c>
      <c r="Y7" s="721" t="s">
        <v>250</v>
      </c>
      <c r="Z7" s="722"/>
      <c r="AA7" s="722"/>
      <c r="AB7" s="722"/>
      <c r="AC7" s="722"/>
      <c r="AD7" s="723"/>
      <c r="AE7" s="654"/>
      <c r="AF7" s="652" t="s">
        <v>225</v>
      </c>
      <c r="AG7" s="653" t="s">
        <v>229</v>
      </c>
      <c r="AH7" s="653" t="s">
        <v>226</v>
      </c>
      <c r="AI7" s="721" t="s">
        <v>250</v>
      </c>
      <c r="AJ7" s="722"/>
      <c r="AK7" s="722"/>
      <c r="AL7" s="722"/>
      <c r="AM7" s="722"/>
      <c r="AN7" s="723"/>
    </row>
    <row r="8" spans="1:40" ht="12.75">
      <c r="A8" s="632"/>
      <c r="B8" s="617"/>
      <c r="C8" s="186"/>
      <c r="D8" s="186"/>
      <c r="E8" s="729" t="s">
        <v>9</v>
      </c>
      <c r="F8" s="730"/>
      <c r="G8" s="729" t="s">
        <v>7</v>
      </c>
      <c r="H8" s="730"/>
      <c r="I8" s="729" t="s">
        <v>0</v>
      </c>
      <c r="J8" s="730"/>
      <c r="K8" s="634"/>
      <c r="L8" s="617"/>
      <c r="M8" s="186"/>
      <c r="N8" s="186"/>
      <c r="O8" s="729" t="s">
        <v>9</v>
      </c>
      <c r="P8" s="730"/>
      <c r="Q8" s="729" t="s">
        <v>7</v>
      </c>
      <c r="R8" s="730"/>
      <c r="S8" s="729" t="s">
        <v>0</v>
      </c>
      <c r="T8" s="730"/>
      <c r="U8" s="651"/>
      <c r="V8" s="652"/>
      <c r="W8" s="653"/>
      <c r="X8" s="653"/>
      <c r="Y8" s="724" t="s">
        <v>9</v>
      </c>
      <c r="Z8" s="725"/>
      <c r="AA8" s="724" t="s">
        <v>7</v>
      </c>
      <c r="AB8" s="725"/>
      <c r="AC8" s="724" t="s">
        <v>0</v>
      </c>
      <c r="AD8" s="725"/>
      <c r="AE8" s="654"/>
      <c r="AF8" s="652"/>
      <c r="AG8" s="653"/>
      <c r="AH8" s="653"/>
      <c r="AI8" s="724" t="s">
        <v>9</v>
      </c>
      <c r="AJ8" s="725"/>
      <c r="AK8" s="724" t="s">
        <v>7</v>
      </c>
      <c r="AL8" s="725"/>
      <c r="AM8" s="724" t="s">
        <v>0</v>
      </c>
      <c r="AN8" s="725"/>
    </row>
    <row r="9" spans="1:40" ht="12.75">
      <c r="A9" s="632"/>
      <c r="B9" s="617"/>
      <c r="C9" s="186"/>
      <c r="D9" s="607"/>
      <c r="E9" s="636" t="s">
        <v>217</v>
      </c>
      <c r="F9" s="626" t="s">
        <v>218</v>
      </c>
      <c r="G9" s="626" t="s">
        <v>217</v>
      </c>
      <c r="H9" s="626" t="s">
        <v>218</v>
      </c>
      <c r="I9" s="626" t="s">
        <v>217</v>
      </c>
      <c r="J9" s="626" t="s">
        <v>218</v>
      </c>
      <c r="K9" s="633"/>
      <c r="L9" s="617"/>
      <c r="M9" s="186"/>
      <c r="N9" s="607"/>
      <c r="O9" s="636" t="s">
        <v>217</v>
      </c>
      <c r="P9" s="626" t="s">
        <v>218</v>
      </c>
      <c r="Q9" s="626" t="s">
        <v>217</v>
      </c>
      <c r="R9" s="626" t="s">
        <v>218</v>
      </c>
      <c r="S9" s="626" t="s">
        <v>217</v>
      </c>
      <c r="T9" s="626" t="s">
        <v>218</v>
      </c>
      <c r="U9" s="651"/>
      <c r="V9" s="652"/>
      <c r="W9" s="653"/>
      <c r="X9" s="655"/>
      <c r="Y9" s="656" t="s">
        <v>217</v>
      </c>
      <c r="Z9" s="658" t="s">
        <v>218</v>
      </c>
      <c r="AA9" s="658" t="s">
        <v>217</v>
      </c>
      <c r="AB9" s="658" t="s">
        <v>218</v>
      </c>
      <c r="AC9" s="658" t="s">
        <v>217</v>
      </c>
      <c r="AD9" s="658" t="s">
        <v>218</v>
      </c>
      <c r="AE9" s="659"/>
      <c r="AF9" s="652"/>
      <c r="AG9" s="653"/>
      <c r="AH9" s="655"/>
      <c r="AI9" s="656" t="s">
        <v>217</v>
      </c>
      <c r="AJ9" s="658" t="s">
        <v>218</v>
      </c>
      <c r="AK9" s="658" t="s">
        <v>217</v>
      </c>
      <c r="AL9" s="658" t="s">
        <v>218</v>
      </c>
      <c r="AM9" s="658" t="s">
        <v>217</v>
      </c>
      <c r="AN9" s="658" t="s">
        <v>218</v>
      </c>
    </row>
    <row r="10" spans="1:40" ht="12.75">
      <c r="A10" s="613"/>
      <c r="B10" s="615"/>
      <c r="C10" s="397"/>
      <c r="D10" s="642"/>
      <c r="E10" s="623"/>
      <c r="F10" s="623"/>
      <c r="G10" s="623"/>
      <c r="H10" s="623"/>
      <c r="I10" s="623"/>
      <c r="J10" s="623"/>
      <c r="K10" s="613"/>
      <c r="L10" s="615"/>
      <c r="M10" s="624"/>
      <c r="N10" s="398"/>
      <c r="O10" s="623"/>
      <c r="P10" s="623"/>
      <c r="Q10" s="623"/>
      <c r="R10" s="637"/>
      <c r="S10" s="623"/>
      <c r="T10" s="623"/>
      <c r="U10" s="660"/>
      <c r="V10" s="649"/>
      <c r="W10" s="661"/>
      <c r="X10" s="662"/>
      <c r="Y10" s="663"/>
      <c r="Z10" s="663"/>
      <c r="AA10" s="663"/>
      <c r="AB10" s="663"/>
      <c r="AC10" s="663"/>
      <c r="AD10" s="663"/>
      <c r="AE10" s="660"/>
      <c r="AF10" s="649"/>
      <c r="AG10" s="664"/>
      <c r="AH10" s="665"/>
      <c r="AI10" s="663"/>
      <c r="AJ10" s="663"/>
      <c r="AK10" s="663"/>
      <c r="AL10" s="666"/>
      <c r="AM10" s="663"/>
      <c r="AN10" s="663"/>
    </row>
    <row r="11" spans="1:40" ht="12.75">
      <c r="A11" s="614"/>
      <c r="B11" s="617">
        <v>13</v>
      </c>
      <c r="C11" s="186"/>
      <c r="D11" s="641" t="s">
        <v>206</v>
      </c>
      <c r="E11" s="620">
        <v>-2.7</v>
      </c>
      <c r="F11" s="620">
        <v>0</v>
      </c>
      <c r="G11" s="620">
        <f aca="true" t="shared" si="0" ref="G11:G24">E11</f>
        <v>-2.7</v>
      </c>
      <c r="H11" s="620">
        <f aca="true" t="shared" si="1" ref="H11:H24">F11</f>
        <v>0</v>
      </c>
      <c r="I11" s="620">
        <f aca="true" t="shared" si="2" ref="I11:I24">AVERAGE(E11,G11)</f>
        <v>-2.7</v>
      </c>
      <c r="J11" s="620">
        <f aca="true" t="shared" si="3" ref="J11:J24">AVERAGE(F11,H11)</f>
        <v>0</v>
      </c>
      <c r="K11" s="614"/>
      <c r="L11" s="617">
        <v>18</v>
      </c>
      <c r="M11" s="625"/>
      <c r="N11" s="641" t="s">
        <v>206</v>
      </c>
      <c r="O11" s="620">
        <v>11.8</v>
      </c>
      <c r="P11" s="620">
        <v>0</v>
      </c>
      <c r="Q11" s="620">
        <v>12.9</v>
      </c>
      <c r="R11" s="638">
        <f aca="true" t="shared" si="4" ref="R11:R17">P11</f>
        <v>0</v>
      </c>
      <c r="S11" s="620">
        <f aca="true" t="shared" si="5" ref="S11:T17">AVERAGE(O11,Q11)</f>
        <v>12.350000000000001</v>
      </c>
      <c r="T11" s="620">
        <f t="shared" si="5"/>
        <v>0</v>
      </c>
      <c r="U11" s="667"/>
      <c r="V11" s="652">
        <v>13</v>
      </c>
      <c r="W11" s="653"/>
      <c r="X11" s="668" t="s">
        <v>206</v>
      </c>
      <c r="Y11" s="658">
        <f aca="true" t="shared" si="6" ref="Y11:Y27">E11*25.4</f>
        <v>-68.58</v>
      </c>
      <c r="Z11" s="658">
        <f aca="true" t="shared" si="7" ref="Z11:Z27">F11*25.4</f>
        <v>0</v>
      </c>
      <c r="AA11" s="658">
        <f aca="true" t="shared" si="8" ref="AA11:AA27">G11*25.4</f>
        <v>-68.58</v>
      </c>
      <c r="AB11" s="658">
        <f aca="true" t="shared" si="9" ref="AB11:AB27">H11*25.4</f>
        <v>0</v>
      </c>
      <c r="AC11" s="658">
        <f aca="true" t="shared" si="10" ref="AC11:AC27">I11*25.4</f>
        <v>-68.58</v>
      </c>
      <c r="AD11" s="658">
        <f aca="true" t="shared" si="11" ref="AD11:AD27">J11*25.4</f>
        <v>0</v>
      </c>
      <c r="AE11" s="667"/>
      <c r="AF11" s="652">
        <v>18</v>
      </c>
      <c r="AG11" s="669"/>
      <c r="AH11" s="668" t="s">
        <v>206</v>
      </c>
      <c r="AI11" s="658">
        <f aca="true" t="shared" si="12" ref="AI11:AI27">O11*25.4</f>
        <v>299.72</v>
      </c>
      <c r="AJ11" s="658">
        <f aca="true" t="shared" si="13" ref="AJ11:AJ27">P11*25.4</f>
        <v>0</v>
      </c>
      <c r="AK11" s="658">
        <f aca="true" t="shared" si="14" ref="AK11:AK27">Q11*25.4</f>
        <v>327.65999999999997</v>
      </c>
      <c r="AL11" s="658">
        <f aca="true" t="shared" si="15" ref="AL11:AL27">R11*25.4</f>
        <v>0</v>
      </c>
      <c r="AM11" s="658">
        <f aca="true" t="shared" si="16" ref="AM11:AM27">S11*25.4</f>
        <v>313.69</v>
      </c>
      <c r="AN11" s="658">
        <f aca="true" t="shared" si="17" ref="AN11:AN27">T11*25.4</f>
        <v>0</v>
      </c>
    </row>
    <row r="12" spans="1:40" ht="12.75">
      <c r="A12" s="614"/>
      <c r="B12" s="617">
        <v>14</v>
      </c>
      <c r="C12" s="186"/>
      <c r="D12" s="641" t="s">
        <v>216</v>
      </c>
      <c r="E12" s="620">
        <v>0</v>
      </c>
      <c r="F12" s="620">
        <v>0</v>
      </c>
      <c r="G12" s="620">
        <f t="shared" si="0"/>
        <v>0</v>
      </c>
      <c r="H12" s="620">
        <f t="shared" si="1"/>
        <v>0</v>
      </c>
      <c r="I12" s="620">
        <f t="shared" si="2"/>
        <v>0</v>
      </c>
      <c r="J12" s="620">
        <f t="shared" si="3"/>
        <v>0</v>
      </c>
      <c r="K12" s="614"/>
      <c r="L12" s="617">
        <v>19</v>
      </c>
      <c r="M12" s="625"/>
      <c r="N12" s="641" t="s">
        <v>216</v>
      </c>
      <c r="O12" s="620">
        <v>0.25</v>
      </c>
      <c r="P12" s="620">
        <v>0</v>
      </c>
      <c r="Q12" s="620">
        <f aca="true" t="shared" si="18" ref="Q12:Q17">O12</f>
        <v>0.25</v>
      </c>
      <c r="R12" s="638">
        <f t="shared" si="4"/>
        <v>0</v>
      </c>
      <c r="S12" s="620">
        <f t="shared" si="5"/>
        <v>0.25</v>
      </c>
      <c r="T12" s="620">
        <f t="shared" si="5"/>
        <v>0</v>
      </c>
      <c r="U12" s="667"/>
      <c r="V12" s="652">
        <v>14</v>
      </c>
      <c r="W12" s="653"/>
      <c r="X12" s="668" t="s">
        <v>216</v>
      </c>
      <c r="Y12" s="658">
        <f t="shared" si="6"/>
        <v>0</v>
      </c>
      <c r="Z12" s="658">
        <f t="shared" si="7"/>
        <v>0</v>
      </c>
      <c r="AA12" s="658">
        <f t="shared" si="8"/>
        <v>0</v>
      </c>
      <c r="AB12" s="658">
        <f t="shared" si="9"/>
        <v>0</v>
      </c>
      <c r="AC12" s="658">
        <f t="shared" si="10"/>
        <v>0</v>
      </c>
      <c r="AD12" s="658">
        <f t="shared" si="11"/>
        <v>0</v>
      </c>
      <c r="AE12" s="667"/>
      <c r="AF12" s="652">
        <v>19</v>
      </c>
      <c r="AG12" s="669"/>
      <c r="AH12" s="668" t="s">
        <v>216</v>
      </c>
      <c r="AI12" s="658">
        <f t="shared" si="12"/>
        <v>6.35</v>
      </c>
      <c r="AJ12" s="658">
        <f t="shared" si="13"/>
        <v>0</v>
      </c>
      <c r="AK12" s="658">
        <f t="shared" si="14"/>
        <v>6.35</v>
      </c>
      <c r="AL12" s="658">
        <f t="shared" si="15"/>
        <v>0</v>
      </c>
      <c r="AM12" s="658">
        <f t="shared" si="16"/>
        <v>6.35</v>
      </c>
      <c r="AN12" s="658">
        <f t="shared" si="17"/>
        <v>0</v>
      </c>
    </row>
    <row r="13" spans="1:40" ht="12.75">
      <c r="A13" s="614"/>
      <c r="B13" s="617">
        <v>7</v>
      </c>
      <c r="C13" s="186">
        <v>344464</v>
      </c>
      <c r="D13" s="641" t="s">
        <v>207</v>
      </c>
      <c r="E13" s="620">
        <v>-3</v>
      </c>
      <c r="F13" s="620">
        <v>0</v>
      </c>
      <c r="G13" s="620">
        <f t="shared" si="0"/>
        <v>-3</v>
      </c>
      <c r="H13" s="620">
        <f t="shared" si="1"/>
        <v>0</v>
      </c>
      <c r="I13" s="620">
        <f t="shared" si="2"/>
        <v>-3</v>
      </c>
      <c r="J13" s="620">
        <f t="shared" si="3"/>
        <v>0</v>
      </c>
      <c r="K13" s="614"/>
      <c r="L13" s="617">
        <v>4</v>
      </c>
      <c r="M13" s="625">
        <v>344464</v>
      </c>
      <c r="N13" s="641" t="s">
        <v>207</v>
      </c>
      <c r="O13" s="620">
        <v>-3</v>
      </c>
      <c r="P13" s="620">
        <v>-3</v>
      </c>
      <c r="Q13" s="620">
        <f t="shared" si="18"/>
        <v>-3</v>
      </c>
      <c r="R13" s="638">
        <f t="shared" si="4"/>
        <v>-3</v>
      </c>
      <c r="S13" s="620">
        <f t="shared" si="5"/>
        <v>-3</v>
      </c>
      <c r="T13" s="620">
        <f t="shared" si="5"/>
        <v>-3</v>
      </c>
      <c r="U13" s="667"/>
      <c r="V13" s="652">
        <v>7</v>
      </c>
      <c r="W13" s="653">
        <v>344464</v>
      </c>
      <c r="X13" s="668" t="s">
        <v>207</v>
      </c>
      <c r="Y13" s="658">
        <f t="shared" si="6"/>
        <v>-76.19999999999999</v>
      </c>
      <c r="Z13" s="658">
        <f t="shared" si="7"/>
        <v>0</v>
      </c>
      <c r="AA13" s="658">
        <f t="shared" si="8"/>
        <v>-76.19999999999999</v>
      </c>
      <c r="AB13" s="658">
        <f t="shared" si="9"/>
        <v>0</v>
      </c>
      <c r="AC13" s="658">
        <f t="shared" si="10"/>
        <v>-76.19999999999999</v>
      </c>
      <c r="AD13" s="658">
        <f t="shared" si="11"/>
        <v>0</v>
      </c>
      <c r="AE13" s="667"/>
      <c r="AF13" s="652">
        <v>4</v>
      </c>
      <c r="AG13" s="669">
        <v>344464</v>
      </c>
      <c r="AH13" s="668" t="s">
        <v>207</v>
      </c>
      <c r="AI13" s="658">
        <f t="shared" si="12"/>
        <v>-76.19999999999999</v>
      </c>
      <c r="AJ13" s="658">
        <f t="shared" si="13"/>
        <v>-76.19999999999999</v>
      </c>
      <c r="AK13" s="658">
        <f t="shared" si="14"/>
        <v>-76.19999999999999</v>
      </c>
      <c r="AL13" s="658">
        <f t="shared" si="15"/>
        <v>-76.19999999999999</v>
      </c>
      <c r="AM13" s="658">
        <f t="shared" si="16"/>
        <v>-76.19999999999999</v>
      </c>
      <c r="AN13" s="658">
        <f t="shared" si="17"/>
        <v>-76.19999999999999</v>
      </c>
    </row>
    <row r="14" spans="1:40" ht="12.75">
      <c r="A14" s="614"/>
      <c r="B14" s="617"/>
      <c r="C14" s="186">
        <v>344469</v>
      </c>
      <c r="D14" s="641" t="s">
        <v>210</v>
      </c>
      <c r="E14" s="620">
        <v>-3</v>
      </c>
      <c r="F14" s="620">
        <v>-3</v>
      </c>
      <c r="G14" s="620">
        <f t="shared" si="0"/>
        <v>-3</v>
      </c>
      <c r="H14" s="620">
        <f t="shared" si="1"/>
        <v>-3</v>
      </c>
      <c r="I14" s="620">
        <f t="shared" si="2"/>
        <v>-3</v>
      </c>
      <c r="J14" s="620">
        <f t="shared" si="3"/>
        <v>-3</v>
      </c>
      <c r="K14" s="614"/>
      <c r="L14" s="617">
        <v>4</v>
      </c>
      <c r="M14" s="625">
        <v>344464</v>
      </c>
      <c r="N14" s="641" t="s">
        <v>210</v>
      </c>
      <c r="O14" s="620">
        <v>-3</v>
      </c>
      <c r="P14" s="620">
        <v>-3</v>
      </c>
      <c r="Q14" s="620">
        <f t="shared" si="18"/>
        <v>-3</v>
      </c>
      <c r="R14" s="638">
        <f t="shared" si="4"/>
        <v>-3</v>
      </c>
      <c r="S14" s="620">
        <f t="shared" si="5"/>
        <v>-3</v>
      </c>
      <c r="T14" s="620">
        <f t="shared" si="5"/>
        <v>-3</v>
      </c>
      <c r="U14" s="667"/>
      <c r="V14" s="652"/>
      <c r="W14" s="653">
        <v>344469</v>
      </c>
      <c r="X14" s="668" t="s">
        <v>210</v>
      </c>
      <c r="Y14" s="658">
        <f t="shared" si="6"/>
        <v>-76.19999999999999</v>
      </c>
      <c r="Z14" s="658">
        <f t="shared" si="7"/>
        <v>-76.19999999999999</v>
      </c>
      <c r="AA14" s="658">
        <f t="shared" si="8"/>
        <v>-76.19999999999999</v>
      </c>
      <c r="AB14" s="658">
        <f t="shared" si="9"/>
        <v>-76.19999999999999</v>
      </c>
      <c r="AC14" s="658">
        <f t="shared" si="10"/>
        <v>-76.19999999999999</v>
      </c>
      <c r="AD14" s="658">
        <f t="shared" si="11"/>
        <v>-76.19999999999999</v>
      </c>
      <c r="AE14" s="667"/>
      <c r="AF14" s="652">
        <v>4</v>
      </c>
      <c r="AG14" s="669">
        <v>344464</v>
      </c>
      <c r="AH14" s="668" t="s">
        <v>210</v>
      </c>
      <c r="AI14" s="658">
        <f t="shared" si="12"/>
        <v>-76.19999999999999</v>
      </c>
      <c r="AJ14" s="658">
        <f t="shared" si="13"/>
        <v>-76.19999999999999</v>
      </c>
      <c r="AK14" s="658">
        <f t="shared" si="14"/>
        <v>-76.19999999999999</v>
      </c>
      <c r="AL14" s="658">
        <f t="shared" si="15"/>
        <v>-76.19999999999999</v>
      </c>
      <c r="AM14" s="658">
        <f t="shared" si="16"/>
        <v>-76.19999999999999</v>
      </c>
      <c r="AN14" s="658">
        <f t="shared" si="17"/>
        <v>-76.19999999999999</v>
      </c>
    </row>
    <row r="15" spans="1:40" ht="12.75">
      <c r="A15" s="614"/>
      <c r="B15" s="617"/>
      <c r="C15" s="186"/>
      <c r="D15" s="641" t="s">
        <v>227</v>
      </c>
      <c r="E15" s="620">
        <v>3.8</v>
      </c>
      <c r="F15" s="620">
        <v>0</v>
      </c>
      <c r="G15" s="620">
        <f t="shared" si="0"/>
        <v>3.8</v>
      </c>
      <c r="H15" s="620">
        <f t="shared" si="1"/>
        <v>0</v>
      </c>
      <c r="I15" s="620">
        <f t="shared" si="2"/>
        <v>3.8</v>
      </c>
      <c r="J15" s="620">
        <f t="shared" si="3"/>
        <v>0</v>
      </c>
      <c r="K15" s="614"/>
      <c r="L15" s="617"/>
      <c r="M15" s="625"/>
      <c r="N15" s="641" t="s">
        <v>227</v>
      </c>
      <c r="O15" s="620">
        <v>3.8</v>
      </c>
      <c r="P15" s="620">
        <v>3.8</v>
      </c>
      <c r="Q15" s="620">
        <f t="shared" si="18"/>
        <v>3.8</v>
      </c>
      <c r="R15" s="638">
        <f t="shared" si="4"/>
        <v>3.8</v>
      </c>
      <c r="S15" s="620">
        <f t="shared" si="5"/>
        <v>3.8</v>
      </c>
      <c r="T15" s="620">
        <f t="shared" si="5"/>
        <v>3.8</v>
      </c>
      <c r="U15" s="667"/>
      <c r="V15" s="652"/>
      <c r="W15" s="653"/>
      <c r="X15" s="668" t="s">
        <v>227</v>
      </c>
      <c r="Y15" s="658">
        <f t="shared" si="6"/>
        <v>96.52</v>
      </c>
      <c r="Z15" s="658">
        <f t="shared" si="7"/>
        <v>0</v>
      </c>
      <c r="AA15" s="658">
        <f t="shared" si="8"/>
        <v>96.52</v>
      </c>
      <c r="AB15" s="658">
        <f t="shared" si="9"/>
        <v>0</v>
      </c>
      <c r="AC15" s="658">
        <f t="shared" si="10"/>
        <v>96.52</v>
      </c>
      <c r="AD15" s="658">
        <f t="shared" si="11"/>
        <v>0</v>
      </c>
      <c r="AE15" s="667"/>
      <c r="AF15" s="652"/>
      <c r="AG15" s="669"/>
      <c r="AH15" s="668" t="s">
        <v>227</v>
      </c>
      <c r="AI15" s="658">
        <f t="shared" si="12"/>
        <v>96.52</v>
      </c>
      <c r="AJ15" s="658">
        <f t="shared" si="13"/>
        <v>96.52</v>
      </c>
      <c r="AK15" s="658">
        <f t="shared" si="14"/>
        <v>96.52</v>
      </c>
      <c r="AL15" s="658">
        <f t="shared" si="15"/>
        <v>96.52</v>
      </c>
      <c r="AM15" s="658">
        <f t="shared" si="16"/>
        <v>96.52</v>
      </c>
      <c r="AN15" s="658">
        <f t="shared" si="17"/>
        <v>96.52</v>
      </c>
    </row>
    <row r="16" spans="1:40" ht="12.75">
      <c r="A16" s="614"/>
      <c r="B16" s="617"/>
      <c r="C16" s="186"/>
      <c r="D16" s="641" t="s">
        <v>228</v>
      </c>
      <c r="E16" s="620">
        <v>3.8</v>
      </c>
      <c r="F16" s="620">
        <v>3.8</v>
      </c>
      <c r="G16" s="620">
        <f t="shared" si="0"/>
        <v>3.8</v>
      </c>
      <c r="H16" s="620">
        <f t="shared" si="1"/>
        <v>3.8</v>
      </c>
      <c r="I16" s="620">
        <f t="shared" si="2"/>
        <v>3.8</v>
      </c>
      <c r="J16" s="620">
        <f t="shared" si="3"/>
        <v>3.8</v>
      </c>
      <c r="K16" s="614"/>
      <c r="L16" s="617"/>
      <c r="M16" s="625"/>
      <c r="N16" s="641" t="s">
        <v>228</v>
      </c>
      <c r="O16" s="620">
        <v>3.8</v>
      </c>
      <c r="P16" s="620">
        <v>3.8</v>
      </c>
      <c r="Q16" s="620">
        <f t="shared" si="18"/>
        <v>3.8</v>
      </c>
      <c r="R16" s="638">
        <f t="shared" si="4"/>
        <v>3.8</v>
      </c>
      <c r="S16" s="620">
        <f t="shared" si="5"/>
        <v>3.8</v>
      </c>
      <c r="T16" s="620">
        <f t="shared" si="5"/>
        <v>3.8</v>
      </c>
      <c r="U16" s="667"/>
      <c r="V16" s="652"/>
      <c r="W16" s="653"/>
      <c r="X16" s="668" t="s">
        <v>228</v>
      </c>
      <c r="Y16" s="658">
        <f t="shared" si="6"/>
        <v>96.52</v>
      </c>
      <c r="Z16" s="658">
        <f t="shared" si="7"/>
        <v>96.52</v>
      </c>
      <c r="AA16" s="658">
        <f t="shared" si="8"/>
        <v>96.52</v>
      </c>
      <c r="AB16" s="658">
        <f t="shared" si="9"/>
        <v>96.52</v>
      </c>
      <c r="AC16" s="658">
        <f t="shared" si="10"/>
        <v>96.52</v>
      </c>
      <c r="AD16" s="658">
        <f t="shared" si="11"/>
        <v>96.52</v>
      </c>
      <c r="AE16" s="667"/>
      <c r="AF16" s="652"/>
      <c r="AG16" s="669"/>
      <c r="AH16" s="668" t="s">
        <v>228</v>
      </c>
      <c r="AI16" s="658">
        <f t="shared" si="12"/>
        <v>96.52</v>
      </c>
      <c r="AJ16" s="658">
        <f t="shared" si="13"/>
        <v>96.52</v>
      </c>
      <c r="AK16" s="658">
        <f t="shared" si="14"/>
        <v>96.52</v>
      </c>
      <c r="AL16" s="658">
        <f t="shared" si="15"/>
        <v>96.52</v>
      </c>
      <c r="AM16" s="658">
        <f t="shared" si="16"/>
        <v>96.52</v>
      </c>
      <c r="AN16" s="658">
        <f t="shared" si="17"/>
        <v>96.52</v>
      </c>
    </row>
    <row r="17" spans="1:40" ht="12.75">
      <c r="A17" s="614"/>
      <c r="B17" s="617">
        <v>8</v>
      </c>
      <c r="C17" s="186">
        <v>344463</v>
      </c>
      <c r="D17" s="641" t="s">
        <v>208</v>
      </c>
      <c r="E17" s="620">
        <v>0</v>
      </c>
      <c r="F17" s="620">
        <v>0</v>
      </c>
      <c r="G17" s="620">
        <f t="shared" si="0"/>
        <v>0</v>
      </c>
      <c r="H17" s="620">
        <f t="shared" si="1"/>
        <v>0</v>
      </c>
      <c r="I17" s="620">
        <f t="shared" si="2"/>
        <v>0</v>
      </c>
      <c r="J17" s="620">
        <f t="shared" si="3"/>
        <v>0</v>
      </c>
      <c r="K17" s="614"/>
      <c r="L17" s="617">
        <v>5</v>
      </c>
      <c r="M17" s="625">
        <v>344463</v>
      </c>
      <c r="N17" s="641" t="s">
        <v>208</v>
      </c>
      <c r="O17" s="620">
        <v>-2</v>
      </c>
      <c r="P17" s="620">
        <v>-2</v>
      </c>
      <c r="Q17" s="620">
        <f t="shared" si="18"/>
        <v>-2</v>
      </c>
      <c r="R17" s="638">
        <f t="shared" si="4"/>
        <v>-2</v>
      </c>
      <c r="S17" s="620">
        <f t="shared" si="5"/>
        <v>-2</v>
      </c>
      <c r="T17" s="620">
        <f t="shared" si="5"/>
        <v>-2</v>
      </c>
      <c r="U17" s="667"/>
      <c r="V17" s="652">
        <v>8</v>
      </c>
      <c r="W17" s="653">
        <v>344463</v>
      </c>
      <c r="X17" s="668" t="s">
        <v>208</v>
      </c>
      <c r="Y17" s="658">
        <f t="shared" si="6"/>
        <v>0</v>
      </c>
      <c r="Z17" s="658">
        <f t="shared" si="7"/>
        <v>0</v>
      </c>
      <c r="AA17" s="658">
        <f t="shared" si="8"/>
        <v>0</v>
      </c>
      <c r="AB17" s="658">
        <f t="shared" si="9"/>
        <v>0</v>
      </c>
      <c r="AC17" s="658">
        <f t="shared" si="10"/>
        <v>0</v>
      </c>
      <c r="AD17" s="658">
        <f t="shared" si="11"/>
        <v>0</v>
      </c>
      <c r="AE17" s="667"/>
      <c r="AF17" s="652">
        <v>5</v>
      </c>
      <c r="AG17" s="669">
        <v>344463</v>
      </c>
      <c r="AH17" s="668" t="s">
        <v>208</v>
      </c>
      <c r="AI17" s="658">
        <f t="shared" si="12"/>
        <v>-50.8</v>
      </c>
      <c r="AJ17" s="658">
        <f t="shared" si="13"/>
        <v>-50.8</v>
      </c>
      <c r="AK17" s="658">
        <f t="shared" si="14"/>
        <v>-50.8</v>
      </c>
      <c r="AL17" s="658">
        <f t="shared" si="15"/>
        <v>-50.8</v>
      </c>
      <c r="AM17" s="658">
        <f t="shared" si="16"/>
        <v>-50.8</v>
      </c>
      <c r="AN17" s="658">
        <f t="shared" si="17"/>
        <v>-50.8</v>
      </c>
    </row>
    <row r="18" spans="1:40" ht="12.75">
      <c r="A18" s="614"/>
      <c r="B18" s="617">
        <v>6</v>
      </c>
      <c r="C18" s="186">
        <v>344377</v>
      </c>
      <c r="D18" s="641" t="s">
        <v>209</v>
      </c>
      <c r="E18" s="620">
        <v>0</v>
      </c>
      <c r="F18" s="620">
        <v>0</v>
      </c>
      <c r="G18" s="620">
        <f t="shared" si="0"/>
        <v>0</v>
      </c>
      <c r="H18" s="620">
        <f t="shared" si="1"/>
        <v>0</v>
      </c>
      <c r="I18" s="620">
        <f t="shared" si="2"/>
        <v>0</v>
      </c>
      <c r="J18" s="620">
        <f t="shared" si="3"/>
        <v>0</v>
      </c>
      <c r="K18" s="614"/>
      <c r="L18" s="617"/>
      <c r="M18" s="625"/>
      <c r="N18" s="641"/>
      <c r="O18" s="620"/>
      <c r="P18" s="620"/>
      <c r="Q18" s="620"/>
      <c r="R18" s="638"/>
      <c r="S18" s="620"/>
      <c r="T18" s="620"/>
      <c r="U18" s="667"/>
      <c r="V18" s="652">
        <v>6</v>
      </c>
      <c r="W18" s="653">
        <v>344377</v>
      </c>
      <c r="X18" s="668" t="s">
        <v>209</v>
      </c>
      <c r="Y18" s="658">
        <f t="shared" si="6"/>
        <v>0</v>
      </c>
      <c r="Z18" s="658">
        <f t="shared" si="7"/>
        <v>0</v>
      </c>
      <c r="AA18" s="658">
        <f t="shared" si="8"/>
        <v>0</v>
      </c>
      <c r="AB18" s="658">
        <f t="shared" si="9"/>
        <v>0</v>
      </c>
      <c r="AC18" s="658">
        <f t="shared" si="10"/>
        <v>0</v>
      </c>
      <c r="AD18" s="658">
        <f t="shared" si="11"/>
        <v>0</v>
      </c>
      <c r="AE18" s="667"/>
      <c r="AF18" s="652"/>
      <c r="AG18" s="669"/>
      <c r="AH18" s="668"/>
      <c r="AI18" s="658">
        <f t="shared" si="12"/>
        <v>0</v>
      </c>
      <c r="AJ18" s="658">
        <f t="shared" si="13"/>
        <v>0</v>
      </c>
      <c r="AK18" s="658">
        <f t="shared" si="14"/>
        <v>0</v>
      </c>
      <c r="AL18" s="658">
        <f t="shared" si="15"/>
        <v>0</v>
      </c>
      <c r="AM18" s="658">
        <f t="shared" si="16"/>
        <v>0</v>
      </c>
      <c r="AN18" s="658">
        <f t="shared" si="17"/>
        <v>0</v>
      </c>
    </row>
    <row r="19" spans="1:40" ht="12.75">
      <c r="A19" s="614"/>
      <c r="B19" s="617">
        <v>3</v>
      </c>
      <c r="C19" s="186">
        <v>344403</v>
      </c>
      <c r="D19" s="641" t="s">
        <v>211</v>
      </c>
      <c r="E19" s="620">
        <v>0</v>
      </c>
      <c r="F19" s="620">
        <v>0</v>
      </c>
      <c r="G19" s="620">
        <f t="shared" si="0"/>
        <v>0</v>
      </c>
      <c r="H19" s="620">
        <f t="shared" si="1"/>
        <v>0</v>
      </c>
      <c r="I19" s="620">
        <f t="shared" si="2"/>
        <v>0</v>
      </c>
      <c r="J19" s="620">
        <f t="shared" si="3"/>
        <v>0</v>
      </c>
      <c r="K19" s="614"/>
      <c r="L19" s="617">
        <v>3</v>
      </c>
      <c r="M19" s="625">
        <v>344403</v>
      </c>
      <c r="N19" s="641" t="s">
        <v>211</v>
      </c>
      <c r="O19" s="620">
        <v>0</v>
      </c>
      <c r="P19" s="620">
        <v>0</v>
      </c>
      <c r="Q19" s="620">
        <f aca="true" t="shared" si="19" ref="Q19:R21">O19</f>
        <v>0</v>
      </c>
      <c r="R19" s="638">
        <f t="shared" si="19"/>
        <v>0</v>
      </c>
      <c r="S19" s="620">
        <f aca="true" t="shared" si="20" ref="S19:T24">AVERAGE(O19,Q19)</f>
        <v>0</v>
      </c>
      <c r="T19" s="620">
        <f t="shared" si="20"/>
        <v>0</v>
      </c>
      <c r="U19" s="667"/>
      <c r="V19" s="652">
        <v>3</v>
      </c>
      <c r="W19" s="653">
        <v>344403</v>
      </c>
      <c r="X19" s="668" t="s">
        <v>211</v>
      </c>
      <c r="Y19" s="658">
        <f t="shared" si="6"/>
        <v>0</v>
      </c>
      <c r="Z19" s="658">
        <f t="shared" si="7"/>
        <v>0</v>
      </c>
      <c r="AA19" s="658">
        <f t="shared" si="8"/>
        <v>0</v>
      </c>
      <c r="AB19" s="658">
        <f t="shared" si="9"/>
        <v>0</v>
      </c>
      <c r="AC19" s="658">
        <f t="shared" si="10"/>
        <v>0</v>
      </c>
      <c r="AD19" s="658">
        <f t="shared" si="11"/>
        <v>0</v>
      </c>
      <c r="AE19" s="667"/>
      <c r="AF19" s="652">
        <v>3</v>
      </c>
      <c r="AG19" s="669">
        <v>344403</v>
      </c>
      <c r="AH19" s="668" t="s">
        <v>211</v>
      </c>
      <c r="AI19" s="658">
        <f t="shared" si="12"/>
        <v>0</v>
      </c>
      <c r="AJ19" s="658">
        <f t="shared" si="13"/>
        <v>0</v>
      </c>
      <c r="AK19" s="658">
        <f t="shared" si="14"/>
        <v>0</v>
      </c>
      <c r="AL19" s="658">
        <f t="shared" si="15"/>
        <v>0</v>
      </c>
      <c r="AM19" s="658">
        <f t="shared" si="16"/>
        <v>0</v>
      </c>
      <c r="AN19" s="658">
        <f t="shared" si="17"/>
        <v>0</v>
      </c>
    </row>
    <row r="20" spans="1:40" ht="12.75">
      <c r="A20" s="614"/>
      <c r="B20" s="617">
        <v>2</v>
      </c>
      <c r="C20" s="186">
        <v>344411</v>
      </c>
      <c r="D20" s="641" t="s">
        <v>212</v>
      </c>
      <c r="E20" s="620">
        <v>0</v>
      </c>
      <c r="F20" s="620">
        <v>0</v>
      </c>
      <c r="G20" s="620">
        <f t="shared" si="0"/>
        <v>0</v>
      </c>
      <c r="H20" s="620">
        <f t="shared" si="1"/>
        <v>0</v>
      </c>
      <c r="I20" s="620">
        <f t="shared" si="2"/>
        <v>0</v>
      </c>
      <c r="J20" s="620">
        <f t="shared" si="3"/>
        <v>0</v>
      </c>
      <c r="K20" s="614"/>
      <c r="L20" s="617">
        <v>2</v>
      </c>
      <c r="M20" s="625">
        <v>344411</v>
      </c>
      <c r="N20" s="641" t="s">
        <v>212</v>
      </c>
      <c r="O20" s="620">
        <v>0</v>
      </c>
      <c r="P20" s="620">
        <v>0</v>
      </c>
      <c r="Q20" s="620">
        <f t="shared" si="19"/>
        <v>0</v>
      </c>
      <c r="R20" s="638">
        <f t="shared" si="19"/>
        <v>0</v>
      </c>
      <c r="S20" s="620">
        <f t="shared" si="20"/>
        <v>0</v>
      </c>
      <c r="T20" s="620">
        <f t="shared" si="20"/>
        <v>0</v>
      </c>
      <c r="U20" s="667"/>
      <c r="V20" s="652">
        <v>2</v>
      </c>
      <c r="W20" s="653">
        <v>344411</v>
      </c>
      <c r="X20" s="668" t="s">
        <v>212</v>
      </c>
      <c r="Y20" s="658">
        <f t="shared" si="6"/>
        <v>0</v>
      </c>
      <c r="Z20" s="658">
        <f t="shared" si="7"/>
        <v>0</v>
      </c>
      <c r="AA20" s="658">
        <f t="shared" si="8"/>
        <v>0</v>
      </c>
      <c r="AB20" s="658">
        <f t="shared" si="9"/>
        <v>0</v>
      </c>
      <c r="AC20" s="658">
        <f t="shared" si="10"/>
        <v>0</v>
      </c>
      <c r="AD20" s="658">
        <f t="shared" si="11"/>
        <v>0</v>
      </c>
      <c r="AE20" s="667"/>
      <c r="AF20" s="652">
        <v>2</v>
      </c>
      <c r="AG20" s="669">
        <v>344411</v>
      </c>
      <c r="AH20" s="668" t="s">
        <v>212</v>
      </c>
      <c r="AI20" s="658">
        <f t="shared" si="12"/>
        <v>0</v>
      </c>
      <c r="AJ20" s="658">
        <f t="shared" si="13"/>
        <v>0</v>
      </c>
      <c r="AK20" s="658">
        <f t="shared" si="14"/>
        <v>0</v>
      </c>
      <c r="AL20" s="658">
        <f t="shared" si="15"/>
        <v>0</v>
      </c>
      <c r="AM20" s="658">
        <f t="shared" si="16"/>
        <v>0</v>
      </c>
      <c r="AN20" s="658">
        <f t="shared" si="17"/>
        <v>0</v>
      </c>
    </row>
    <row r="21" spans="1:40" ht="12.75">
      <c r="A21" s="614"/>
      <c r="B21" s="617">
        <v>1</v>
      </c>
      <c r="C21" s="186">
        <v>344460</v>
      </c>
      <c r="D21" s="641" t="s">
        <v>213</v>
      </c>
      <c r="E21" s="620">
        <v>0</v>
      </c>
      <c r="F21" s="620">
        <v>0</v>
      </c>
      <c r="G21" s="620">
        <f t="shared" si="0"/>
        <v>0</v>
      </c>
      <c r="H21" s="620">
        <f t="shared" si="1"/>
        <v>0</v>
      </c>
      <c r="I21" s="620">
        <f t="shared" si="2"/>
        <v>0</v>
      </c>
      <c r="J21" s="620">
        <f t="shared" si="3"/>
        <v>0</v>
      </c>
      <c r="K21" s="614"/>
      <c r="L21" s="617">
        <v>1</v>
      </c>
      <c r="M21" s="625">
        <v>344460</v>
      </c>
      <c r="N21" s="641" t="s">
        <v>213</v>
      </c>
      <c r="O21" s="620">
        <v>0</v>
      </c>
      <c r="P21" s="620">
        <v>0</v>
      </c>
      <c r="Q21" s="620">
        <f t="shared" si="19"/>
        <v>0</v>
      </c>
      <c r="R21" s="638">
        <f t="shared" si="19"/>
        <v>0</v>
      </c>
      <c r="S21" s="620">
        <f t="shared" si="20"/>
        <v>0</v>
      </c>
      <c r="T21" s="620">
        <f t="shared" si="20"/>
        <v>0</v>
      </c>
      <c r="U21" s="667"/>
      <c r="V21" s="652">
        <v>1</v>
      </c>
      <c r="W21" s="653">
        <v>344460</v>
      </c>
      <c r="X21" s="668" t="s">
        <v>213</v>
      </c>
      <c r="Y21" s="658">
        <f t="shared" si="6"/>
        <v>0</v>
      </c>
      <c r="Z21" s="658">
        <f t="shared" si="7"/>
        <v>0</v>
      </c>
      <c r="AA21" s="658">
        <f t="shared" si="8"/>
        <v>0</v>
      </c>
      <c r="AB21" s="658">
        <f t="shared" si="9"/>
        <v>0</v>
      </c>
      <c r="AC21" s="658">
        <f t="shared" si="10"/>
        <v>0</v>
      </c>
      <c r="AD21" s="658">
        <f t="shared" si="11"/>
        <v>0</v>
      </c>
      <c r="AE21" s="667"/>
      <c r="AF21" s="652">
        <v>1</v>
      </c>
      <c r="AG21" s="669">
        <v>344460</v>
      </c>
      <c r="AH21" s="668" t="s">
        <v>213</v>
      </c>
      <c r="AI21" s="658">
        <f t="shared" si="12"/>
        <v>0</v>
      </c>
      <c r="AJ21" s="658">
        <f t="shared" si="13"/>
        <v>0</v>
      </c>
      <c r="AK21" s="658">
        <f t="shared" si="14"/>
        <v>0</v>
      </c>
      <c r="AL21" s="658">
        <f t="shared" si="15"/>
        <v>0</v>
      </c>
      <c r="AM21" s="658">
        <f t="shared" si="16"/>
        <v>0</v>
      </c>
      <c r="AN21" s="658">
        <f t="shared" si="17"/>
        <v>0</v>
      </c>
    </row>
    <row r="22" spans="1:40" ht="12.75">
      <c r="A22" s="614"/>
      <c r="B22" s="617">
        <v>10</v>
      </c>
      <c r="C22" s="186">
        <v>344134</v>
      </c>
      <c r="D22" s="641" t="s">
        <v>214</v>
      </c>
      <c r="E22" s="620">
        <v>0.5</v>
      </c>
      <c r="F22" s="620">
        <v>0</v>
      </c>
      <c r="G22" s="620">
        <f t="shared" si="0"/>
        <v>0.5</v>
      </c>
      <c r="H22" s="620">
        <f t="shared" si="1"/>
        <v>0</v>
      </c>
      <c r="I22" s="620">
        <f t="shared" si="2"/>
        <v>0.5</v>
      </c>
      <c r="J22" s="620">
        <f t="shared" si="3"/>
        <v>0</v>
      </c>
      <c r="K22" s="614"/>
      <c r="L22" s="617">
        <v>15</v>
      </c>
      <c r="M22" s="625">
        <v>344444</v>
      </c>
      <c r="N22" s="641" t="s">
        <v>221</v>
      </c>
      <c r="O22" s="620">
        <v>-12</v>
      </c>
      <c r="P22" s="620">
        <v>0</v>
      </c>
      <c r="Q22" s="620">
        <v>-13</v>
      </c>
      <c r="R22" s="638">
        <f>P22</f>
        <v>0</v>
      </c>
      <c r="S22" s="620">
        <f t="shared" si="20"/>
        <v>-12.5</v>
      </c>
      <c r="T22" s="620">
        <f t="shared" si="20"/>
        <v>0</v>
      </c>
      <c r="U22" s="667"/>
      <c r="V22" s="652">
        <v>10</v>
      </c>
      <c r="W22" s="653">
        <v>344134</v>
      </c>
      <c r="X22" s="668" t="s">
        <v>214</v>
      </c>
      <c r="Y22" s="658">
        <f t="shared" si="6"/>
        <v>12.7</v>
      </c>
      <c r="Z22" s="658">
        <f t="shared" si="7"/>
        <v>0</v>
      </c>
      <c r="AA22" s="658">
        <f t="shared" si="8"/>
        <v>12.7</v>
      </c>
      <c r="AB22" s="658">
        <f t="shared" si="9"/>
        <v>0</v>
      </c>
      <c r="AC22" s="658">
        <f t="shared" si="10"/>
        <v>12.7</v>
      </c>
      <c r="AD22" s="658">
        <f t="shared" si="11"/>
        <v>0</v>
      </c>
      <c r="AE22" s="667"/>
      <c r="AF22" s="652">
        <v>15</v>
      </c>
      <c r="AG22" s="669">
        <v>344444</v>
      </c>
      <c r="AH22" s="668" t="s">
        <v>221</v>
      </c>
      <c r="AI22" s="658">
        <f t="shared" si="12"/>
        <v>-304.79999999999995</v>
      </c>
      <c r="AJ22" s="658">
        <f t="shared" si="13"/>
        <v>0</v>
      </c>
      <c r="AK22" s="658">
        <f t="shared" si="14"/>
        <v>-330.2</v>
      </c>
      <c r="AL22" s="658">
        <f t="shared" si="15"/>
        <v>0</v>
      </c>
      <c r="AM22" s="658">
        <f t="shared" si="16"/>
        <v>-317.5</v>
      </c>
      <c r="AN22" s="658">
        <f t="shared" si="17"/>
        <v>0</v>
      </c>
    </row>
    <row r="23" spans="1:40" ht="12.75">
      <c r="A23" s="614"/>
      <c r="B23" s="617">
        <v>11</v>
      </c>
      <c r="C23" s="186"/>
      <c r="D23" s="641" t="s">
        <v>215</v>
      </c>
      <c r="E23" s="620">
        <v>0</v>
      </c>
      <c r="F23" s="620">
        <v>0</v>
      </c>
      <c r="G23" s="620">
        <f t="shared" si="0"/>
        <v>0</v>
      </c>
      <c r="H23" s="620">
        <f t="shared" si="1"/>
        <v>0</v>
      </c>
      <c r="I23" s="620">
        <f t="shared" si="2"/>
        <v>0</v>
      </c>
      <c r="J23" s="620">
        <f t="shared" si="3"/>
        <v>0</v>
      </c>
      <c r="K23" s="614"/>
      <c r="L23" s="617">
        <v>16</v>
      </c>
      <c r="M23" s="625"/>
      <c r="N23" s="641" t="s">
        <v>222</v>
      </c>
      <c r="O23" s="620">
        <v>0</v>
      </c>
      <c r="P23" s="620">
        <v>0</v>
      </c>
      <c r="Q23" s="620">
        <f>O23</f>
        <v>0</v>
      </c>
      <c r="R23" s="638">
        <f>P23</f>
        <v>0</v>
      </c>
      <c r="S23" s="620">
        <f t="shared" si="20"/>
        <v>0</v>
      </c>
      <c r="T23" s="620">
        <f t="shared" si="20"/>
        <v>0</v>
      </c>
      <c r="U23" s="667"/>
      <c r="V23" s="652">
        <v>11</v>
      </c>
      <c r="W23" s="653"/>
      <c r="X23" s="668" t="s">
        <v>215</v>
      </c>
      <c r="Y23" s="658">
        <f t="shared" si="6"/>
        <v>0</v>
      </c>
      <c r="Z23" s="658">
        <f t="shared" si="7"/>
        <v>0</v>
      </c>
      <c r="AA23" s="658">
        <f t="shared" si="8"/>
        <v>0</v>
      </c>
      <c r="AB23" s="658">
        <f t="shared" si="9"/>
        <v>0</v>
      </c>
      <c r="AC23" s="658">
        <f t="shared" si="10"/>
        <v>0</v>
      </c>
      <c r="AD23" s="658">
        <f t="shared" si="11"/>
        <v>0</v>
      </c>
      <c r="AE23" s="667"/>
      <c r="AF23" s="652">
        <v>16</v>
      </c>
      <c r="AG23" s="669"/>
      <c r="AH23" s="668" t="s">
        <v>222</v>
      </c>
      <c r="AI23" s="658">
        <f t="shared" si="12"/>
        <v>0</v>
      </c>
      <c r="AJ23" s="658">
        <f t="shared" si="13"/>
        <v>0</v>
      </c>
      <c r="AK23" s="658">
        <f t="shared" si="14"/>
        <v>0</v>
      </c>
      <c r="AL23" s="658">
        <f t="shared" si="15"/>
        <v>0</v>
      </c>
      <c r="AM23" s="658">
        <f t="shared" si="16"/>
        <v>0</v>
      </c>
      <c r="AN23" s="658">
        <f t="shared" si="17"/>
        <v>0</v>
      </c>
    </row>
    <row r="24" spans="1:40" ht="12.75">
      <c r="A24" s="614"/>
      <c r="B24" s="617">
        <v>12</v>
      </c>
      <c r="C24" s="186"/>
      <c r="D24" s="641" t="s">
        <v>219</v>
      </c>
      <c r="E24" s="620">
        <v>-0.67</v>
      </c>
      <c r="F24" s="620">
        <v>0</v>
      </c>
      <c r="G24" s="620">
        <f t="shared" si="0"/>
        <v>-0.67</v>
      </c>
      <c r="H24" s="620">
        <f t="shared" si="1"/>
        <v>0</v>
      </c>
      <c r="I24" s="620">
        <f t="shared" si="2"/>
        <v>-0.67</v>
      </c>
      <c r="J24" s="620">
        <f t="shared" si="3"/>
        <v>0</v>
      </c>
      <c r="K24" s="614"/>
      <c r="L24" s="617">
        <v>17</v>
      </c>
      <c r="M24" s="625"/>
      <c r="N24" s="641" t="s">
        <v>219</v>
      </c>
      <c r="O24" s="620">
        <v>-0.3</v>
      </c>
      <c r="P24" s="620">
        <v>-0.5</v>
      </c>
      <c r="Q24" s="620">
        <f>O24</f>
        <v>-0.3</v>
      </c>
      <c r="R24" s="638">
        <f>P24</f>
        <v>-0.5</v>
      </c>
      <c r="S24" s="620">
        <f t="shared" si="20"/>
        <v>-0.3</v>
      </c>
      <c r="T24" s="620">
        <f t="shared" si="20"/>
        <v>-0.5</v>
      </c>
      <c r="U24" s="667"/>
      <c r="V24" s="652">
        <v>12</v>
      </c>
      <c r="W24" s="653"/>
      <c r="X24" s="668" t="s">
        <v>219</v>
      </c>
      <c r="Y24" s="658">
        <f t="shared" si="6"/>
        <v>-17.018</v>
      </c>
      <c r="Z24" s="658">
        <f t="shared" si="7"/>
        <v>0</v>
      </c>
      <c r="AA24" s="658">
        <f t="shared" si="8"/>
        <v>-17.018</v>
      </c>
      <c r="AB24" s="658">
        <f t="shared" si="9"/>
        <v>0</v>
      </c>
      <c r="AC24" s="658">
        <f t="shared" si="10"/>
        <v>-17.018</v>
      </c>
      <c r="AD24" s="658">
        <f t="shared" si="11"/>
        <v>0</v>
      </c>
      <c r="AE24" s="667"/>
      <c r="AF24" s="652">
        <v>17</v>
      </c>
      <c r="AG24" s="669"/>
      <c r="AH24" s="668" t="s">
        <v>219</v>
      </c>
      <c r="AI24" s="658">
        <f t="shared" si="12"/>
        <v>-7.619999999999999</v>
      </c>
      <c r="AJ24" s="658">
        <f t="shared" si="13"/>
        <v>-12.7</v>
      </c>
      <c r="AK24" s="658">
        <f t="shared" si="14"/>
        <v>-7.619999999999999</v>
      </c>
      <c r="AL24" s="658">
        <f t="shared" si="15"/>
        <v>-12.7</v>
      </c>
      <c r="AM24" s="658">
        <f t="shared" si="16"/>
        <v>-7.619999999999999</v>
      </c>
      <c r="AN24" s="658">
        <f t="shared" si="17"/>
        <v>-12.7</v>
      </c>
    </row>
    <row r="25" spans="1:40" ht="12.75">
      <c r="A25" s="614"/>
      <c r="B25" s="617"/>
      <c r="C25" s="186"/>
      <c r="D25" s="641"/>
      <c r="E25" s="620"/>
      <c r="F25" s="620"/>
      <c r="G25" s="620"/>
      <c r="H25" s="620"/>
      <c r="I25" s="620"/>
      <c r="J25" s="620"/>
      <c r="K25" s="614"/>
      <c r="L25" s="617"/>
      <c r="M25" s="625"/>
      <c r="N25" s="641"/>
      <c r="O25" s="620"/>
      <c r="P25" s="620"/>
      <c r="Q25" s="620"/>
      <c r="R25" s="638"/>
      <c r="S25" s="620"/>
      <c r="T25" s="620"/>
      <c r="U25" s="667"/>
      <c r="V25" s="652"/>
      <c r="W25" s="653"/>
      <c r="X25" s="668"/>
      <c r="Y25" s="658">
        <f t="shared" si="6"/>
        <v>0</v>
      </c>
      <c r="Z25" s="658">
        <f t="shared" si="7"/>
        <v>0</v>
      </c>
      <c r="AA25" s="658">
        <f t="shared" si="8"/>
        <v>0</v>
      </c>
      <c r="AB25" s="658">
        <f t="shared" si="9"/>
        <v>0</v>
      </c>
      <c r="AC25" s="658">
        <f t="shared" si="10"/>
        <v>0</v>
      </c>
      <c r="AD25" s="658">
        <f t="shared" si="11"/>
        <v>0</v>
      </c>
      <c r="AE25" s="667"/>
      <c r="AF25" s="652"/>
      <c r="AG25" s="669"/>
      <c r="AH25" s="668"/>
      <c r="AI25" s="658">
        <f t="shared" si="12"/>
        <v>0</v>
      </c>
      <c r="AJ25" s="658">
        <f t="shared" si="13"/>
        <v>0</v>
      </c>
      <c r="AK25" s="658">
        <f t="shared" si="14"/>
        <v>0</v>
      </c>
      <c r="AL25" s="658">
        <f t="shared" si="15"/>
        <v>0</v>
      </c>
      <c r="AM25" s="658">
        <f t="shared" si="16"/>
        <v>0</v>
      </c>
      <c r="AN25" s="658">
        <f t="shared" si="17"/>
        <v>0</v>
      </c>
    </row>
    <row r="26" spans="1:40" ht="12.75">
      <c r="A26" s="614" t="s">
        <v>220</v>
      </c>
      <c r="B26" s="617"/>
      <c r="C26" s="186"/>
      <c r="D26" s="641" t="s">
        <v>205</v>
      </c>
      <c r="E26" s="620">
        <f>SUM(E11:E24)</f>
        <v>-1.2699999999999996</v>
      </c>
      <c r="F26" s="620">
        <f>SUM(F11:F24)</f>
        <v>0.7999999999999998</v>
      </c>
      <c r="G26" s="620">
        <f>SUM(G11:G24)</f>
        <v>-1.2699999999999996</v>
      </c>
      <c r="H26" s="620">
        <f>SUM(H11:H24)</f>
        <v>0.7999999999999998</v>
      </c>
      <c r="I26" s="620">
        <f>AVERAGE(E26,G26)</f>
        <v>-1.2699999999999996</v>
      </c>
      <c r="J26" s="620">
        <f>AVERAGE(F26,H26)</f>
        <v>0.7999999999999998</v>
      </c>
      <c r="K26" s="614"/>
      <c r="L26" s="617"/>
      <c r="M26" s="625"/>
      <c r="N26" s="641" t="s">
        <v>205</v>
      </c>
      <c r="O26" s="620">
        <f>SUM(O11:O24)</f>
        <v>-0.6499999999999979</v>
      </c>
      <c r="P26" s="620">
        <f>SUM(P11:P24)</f>
        <v>-0.9000000000000004</v>
      </c>
      <c r="Q26" s="620">
        <f>SUM(Q11:Q24)</f>
        <v>-0.55</v>
      </c>
      <c r="R26" s="638">
        <f>SUM(R11:R24)</f>
        <v>-0.9000000000000004</v>
      </c>
      <c r="S26" s="620">
        <f>AVERAGE(O26,Q26)</f>
        <v>-0.599999999999999</v>
      </c>
      <c r="T26" s="620">
        <f>AVERAGE(P26,R26)</f>
        <v>-0.9000000000000004</v>
      </c>
      <c r="U26" s="667" t="str">
        <f>A26</f>
        <v>Mech. Model #1</v>
      </c>
      <c r="V26" s="652"/>
      <c r="W26" s="653"/>
      <c r="X26" s="668" t="s">
        <v>205</v>
      </c>
      <c r="Y26" s="658">
        <f t="shared" si="6"/>
        <v>-32.25799999999999</v>
      </c>
      <c r="Z26" s="658">
        <f t="shared" si="7"/>
        <v>20.319999999999993</v>
      </c>
      <c r="AA26" s="658">
        <f t="shared" si="8"/>
        <v>-32.25799999999999</v>
      </c>
      <c r="AB26" s="658">
        <f t="shared" si="9"/>
        <v>20.319999999999993</v>
      </c>
      <c r="AC26" s="658">
        <f t="shared" si="10"/>
        <v>-32.25799999999999</v>
      </c>
      <c r="AD26" s="658">
        <f t="shared" si="11"/>
        <v>20.319999999999993</v>
      </c>
      <c r="AE26" s="667"/>
      <c r="AF26" s="652"/>
      <c r="AG26" s="669"/>
      <c r="AH26" s="668" t="s">
        <v>205</v>
      </c>
      <c r="AI26" s="658">
        <f t="shared" si="12"/>
        <v>-16.509999999999945</v>
      </c>
      <c r="AJ26" s="658">
        <f t="shared" si="13"/>
        <v>-22.860000000000007</v>
      </c>
      <c r="AK26" s="658">
        <f t="shared" si="14"/>
        <v>-13.97</v>
      </c>
      <c r="AL26" s="658">
        <f t="shared" si="15"/>
        <v>-22.860000000000007</v>
      </c>
      <c r="AM26" s="658">
        <f t="shared" si="16"/>
        <v>-15.239999999999974</v>
      </c>
      <c r="AN26" s="658">
        <f t="shared" si="17"/>
        <v>-22.860000000000007</v>
      </c>
    </row>
    <row r="27" spans="1:40" ht="12.75">
      <c r="A27" s="614"/>
      <c r="B27" s="617"/>
      <c r="C27" s="186"/>
      <c r="D27" s="641" t="s">
        <v>232</v>
      </c>
      <c r="E27" s="620">
        <v>0</v>
      </c>
      <c r="F27" s="620">
        <v>0</v>
      </c>
      <c r="G27" s="620">
        <f>E27</f>
        <v>0</v>
      </c>
      <c r="H27" s="620">
        <f>F27</f>
        <v>0</v>
      </c>
      <c r="I27" s="620">
        <f>G27</f>
        <v>0</v>
      </c>
      <c r="J27" s="620">
        <f>H27</f>
        <v>0</v>
      </c>
      <c r="K27" s="614"/>
      <c r="L27" s="617"/>
      <c r="M27" s="625"/>
      <c r="N27" s="641" t="s">
        <v>232</v>
      </c>
      <c r="O27" s="620">
        <v>0</v>
      </c>
      <c r="P27" s="620">
        <v>0</v>
      </c>
      <c r="Q27" s="620">
        <f>O27</f>
        <v>0</v>
      </c>
      <c r="R27" s="620">
        <f>P27</f>
        <v>0</v>
      </c>
      <c r="S27" s="620">
        <f>Q27</f>
        <v>0</v>
      </c>
      <c r="T27" s="620">
        <f>R27</f>
        <v>0</v>
      </c>
      <c r="U27" s="667"/>
      <c r="V27" s="652"/>
      <c r="W27" s="653"/>
      <c r="X27" s="668" t="s">
        <v>232</v>
      </c>
      <c r="Y27" s="658">
        <f t="shared" si="6"/>
        <v>0</v>
      </c>
      <c r="Z27" s="658">
        <f t="shared" si="7"/>
        <v>0</v>
      </c>
      <c r="AA27" s="658">
        <f t="shared" si="8"/>
        <v>0</v>
      </c>
      <c r="AB27" s="658">
        <f t="shared" si="9"/>
        <v>0</v>
      </c>
      <c r="AC27" s="658">
        <f t="shared" si="10"/>
        <v>0</v>
      </c>
      <c r="AD27" s="658">
        <f t="shared" si="11"/>
        <v>0</v>
      </c>
      <c r="AE27" s="667"/>
      <c r="AF27" s="652"/>
      <c r="AG27" s="669"/>
      <c r="AH27" s="668" t="s">
        <v>232</v>
      </c>
      <c r="AI27" s="658">
        <f t="shared" si="12"/>
        <v>0</v>
      </c>
      <c r="AJ27" s="658">
        <f t="shared" si="13"/>
        <v>0</v>
      </c>
      <c r="AK27" s="658">
        <f t="shared" si="14"/>
        <v>0</v>
      </c>
      <c r="AL27" s="658">
        <f t="shared" si="15"/>
        <v>0</v>
      </c>
      <c r="AM27" s="658">
        <f t="shared" si="16"/>
        <v>0</v>
      </c>
      <c r="AN27" s="658">
        <f t="shared" si="17"/>
        <v>0</v>
      </c>
    </row>
    <row r="28" spans="1:40" ht="12.75">
      <c r="A28" s="614"/>
      <c r="B28" s="617"/>
      <c r="C28" s="186"/>
      <c r="D28" s="641"/>
      <c r="E28" s="620"/>
      <c r="F28" s="620"/>
      <c r="G28" s="620"/>
      <c r="H28" s="620"/>
      <c r="I28" s="620"/>
      <c r="J28" s="620"/>
      <c r="K28" s="614"/>
      <c r="L28" s="617"/>
      <c r="M28" s="625"/>
      <c r="N28" s="641"/>
      <c r="O28" s="620"/>
      <c r="P28" s="620"/>
      <c r="Q28" s="620"/>
      <c r="R28" s="638"/>
      <c r="S28" s="614"/>
      <c r="T28" s="614"/>
      <c r="U28" s="667"/>
      <c r="V28" s="652"/>
      <c r="W28" s="653"/>
      <c r="X28" s="668"/>
      <c r="Y28" s="670"/>
      <c r="Z28" s="670"/>
      <c r="AA28" s="670"/>
      <c r="AB28" s="670"/>
      <c r="AC28" s="670"/>
      <c r="AD28" s="670"/>
      <c r="AE28" s="667"/>
      <c r="AF28" s="652"/>
      <c r="AG28" s="669"/>
      <c r="AH28" s="668"/>
      <c r="AI28" s="670"/>
      <c r="AJ28" s="670"/>
      <c r="AK28" s="670"/>
      <c r="AL28" s="670"/>
      <c r="AM28" s="670"/>
      <c r="AN28" s="670"/>
    </row>
    <row r="29" spans="1:40" ht="12.75">
      <c r="A29" s="614"/>
      <c r="B29" s="617"/>
      <c r="C29" s="186"/>
      <c r="D29" s="641" t="s">
        <v>235</v>
      </c>
      <c r="E29" s="620"/>
      <c r="F29" s="620"/>
      <c r="G29" s="620"/>
      <c r="H29" s="620"/>
      <c r="I29" s="620">
        <v>0.3</v>
      </c>
      <c r="J29" s="620"/>
      <c r="K29" s="614"/>
      <c r="L29" s="617"/>
      <c r="M29" s="625"/>
      <c r="N29" s="641" t="s">
        <v>237</v>
      </c>
      <c r="O29" s="620"/>
      <c r="P29" s="620"/>
      <c r="Q29" s="620"/>
      <c r="R29" s="638"/>
      <c r="S29" s="614">
        <v>0</v>
      </c>
      <c r="T29" s="614"/>
      <c r="U29" s="667"/>
      <c r="V29" s="652"/>
      <c r="W29" s="653"/>
      <c r="X29" s="668" t="str">
        <f>D29</f>
        <v>Beam gauge # I-007</v>
      </c>
      <c r="Y29" s="670"/>
      <c r="Z29" s="670"/>
      <c r="AA29" s="670"/>
      <c r="AB29" s="670"/>
      <c r="AC29" s="658">
        <f>I29*25.4</f>
        <v>7.619999999999999</v>
      </c>
      <c r="AD29" s="670"/>
      <c r="AE29" s="667"/>
      <c r="AF29" s="652"/>
      <c r="AG29" s="669"/>
      <c r="AH29" s="668" t="str">
        <f>N29</f>
        <v>Beam gauge # I-001</v>
      </c>
      <c r="AI29" s="670"/>
      <c r="AJ29" s="670"/>
      <c r="AK29" s="670"/>
      <c r="AL29" s="670"/>
      <c r="AM29" s="658">
        <f>S29*25.4</f>
        <v>0</v>
      </c>
      <c r="AN29" s="670"/>
    </row>
    <row r="30" spans="1:40" ht="12.75">
      <c r="A30" s="614"/>
      <c r="B30" s="617"/>
      <c r="C30" s="186"/>
      <c r="D30" s="641" t="s">
        <v>236</v>
      </c>
      <c r="E30" s="620"/>
      <c r="F30" s="620"/>
      <c r="G30" s="620"/>
      <c r="H30" s="620"/>
      <c r="I30" s="620">
        <v>0.3</v>
      </c>
      <c r="J30" s="620"/>
      <c r="K30" s="614"/>
      <c r="L30" s="617"/>
      <c r="M30" s="625"/>
      <c r="N30" s="641" t="s">
        <v>238</v>
      </c>
      <c r="O30" s="620"/>
      <c r="P30" s="620"/>
      <c r="Q30" s="620"/>
      <c r="R30" s="638"/>
      <c r="S30" s="614">
        <v>0</v>
      </c>
      <c r="T30" s="614"/>
      <c r="U30" s="667"/>
      <c r="V30" s="652"/>
      <c r="W30" s="653"/>
      <c r="X30" s="668" t="str">
        <f>D30</f>
        <v>Beam gauge # I-008</v>
      </c>
      <c r="Y30" s="670"/>
      <c r="Z30" s="670"/>
      <c r="AA30" s="670"/>
      <c r="AB30" s="670"/>
      <c r="AC30" s="658">
        <f>I30*25.4</f>
        <v>7.619999999999999</v>
      </c>
      <c r="AD30" s="670"/>
      <c r="AE30" s="667"/>
      <c r="AF30" s="652"/>
      <c r="AG30" s="669"/>
      <c r="AH30" s="668" t="str">
        <f>N30</f>
        <v>Beam gauge # I-002</v>
      </c>
      <c r="AI30" s="670"/>
      <c r="AJ30" s="670"/>
      <c r="AK30" s="670"/>
      <c r="AL30" s="670"/>
      <c r="AM30" s="658">
        <f>S30*25.4</f>
        <v>0</v>
      </c>
      <c r="AN30" s="670"/>
    </row>
    <row r="31" spans="1:40" ht="12.75">
      <c r="A31" s="614"/>
      <c r="B31" s="617"/>
      <c r="C31" s="186"/>
      <c r="D31" s="641" t="s">
        <v>233</v>
      </c>
      <c r="E31" s="620"/>
      <c r="F31" s="620"/>
      <c r="G31" s="620"/>
      <c r="H31" s="620"/>
      <c r="I31" s="620">
        <v>-0.5</v>
      </c>
      <c r="J31" s="620"/>
      <c r="K31" s="614"/>
      <c r="L31" s="617"/>
      <c r="M31" s="625"/>
      <c r="N31" s="641" t="s">
        <v>239</v>
      </c>
      <c r="O31" s="620"/>
      <c r="P31" s="620"/>
      <c r="Q31" s="620"/>
      <c r="R31" s="638"/>
      <c r="S31" s="614" t="s">
        <v>246</v>
      </c>
      <c r="T31" s="614"/>
      <c r="U31" s="667"/>
      <c r="V31" s="652"/>
      <c r="W31" s="653"/>
      <c r="X31" s="668" t="str">
        <f>D31</f>
        <v>Capacitance gauge # 11</v>
      </c>
      <c r="Y31" s="670"/>
      <c r="Z31" s="670"/>
      <c r="AA31" s="670"/>
      <c r="AB31" s="670"/>
      <c r="AC31" s="658">
        <f>I31*25.4</f>
        <v>-12.7</v>
      </c>
      <c r="AD31" s="670"/>
      <c r="AE31" s="667"/>
      <c r="AF31" s="652"/>
      <c r="AG31" s="669"/>
      <c r="AH31" s="668" t="str">
        <f>N31</f>
        <v>Capacitance gauge # 15</v>
      </c>
      <c r="AI31" s="670"/>
      <c r="AJ31" s="670"/>
      <c r="AK31" s="670"/>
      <c r="AL31" s="670"/>
      <c r="AM31" s="658" t="e">
        <f>S31*25.4</f>
        <v>#VALUE!</v>
      </c>
      <c r="AN31" s="670"/>
    </row>
    <row r="32" spans="1:40" ht="12.75">
      <c r="A32" s="614"/>
      <c r="B32" s="617"/>
      <c r="C32" s="186"/>
      <c r="D32" s="641" t="s">
        <v>234</v>
      </c>
      <c r="E32" s="620"/>
      <c r="F32" s="620"/>
      <c r="G32" s="620"/>
      <c r="H32" s="620"/>
      <c r="I32" s="620">
        <v>0.1</v>
      </c>
      <c r="J32" s="620"/>
      <c r="K32" s="614"/>
      <c r="L32" s="617"/>
      <c r="M32" s="625"/>
      <c r="N32" s="641" t="s">
        <v>240</v>
      </c>
      <c r="O32" s="620"/>
      <c r="P32" s="620"/>
      <c r="Q32" s="620"/>
      <c r="R32" s="638"/>
      <c r="S32" s="614" t="s">
        <v>246</v>
      </c>
      <c r="T32" s="614"/>
      <c r="U32" s="667"/>
      <c r="V32" s="652"/>
      <c r="W32" s="653"/>
      <c r="X32" s="668" t="str">
        <f>D32</f>
        <v>Capacitance gauge # 14</v>
      </c>
      <c r="Y32" s="670"/>
      <c r="Z32" s="670"/>
      <c r="AA32" s="670"/>
      <c r="AB32" s="670"/>
      <c r="AC32" s="658">
        <f>I32*25.4</f>
        <v>2.54</v>
      </c>
      <c r="AD32" s="670"/>
      <c r="AE32" s="667"/>
      <c r="AF32" s="652"/>
      <c r="AG32" s="669"/>
      <c r="AH32" s="668" t="str">
        <f>N32</f>
        <v>Capacitance gauge # 16</v>
      </c>
      <c r="AI32" s="670"/>
      <c r="AJ32" s="670"/>
      <c r="AK32" s="670"/>
      <c r="AL32" s="670"/>
      <c r="AM32" s="658" t="e">
        <f>S32*25.4</f>
        <v>#VALUE!</v>
      </c>
      <c r="AN32" s="670"/>
    </row>
    <row r="33" spans="1:40" ht="12.75">
      <c r="A33" s="645"/>
      <c r="B33" s="618"/>
      <c r="C33" s="619"/>
      <c r="D33" s="644"/>
      <c r="E33" s="621"/>
      <c r="F33" s="621"/>
      <c r="G33" s="621"/>
      <c r="H33" s="621"/>
      <c r="I33" s="621"/>
      <c r="J33" s="621"/>
      <c r="K33" s="645"/>
      <c r="L33" s="617"/>
      <c r="M33" s="625"/>
      <c r="N33" s="607"/>
      <c r="O33" s="621"/>
      <c r="P33" s="621"/>
      <c r="Q33" s="621"/>
      <c r="R33" s="639"/>
      <c r="S33" s="645"/>
      <c r="T33" s="645"/>
      <c r="U33" s="671"/>
      <c r="V33" s="672"/>
      <c r="W33" s="673"/>
      <c r="X33" s="674"/>
      <c r="Y33" s="675"/>
      <c r="Z33" s="675"/>
      <c r="AA33" s="675"/>
      <c r="AB33" s="675"/>
      <c r="AC33" s="675"/>
      <c r="AD33" s="675"/>
      <c r="AE33" s="671"/>
      <c r="AF33" s="672"/>
      <c r="AG33" s="676"/>
      <c r="AH33" s="677"/>
      <c r="AI33" s="675"/>
      <c r="AJ33" s="675"/>
      <c r="AK33" s="675"/>
      <c r="AL33" s="675"/>
      <c r="AM33" s="675"/>
      <c r="AN33" s="675"/>
    </row>
    <row r="34" spans="1:40" ht="12.75">
      <c r="A34" s="613"/>
      <c r="B34" s="615"/>
      <c r="C34" s="397"/>
      <c r="D34" s="642"/>
      <c r="E34" s="623"/>
      <c r="F34" s="623"/>
      <c r="G34" s="623"/>
      <c r="H34" s="623"/>
      <c r="I34" s="623"/>
      <c r="J34" s="623"/>
      <c r="K34" s="615"/>
      <c r="L34" s="615"/>
      <c r="M34" s="624"/>
      <c r="N34" s="398"/>
      <c r="O34" s="622"/>
      <c r="P34" s="623"/>
      <c r="Q34" s="623"/>
      <c r="R34" s="637"/>
      <c r="S34" s="623"/>
      <c r="T34" s="623"/>
      <c r="U34" s="660"/>
      <c r="V34" s="649"/>
      <c r="W34" s="661"/>
      <c r="X34" s="662"/>
      <c r="Y34" s="663"/>
      <c r="Z34" s="663"/>
      <c r="AA34" s="663"/>
      <c r="AB34" s="663"/>
      <c r="AC34" s="663"/>
      <c r="AD34" s="663"/>
      <c r="AE34" s="660"/>
      <c r="AF34" s="649"/>
      <c r="AG34" s="664"/>
      <c r="AH34" s="665"/>
      <c r="AI34" s="663"/>
      <c r="AJ34" s="663"/>
      <c r="AK34" s="663"/>
      <c r="AL34" s="666"/>
      <c r="AM34" s="663"/>
      <c r="AN34" s="663"/>
    </row>
    <row r="35" spans="1:40" ht="12.75">
      <c r="A35" s="614"/>
      <c r="B35" s="617">
        <v>13</v>
      </c>
      <c r="C35" s="186"/>
      <c r="D35" s="641" t="s">
        <v>206</v>
      </c>
      <c r="E35" s="620">
        <v>-2.7</v>
      </c>
      <c r="F35" s="620">
        <v>0</v>
      </c>
      <c r="G35" s="620">
        <f aca="true" t="shared" si="21" ref="G35:G48">E35</f>
        <v>-2.7</v>
      </c>
      <c r="H35" s="620">
        <f aca="true" t="shared" si="22" ref="H35:H48">F35</f>
        <v>0</v>
      </c>
      <c r="I35" s="620">
        <f aca="true" t="shared" si="23" ref="I35:I48">AVERAGE(E35,G35)</f>
        <v>-2.7</v>
      </c>
      <c r="J35" s="620">
        <f aca="true" t="shared" si="24" ref="J35:J48">AVERAGE(F35,H35)</f>
        <v>0</v>
      </c>
      <c r="K35" s="617"/>
      <c r="L35" s="617">
        <v>18</v>
      </c>
      <c r="M35" s="625"/>
      <c r="N35" s="641" t="s">
        <v>206</v>
      </c>
      <c r="O35" s="640">
        <v>11.8</v>
      </c>
      <c r="P35" s="620">
        <v>0</v>
      </c>
      <c r="Q35" s="620">
        <v>12.9</v>
      </c>
      <c r="R35" s="638">
        <f aca="true" t="shared" si="25" ref="R35:R41">P35</f>
        <v>0</v>
      </c>
      <c r="S35" s="620">
        <f aca="true" t="shared" si="26" ref="S35:T41">AVERAGE(O35,Q35)</f>
        <v>12.350000000000001</v>
      </c>
      <c r="T35" s="620">
        <f t="shared" si="26"/>
        <v>0</v>
      </c>
      <c r="U35" s="667"/>
      <c r="V35" s="652">
        <v>13</v>
      </c>
      <c r="W35" s="653"/>
      <c r="X35" s="668" t="s">
        <v>206</v>
      </c>
      <c r="Y35" s="658">
        <f aca="true" t="shared" si="27" ref="Y35:Y51">E35*25.4</f>
        <v>-68.58</v>
      </c>
      <c r="Z35" s="658">
        <f aca="true" t="shared" si="28" ref="Z35:Z51">F35*25.4</f>
        <v>0</v>
      </c>
      <c r="AA35" s="658">
        <f aca="true" t="shared" si="29" ref="AA35:AA51">G35*25.4</f>
        <v>-68.58</v>
      </c>
      <c r="AB35" s="658">
        <f aca="true" t="shared" si="30" ref="AB35:AB51">H35*25.4</f>
        <v>0</v>
      </c>
      <c r="AC35" s="658">
        <f aca="true" t="shared" si="31" ref="AC35:AC51">I35*25.4</f>
        <v>-68.58</v>
      </c>
      <c r="AD35" s="658">
        <f aca="true" t="shared" si="32" ref="AD35:AD51">J35*25.4</f>
        <v>0</v>
      </c>
      <c r="AE35" s="667"/>
      <c r="AF35" s="652">
        <v>18</v>
      </c>
      <c r="AG35" s="669"/>
      <c r="AH35" s="668" t="s">
        <v>206</v>
      </c>
      <c r="AI35" s="658">
        <f aca="true" t="shared" si="33" ref="AI35:AI51">O35*25.4</f>
        <v>299.72</v>
      </c>
      <c r="AJ35" s="658">
        <f aca="true" t="shared" si="34" ref="AJ35:AJ51">P35*25.4</f>
        <v>0</v>
      </c>
      <c r="AK35" s="658">
        <f aca="true" t="shared" si="35" ref="AK35:AK51">Q35*25.4</f>
        <v>327.65999999999997</v>
      </c>
      <c r="AL35" s="658">
        <f aca="true" t="shared" si="36" ref="AL35:AL51">R35*25.4</f>
        <v>0</v>
      </c>
      <c r="AM35" s="658">
        <f aca="true" t="shared" si="37" ref="AM35:AM51">S35*25.4</f>
        <v>313.69</v>
      </c>
      <c r="AN35" s="658">
        <f aca="true" t="shared" si="38" ref="AN35:AN51">T35*25.4</f>
        <v>0</v>
      </c>
    </row>
    <row r="36" spans="1:40" ht="12.75">
      <c r="A36" s="614"/>
      <c r="B36" s="617">
        <v>14</v>
      </c>
      <c r="C36" s="186"/>
      <c r="D36" s="641" t="s">
        <v>216</v>
      </c>
      <c r="E36" s="620">
        <v>0</v>
      </c>
      <c r="F36" s="620">
        <v>0</v>
      </c>
      <c r="G36" s="620">
        <f t="shared" si="21"/>
        <v>0</v>
      </c>
      <c r="H36" s="620">
        <f t="shared" si="22"/>
        <v>0</v>
      </c>
      <c r="I36" s="620">
        <f t="shared" si="23"/>
        <v>0</v>
      </c>
      <c r="J36" s="620">
        <f t="shared" si="24"/>
        <v>0</v>
      </c>
      <c r="K36" s="617"/>
      <c r="L36" s="617">
        <v>19</v>
      </c>
      <c r="M36" s="625"/>
      <c r="N36" s="641" t="s">
        <v>216</v>
      </c>
      <c r="O36" s="640">
        <v>0.25</v>
      </c>
      <c r="P36" s="620">
        <v>0</v>
      </c>
      <c r="Q36" s="620">
        <f aca="true" t="shared" si="39" ref="Q36:Q41">O36</f>
        <v>0.25</v>
      </c>
      <c r="R36" s="638">
        <f t="shared" si="25"/>
        <v>0</v>
      </c>
      <c r="S36" s="620">
        <f t="shared" si="26"/>
        <v>0.25</v>
      </c>
      <c r="T36" s="620">
        <f t="shared" si="26"/>
        <v>0</v>
      </c>
      <c r="U36" s="667"/>
      <c r="V36" s="652">
        <v>14</v>
      </c>
      <c r="W36" s="653"/>
      <c r="X36" s="668" t="s">
        <v>216</v>
      </c>
      <c r="Y36" s="658">
        <f t="shared" si="27"/>
        <v>0</v>
      </c>
      <c r="Z36" s="658">
        <f t="shared" si="28"/>
        <v>0</v>
      </c>
      <c r="AA36" s="658">
        <f t="shared" si="29"/>
        <v>0</v>
      </c>
      <c r="AB36" s="658">
        <f t="shared" si="30"/>
        <v>0</v>
      </c>
      <c r="AC36" s="658">
        <f t="shared" si="31"/>
        <v>0</v>
      </c>
      <c r="AD36" s="658">
        <f t="shared" si="32"/>
        <v>0</v>
      </c>
      <c r="AE36" s="667"/>
      <c r="AF36" s="652">
        <v>19</v>
      </c>
      <c r="AG36" s="669"/>
      <c r="AH36" s="668" t="s">
        <v>216</v>
      </c>
      <c r="AI36" s="658">
        <f t="shared" si="33"/>
        <v>6.35</v>
      </c>
      <c r="AJ36" s="658">
        <f t="shared" si="34"/>
        <v>0</v>
      </c>
      <c r="AK36" s="658">
        <f t="shared" si="35"/>
        <v>6.35</v>
      </c>
      <c r="AL36" s="658">
        <f t="shared" si="36"/>
        <v>0</v>
      </c>
      <c r="AM36" s="658">
        <f t="shared" si="37"/>
        <v>6.35</v>
      </c>
      <c r="AN36" s="658">
        <f t="shared" si="38"/>
        <v>0</v>
      </c>
    </row>
    <row r="37" spans="1:40" ht="12.75">
      <c r="A37" s="614"/>
      <c r="B37" s="617">
        <v>7</v>
      </c>
      <c r="C37" s="186">
        <v>344464</v>
      </c>
      <c r="D37" s="641" t="s">
        <v>207</v>
      </c>
      <c r="E37" s="620">
        <v>-3</v>
      </c>
      <c r="F37" s="620">
        <v>0</v>
      </c>
      <c r="G37" s="620">
        <f t="shared" si="21"/>
        <v>-3</v>
      </c>
      <c r="H37" s="620">
        <f t="shared" si="22"/>
        <v>0</v>
      </c>
      <c r="I37" s="620">
        <f t="shared" si="23"/>
        <v>-3</v>
      </c>
      <c r="J37" s="620">
        <f t="shared" si="24"/>
        <v>0</v>
      </c>
      <c r="K37" s="617"/>
      <c r="L37" s="617">
        <v>4</v>
      </c>
      <c r="M37" s="625">
        <v>344464</v>
      </c>
      <c r="N37" s="641" t="s">
        <v>207</v>
      </c>
      <c r="O37" s="640">
        <v>-3</v>
      </c>
      <c r="P37" s="620">
        <v>-3</v>
      </c>
      <c r="Q37" s="620">
        <f t="shared" si="39"/>
        <v>-3</v>
      </c>
      <c r="R37" s="638">
        <f t="shared" si="25"/>
        <v>-3</v>
      </c>
      <c r="S37" s="620">
        <f t="shared" si="26"/>
        <v>-3</v>
      </c>
      <c r="T37" s="620">
        <f t="shared" si="26"/>
        <v>-3</v>
      </c>
      <c r="U37" s="667"/>
      <c r="V37" s="652">
        <v>7</v>
      </c>
      <c r="W37" s="653">
        <v>344464</v>
      </c>
      <c r="X37" s="668" t="s">
        <v>207</v>
      </c>
      <c r="Y37" s="658">
        <f t="shared" si="27"/>
        <v>-76.19999999999999</v>
      </c>
      <c r="Z37" s="658">
        <f t="shared" si="28"/>
        <v>0</v>
      </c>
      <c r="AA37" s="658">
        <f t="shared" si="29"/>
        <v>-76.19999999999999</v>
      </c>
      <c r="AB37" s="658">
        <f t="shared" si="30"/>
        <v>0</v>
      </c>
      <c r="AC37" s="658">
        <f t="shared" si="31"/>
        <v>-76.19999999999999</v>
      </c>
      <c r="AD37" s="658">
        <f t="shared" si="32"/>
        <v>0</v>
      </c>
      <c r="AE37" s="667"/>
      <c r="AF37" s="652">
        <v>4</v>
      </c>
      <c r="AG37" s="669">
        <v>344464</v>
      </c>
      <c r="AH37" s="668" t="s">
        <v>207</v>
      </c>
      <c r="AI37" s="658">
        <f t="shared" si="33"/>
        <v>-76.19999999999999</v>
      </c>
      <c r="AJ37" s="658">
        <f t="shared" si="34"/>
        <v>-76.19999999999999</v>
      </c>
      <c r="AK37" s="658">
        <f t="shared" si="35"/>
        <v>-76.19999999999999</v>
      </c>
      <c r="AL37" s="658">
        <f t="shared" si="36"/>
        <v>-76.19999999999999</v>
      </c>
      <c r="AM37" s="658">
        <f t="shared" si="37"/>
        <v>-76.19999999999999</v>
      </c>
      <c r="AN37" s="658">
        <f t="shared" si="38"/>
        <v>-76.19999999999999</v>
      </c>
    </row>
    <row r="38" spans="1:40" ht="12.75">
      <c r="A38" s="614"/>
      <c r="B38" s="617"/>
      <c r="C38" s="186">
        <v>344469</v>
      </c>
      <c r="D38" s="641" t="s">
        <v>210</v>
      </c>
      <c r="E38" s="620">
        <v>-3</v>
      </c>
      <c r="F38" s="620">
        <v>-3</v>
      </c>
      <c r="G38" s="620">
        <f t="shared" si="21"/>
        <v>-3</v>
      </c>
      <c r="H38" s="620">
        <f t="shared" si="22"/>
        <v>-3</v>
      </c>
      <c r="I38" s="620">
        <f t="shared" si="23"/>
        <v>-3</v>
      </c>
      <c r="J38" s="620">
        <f t="shared" si="24"/>
        <v>-3</v>
      </c>
      <c r="K38" s="617"/>
      <c r="L38" s="617">
        <v>4</v>
      </c>
      <c r="M38" s="625">
        <v>344464</v>
      </c>
      <c r="N38" s="641" t="s">
        <v>210</v>
      </c>
      <c r="O38" s="640">
        <v>-3</v>
      </c>
      <c r="P38" s="620">
        <v>-3</v>
      </c>
      <c r="Q38" s="620">
        <f t="shared" si="39"/>
        <v>-3</v>
      </c>
      <c r="R38" s="638">
        <f t="shared" si="25"/>
        <v>-3</v>
      </c>
      <c r="S38" s="620">
        <f t="shared" si="26"/>
        <v>-3</v>
      </c>
      <c r="T38" s="620">
        <f t="shared" si="26"/>
        <v>-3</v>
      </c>
      <c r="U38" s="667"/>
      <c r="V38" s="652"/>
      <c r="W38" s="653">
        <v>344469</v>
      </c>
      <c r="X38" s="668" t="s">
        <v>210</v>
      </c>
      <c r="Y38" s="658">
        <f t="shared" si="27"/>
        <v>-76.19999999999999</v>
      </c>
      <c r="Z38" s="658">
        <f t="shared" si="28"/>
        <v>-76.19999999999999</v>
      </c>
      <c r="AA38" s="658">
        <f t="shared" si="29"/>
        <v>-76.19999999999999</v>
      </c>
      <c r="AB38" s="658">
        <f t="shared" si="30"/>
        <v>-76.19999999999999</v>
      </c>
      <c r="AC38" s="658">
        <f t="shared" si="31"/>
        <v>-76.19999999999999</v>
      </c>
      <c r="AD38" s="658">
        <f t="shared" si="32"/>
        <v>-76.19999999999999</v>
      </c>
      <c r="AE38" s="667"/>
      <c r="AF38" s="652">
        <v>4</v>
      </c>
      <c r="AG38" s="669">
        <v>344464</v>
      </c>
      <c r="AH38" s="668" t="s">
        <v>210</v>
      </c>
      <c r="AI38" s="658">
        <f t="shared" si="33"/>
        <v>-76.19999999999999</v>
      </c>
      <c r="AJ38" s="658">
        <f t="shared" si="34"/>
        <v>-76.19999999999999</v>
      </c>
      <c r="AK38" s="658">
        <f t="shared" si="35"/>
        <v>-76.19999999999999</v>
      </c>
      <c r="AL38" s="658">
        <f t="shared" si="36"/>
        <v>-76.19999999999999</v>
      </c>
      <c r="AM38" s="658">
        <f t="shared" si="37"/>
        <v>-76.19999999999999</v>
      </c>
      <c r="AN38" s="658">
        <f t="shared" si="38"/>
        <v>-76.19999999999999</v>
      </c>
    </row>
    <row r="39" spans="1:40" ht="12.75">
      <c r="A39" s="614"/>
      <c r="B39" s="617"/>
      <c r="C39" s="186"/>
      <c r="D39" s="641" t="s">
        <v>227</v>
      </c>
      <c r="E39" s="620">
        <v>3.8</v>
      </c>
      <c r="F39" s="620">
        <v>0</v>
      </c>
      <c r="G39" s="620">
        <f t="shared" si="21"/>
        <v>3.8</v>
      </c>
      <c r="H39" s="620">
        <f t="shared" si="22"/>
        <v>0</v>
      </c>
      <c r="I39" s="620">
        <f t="shared" si="23"/>
        <v>3.8</v>
      </c>
      <c r="J39" s="620">
        <f t="shared" si="24"/>
        <v>0</v>
      </c>
      <c r="K39" s="617"/>
      <c r="L39" s="617"/>
      <c r="M39" s="625"/>
      <c r="N39" s="641" t="s">
        <v>227</v>
      </c>
      <c r="O39" s="640">
        <v>3.8</v>
      </c>
      <c r="P39" s="620">
        <v>3.8</v>
      </c>
      <c r="Q39" s="620">
        <f t="shared" si="39"/>
        <v>3.8</v>
      </c>
      <c r="R39" s="638">
        <f t="shared" si="25"/>
        <v>3.8</v>
      </c>
      <c r="S39" s="620">
        <f t="shared" si="26"/>
        <v>3.8</v>
      </c>
      <c r="T39" s="620">
        <f t="shared" si="26"/>
        <v>3.8</v>
      </c>
      <c r="U39" s="667"/>
      <c r="V39" s="652"/>
      <c r="W39" s="653"/>
      <c r="X39" s="668" t="s">
        <v>227</v>
      </c>
      <c r="Y39" s="658">
        <f t="shared" si="27"/>
        <v>96.52</v>
      </c>
      <c r="Z39" s="658">
        <f t="shared" si="28"/>
        <v>0</v>
      </c>
      <c r="AA39" s="658">
        <f t="shared" si="29"/>
        <v>96.52</v>
      </c>
      <c r="AB39" s="658">
        <f t="shared" si="30"/>
        <v>0</v>
      </c>
      <c r="AC39" s="658">
        <f t="shared" si="31"/>
        <v>96.52</v>
      </c>
      <c r="AD39" s="658">
        <f t="shared" si="32"/>
        <v>0</v>
      </c>
      <c r="AE39" s="667"/>
      <c r="AF39" s="652"/>
      <c r="AG39" s="669"/>
      <c r="AH39" s="668" t="s">
        <v>227</v>
      </c>
      <c r="AI39" s="658">
        <f t="shared" si="33"/>
        <v>96.52</v>
      </c>
      <c r="AJ39" s="658">
        <f t="shared" si="34"/>
        <v>96.52</v>
      </c>
      <c r="AK39" s="658">
        <f t="shared" si="35"/>
        <v>96.52</v>
      </c>
      <c r="AL39" s="658">
        <f t="shared" si="36"/>
        <v>96.52</v>
      </c>
      <c r="AM39" s="658">
        <f t="shared" si="37"/>
        <v>96.52</v>
      </c>
      <c r="AN39" s="658">
        <f t="shared" si="38"/>
        <v>96.52</v>
      </c>
    </row>
    <row r="40" spans="1:40" ht="12.75">
      <c r="A40" s="614"/>
      <c r="B40" s="617"/>
      <c r="C40" s="186"/>
      <c r="D40" s="641" t="s">
        <v>228</v>
      </c>
      <c r="E40" s="620">
        <v>3.8</v>
      </c>
      <c r="F40" s="620">
        <v>3.8</v>
      </c>
      <c r="G40" s="620">
        <f t="shared" si="21"/>
        <v>3.8</v>
      </c>
      <c r="H40" s="620">
        <f t="shared" si="22"/>
        <v>3.8</v>
      </c>
      <c r="I40" s="620">
        <f t="shared" si="23"/>
        <v>3.8</v>
      </c>
      <c r="J40" s="620">
        <f t="shared" si="24"/>
        <v>3.8</v>
      </c>
      <c r="K40" s="617"/>
      <c r="L40" s="617"/>
      <c r="M40" s="625"/>
      <c r="N40" s="641" t="s">
        <v>228</v>
      </c>
      <c r="O40" s="640">
        <v>3.8</v>
      </c>
      <c r="P40" s="620">
        <v>3.8</v>
      </c>
      <c r="Q40" s="620">
        <f t="shared" si="39"/>
        <v>3.8</v>
      </c>
      <c r="R40" s="638">
        <f t="shared" si="25"/>
        <v>3.8</v>
      </c>
      <c r="S40" s="620">
        <f t="shared" si="26"/>
        <v>3.8</v>
      </c>
      <c r="T40" s="620">
        <f t="shared" si="26"/>
        <v>3.8</v>
      </c>
      <c r="U40" s="667"/>
      <c r="V40" s="652"/>
      <c r="W40" s="653"/>
      <c r="X40" s="668" t="s">
        <v>228</v>
      </c>
      <c r="Y40" s="658">
        <f t="shared" si="27"/>
        <v>96.52</v>
      </c>
      <c r="Z40" s="658">
        <f t="shared" si="28"/>
        <v>96.52</v>
      </c>
      <c r="AA40" s="658">
        <f t="shared" si="29"/>
        <v>96.52</v>
      </c>
      <c r="AB40" s="658">
        <f t="shared" si="30"/>
        <v>96.52</v>
      </c>
      <c r="AC40" s="658">
        <f t="shared" si="31"/>
        <v>96.52</v>
      </c>
      <c r="AD40" s="658">
        <f t="shared" si="32"/>
        <v>96.52</v>
      </c>
      <c r="AE40" s="667"/>
      <c r="AF40" s="652"/>
      <c r="AG40" s="669"/>
      <c r="AH40" s="668" t="s">
        <v>228</v>
      </c>
      <c r="AI40" s="658">
        <f t="shared" si="33"/>
        <v>96.52</v>
      </c>
      <c r="AJ40" s="658">
        <f t="shared" si="34"/>
        <v>96.52</v>
      </c>
      <c r="AK40" s="658">
        <f t="shared" si="35"/>
        <v>96.52</v>
      </c>
      <c r="AL40" s="658">
        <f t="shared" si="36"/>
        <v>96.52</v>
      </c>
      <c r="AM40" s="658">
        <f t="shared" si="37"/>
        <v>96.52</v>
      </c>
      <c r="AN40" s="658">
        <f t="shared" si="38"/>
        <v>96.52</v>
      </c>
    </row>
    <row r="41" spans="1:40" ht="12.75">
      <c r="A41" s="614"/>
      <c r="B41" s="617">
        <v>8</v>
      </c>
      <c r="C41" s="186">
        <v>344463</v>
      </c>
      <c r="D41" s="641" t="s">
        <v>208</v>
      </c>
      <c r="E41" s="620">
        <v>0</v>
      </c>
      <c r="F41" s="620">
        <v>0</v>
      </c>
      <c r="G41" s="620">
        <f t="shared" si="21"/>
        <v>0</v>
      </c>
      <c r="H41" s="620">
        <f t="shared" si="22"/>
        <v>0</v>
      </c>
      <c r="I41" s="620">
        <f t="shared" si="23"/>
        <v>0</v>
      </c>
      <c r="J41" s="620">
        <f t="shared" si="24"/>
        <v>0</v>
      </c>
      <c r="K41" s="617"/>
      <c r="L41" s="617">
        <v>5</v>
      </c>
      <c r="M41" s="625">
        <v>344463</v>
      </c>
      <c r="N41" s="641" t="s">
        <v>208</v>
      </c>
      <c r="O41" s="640">
        <v>-2</v>
      </c>
      <c r="P41" s="620">
        <v>-2</v>
      </c>
      <c r="Q41" s="620">
        <f t="shared" si="39"/>
        <v>-2</v>
      </c>
      <c r="R41" s="638">
        <f t="shared" si="25"/>
        <v>-2</v>
      </c>
      <c r="S41" s="620">
        <f t="shared" si="26"/>
        <v>-2</v>
      </c>
      <c r="T41" s="620">
        <f t="shared" si="26"/>
        <v>-2</v>
      </c>
      <c r="U41" s="667"/>
      <c r="V41" s="652">
        <v>8</v>
      </c>
      <c r="W41" s="653">
        <v>344463</v>
      </c>
      <c r="X41" s="668" t="s">
        <v>208</v>
      </c>
      <c r="Y41" s="658">
        <f t="shared" si="27"/>
        <v>0</v>
      </c>
      <c r="Z41" s="658">
        <f t="shared" si="28"/>
        <v>0</v>
      </c>
      <c r="AA41" s="658">
        <f t="shared" si="29"/>
        <v>0</v>
      </c>
      <c r="AB41" s="658">
        <f t="shared" si="30"/>
        <v>0</v>
      </c>
      <c r="AC41" s="658">
        <f t="shared" si="31"/>
        <v>0</v>
      </c>
      <c r="AD41" s="658">
        <f t="shared" si="32"/>
        <v>0</v>
      </c>
      <c r="AE41" s="667"/>
      <c r="AF41" s="652">
        <v>5</v>
      </c>
      <c r="AG41" s="669">
        <v>344463</v>
      </c>
      <c r="AH41" s="668" t="s">
        <v>208</v>
      </c>
      <c r="AI41" s="658">
        <f t="shared" si="33"/>
        <v>-50.8</v>
      </c>
      <c r="AJ41" s="658">
        <f t="shared" si="34"/>
        <v>-50.8</v>
      </c>
      <c r="AK41" s="658">
        <f t="shared" si="35"/>
        <v>-50.8</v>
      </c>
      <c r="AL41" s="658">
        <f t="shared" si="36"/>
        <v>-50.8</v>
      </c>
      <c r="AM41" s="658">
        <f t="shared" si="37"/>
        <v>-50.8</v>
      </c>
      <c r="AN41" s="658">
        <f t="shared" si="38"/>
        <v>-50.8</v>
      </c>
    </row>
    <row r="42" spans="1:40" ht="12.75">
      <c r="A42" s="614"/>
      <c r="B42" s="617">
        <v>6</v>
      </c>
      <c r="C42" s="186">
        <v>344377</v>
      </c>
      <c r="D42" s="641" t="s">
        <v>209</v>
      </c>
      <c r="E42" s="620">
        <v>0</v>
      </c>
      <c r="F42" s="620">
        <v>0</v>
      </c>
      <c r="G42" s="620">
        <f t="shared" si="21"/>
        <v>0</v>
      </c>
      <c r="H42" s="620">
        <f t="shared" si="22"/>
        <v>0</v>
      </c>
      <c r="I42" s="620">
        <f t="shared" si="23"/>
        <v>0</v>
      </c>
      <c r="J42" s="620">
        <f t="shared" si="24"/>
        <v>0</v>
      </c>
      <c r="K42" s="617"/>
      <c r="L42" s="617"/>
      <c r="M42" s="625"/>
      <c r="N42" s="641"/>
      <c r="O42" s="640"/>
      <c r="P42" s="620"/>
      <c r="Q42" s="620"/>
      <c r="R42" s="638"/>
      <c r="S42" s="620"/>
      <c r="T42" s="620"/>
      <c r="U42" s="667"/>
      <c r="V42" s="652">
        <v>6</v>
      </c>
      <c r="W42" s="653">
        <v>344377</v>
      </c>
      <c r="X42" s="668" t="s">
        <v>209</v>
      </c>
      <c r="Y42" s="658">
        <f t="shared" si="27"/>
        <v>0</v>
      </c>
      <c r="Z42" s="658">
        <f t="shared" si="28"/>
        <v>0</v>
      </c>
      <c r="AA42" s="658">
        <f t="shared" si="29"/>
        <v>0</v>
      </c>
      <c r="AB42" s="658">
        <f t="shared" si="30"/>
        <v>0</v>
      </c>
      <c r="AC42" s="658">
        <f t="shared" si="31"/>
        <v>0</v>
      </c>
      <c r="AD42" s="658">
        <f t="shared" si="32"/>
        <v>0</v>
      </c>
      <c r="AE42" s="667"/>
      <c r="AF42" s="652"/>
      <c r="AG42" s="669"/>
      <c r="AH42" s="668"/>
      <c r="AI42" s="658">
        <f t="shared" si="33"/>
        <v>0</v>
      </c>
      <c r="AJ42" s="658">
        <f t="shared" si="34"/>
        <v>0</v>
      </c>
      <c r="AK42" s="658">
        <f t="shared" si="35"/>
        <v>0</v>
      </c>
      <c r="AL42" s="658">
        <f t="shared" si="36"/>
        <v>0</v>
      </c>
      <c r="AM42" s="658">
        <f t="shared" si="37"/>
        <v>0</v>
      </c>
      <c r="AN42" s="658">
        <f t="shared" si="38"/>
        <v>0</v>
      </c>
    </row>
    <row r="43" spans="1:40" ht="12.75">
      <c r="A43" s="614"/>
      <c r="B43" s="617">
        <v>3</v>
      </c>
      <c r="C43" s="186">
        <v>344403</v>
      </c>
      <c r="D43" s="641" t="s">
        <v>211</v>
      </c>
      <c r="E43" s="620">
        <v>0</v>
      </c>
      <c r="F43" s="620">
        <v>0</v>
      </c>
      <c r="G43" s="620">
        <f t="shared" si="21"/>
        <v>0</v>
      </c>
      <c r="H43" s="620">
        <f t="shared" si="22"/>
        <v>0</v>
      </c>
      <c r="I43" s="620">
        <f t="shared" si="23"/>
        <v>0</v>
      </c>
      <c r="J43" s="620">
        <f t="shared" si="24"/>
        <v>0</v>
      </c>
      <c r="K43" s="617"/>
      <c r="L43" s="617">
        <v>3</v>
      </c>
      <c r="M43" s="625">
        <v>344403</v>
      </c>
      <c r="N43" s="641" t="s">
        <v>211</v>
      </c>
      <c r="O43" s="640">
        <v>0</v>
      </c>
      <c r="P43" s="620">
        <v>0</v>
      </c>
      <c r="Q43" s="620">
        <f aca="true" t="shared" si="40" ref="Q43:R48">O43</f>
        <v>0</v>
      </c>
      <c r="R43" s="638">
        <f t="shared" si="40"/>
        <v>0</v>
      </c>
      <c r="S43" s="620">
        <f aca="true" t="shared" si="41" ref="S43:T48">AVERAGE(O43,Q43)</f>
        <v>0</v>
      </c>
      <c r="T43" s="620">
        <f t="shared" si="41"/>
        <v>0</v>
      </c>
      <c r="U43" s="667"/>
      <c r="V43" s="652">
        <v>3</v>
      </c>
      <c r="W43" s="653">
        <v>344403</v>
      </c>
      <c r="X43" s="668" t="s">
        <v>211</v>
      </c>
      <c r="Y43" s="658">
        <f t="shared" si="27"/>
        <v>0</v>
      </c>
      <c r="Z43" s="658">
        <f t="shared" si="28"/>
        <v>0</v>
      </c>
      <c r="AA43" s="658">
        <f t="shared" si="29"/>
        <v>0</v>
      </c>
      <c r="AB43" s="658">
        <f t="shared" si="30"/>
        <v>0</v>
      </c>
      <c r="AC43" s="658">
        <f t="shared" si="31"/>
        <v>0</v>
      </c>
      <c r="AD43" s="658">
        <f t="shared" si="32"/>
        <v>0</v>
      </c>
      <c r="AE43" s="667"/>
      <c r="AF43" s="652">
        <v>3</v>
      </c>
      <c r="AG43" s="669">
        <v>344403</v>
      </c>
      <c r="AH43" s="668" t="s">
        <v>211</v>
      </c>
      <c r="AI43" s="658">
        <f t="shared" si="33"/>
        <v>0</v>
      </c>
      <c r="AJ43" s="658">
        <f t="shared" si="34"/>
        <v>0</v>
      </c>
      <c r="AK43" s="658">
        <f t="shared" si="35"/>
        <v>0</v>
      </c>
      <c r="AL43" s="658">
        <f t="shared" si="36"/>
        <v>0</v>
      </c>
      <c r="AM43" s="658">
        <f t="shared" si="37"/>
        <v>0</v>
      </c>
      <c r="AN43" s="658">
        <f t="shared" si="38"/>
        <v>0</v>
      </c>
    </row>
    <row r="44" spans="1:40" ht="12.75">
      <c r="A44" s="614"/>
      <c r="B44" s="617">
        <v>2</v>
      </c>
      <c r="C44" s="186">
        <v>344411</v>
      </c>
      <c r="D44" s="641" t="s">
        <v>212</v>
      </c>
      <c r="E44" s="620">
        <v>0</v>
      </c>
      <c r="F44" s="620">
        <v>0</v>
      </c>
      <c r="G44" s="620">
        <f t="shared" si="21"/>
        <v>0</v>
      </c>
      <c r="H44" s="620">
        <f t="shared" si="22"/>
        <v>0</v>
      </c>
      <c r="I44" s="620">
        <f t="shared" si="23"/>
        <v>0</v>
      </c>
      <c r="J44" s="620">
        <f t="shared" si="24"/>
        <v>0</v>
      </c>
      <c r="K44" s="617"/>
      <c r="L44" s="617">
        <v>2</v>
      </c>
      <c r="M44" s="625">
        <v>344411</v>
      </c>
      <c r="N44" s="641" t="s">
        <v>212</v>
      </c>
      <c r="O44" s="640">
        <v>0</v>
      </c>
      <c r="P44" s="620">
        <v>0</v>
      </c>
      <c r="Q44" s="620">
        <f t="shared" si="40"/>
        <v>0</v>
      </c>
      <c r="R44" s="638">
        <f t="shared" si="40"/>
        <v>0</v>
      </c>
      <c r="S44" s="620">
        <f t="shared" si="41"/>
        <v>0</v>
      </c>
      <c r="T44" s="620">
        <f t="shared" si="41"/>
        <v>0</v>
      </c>
      <c r="U44" s="667"/>
      <c r="V44" s="652">
        <v>2</v>
      </c>
      <c r="W44" s="653">
        <v>344411</v>
      </c>
      <c r="X44" s="668" t="s">
        <v>212</v>
      </c>
      <c r="Y44" s="658">
        <f t="shared" si="27"/>
        <v>0</v>
      </c>
      <c r="Z44" s="658">
        <f t="shared" si="28"/>
        <v>0</v>
      </c>
      <c r="AA44" s="658">
        <f t="shared" si="29"/>
        <v>0</v>
      </c>
      <c r="AB44" s="658">
        <f t="shared" si="30"/>
        <v>0</v>
      </c>
      <c r="AC44" s="658">
        <f t="shared" si="31"/>
        <v>0</v>
      </c>
      <c r="AD44" s="658">
        <f t="shared" si="32"/>
        <v>0</v>
      </c>
      <c r="AE44" s="667"/>
      <c r="AF44" s="652">
        <v>2</v>
      </c>
      <c r="AG44" s="669">
        <v>344411</v>
      </c>
      <c r="AH44" s="668" t="s">
        <v>212</v>
      </c>
      <c r="AI44" s="658">
        <f t="shared" si="33"/>
        <v>0</v>
      </c>
      <c r="AJ44" s="658">
        <f t="shared" si="34"/>
        <v>0</v>
      </c>
      <c r="AK44" s="658">
        <f t="shared" si="35"/>
        <v>0</v>
      </c>
      <c r="AL44" s="658">
        <f t="shared" si="36"/>
        <v>0</v>
      </c>
      <c r="AM44" s="658">
        <f t="shared" si="37"/>
        <v>0</v>
      </c>
      <c r="AN44" s="658">
        <f t="shared" si="38"/>
        <v>0</v>
      </c>
    </row>
    <row r="45" spans="1:40" ht="12.75">
      <c r="A45" s="614"/>
      <c r="B45" s="617">
        <v>1</v>
      </c>
      <c r="C45" s="186">
        <v>344460</v>
      </c>
      <c r="D45" s="641" t="s">
        <v>213</v>
      </c>
      <c r="E45" s="620">
        <v>0</v>
      </c>
      <c r="F45" s="620">
        <v>0</v>
      </c>
      <c r="G45" s="620">
        <f t="shared" si="21"/>
        <v>0</v>
      </c>
      <c r="H45" s="620">
        <f t="shared" si="22"/>
        <v>0</v>
      </c>
      <c r="I45" s="620">
        <f t="shared" si="23"/>
        <v>0</v>
      </c>
      <c r="J45" s="620">
        <f t="shared" si="24"/>
        <v>0</v>
      </c>
      <c r="K45" s="617"/>
      <c r="L45" s="617">
        <v>1</v>
      </c>
      <c r="M45" s="625">
        <v>344460</v>
      </c>
      <c r="N45" s="641" t="s">
        <v>213</v>
      </c>
      <c r="O45" s="640">
        <v>0</v>
      </c>
      <c r="P45" s="620">
        <v>0</v>
      </c>
      <c r="Q45" s="620">
        <f t="shared" si="40"/>
        <v>0</v>
      </c>
      <c r="R45" s="638">
        <f t="shared" si="40"/>
        <v>0</v>
      </c>
      <c r="S45" s="620">
        <f t="shared" si="41"/>
        <v>0</v>
      </c>
      <c r="T45" s="620">
        <f t="shared" si="41"/>
        <v>0</v>
      </c>
      <c r="U45" s="667"/>
      <c r="V45" s="652">
        <v>1</v>
      </c>
      <c r="W45" s="653">
        <v>344460</v>
      </c>
      <c r="X45" s="668" t="s">
        <v>213</v>
      </c>
      <c r="Y45" s="658">
        <f t="shared" si="27"/>
        <v>0</v>
      </c>
      <c r="Z45" s="658">
        <f t="shared" si="28"/>
        <v>0</v>
      </c>
      <c r="AA45" s="658">
        <f t="shared" si="29"/>
        <v>0</v>
      </c>
      <c r="AB45" s="658">
        <f t="shared" si="30"/>
        <v>0</v>
      </c>
      <c r="AC45" s="658">
        <f t="shared" si="31"/>
        <v>0</v>
      </c>
      <c r="AD45" s="658">
        <f t="shared" si="32"/>
        <v>0</v>
      </c>
      <c r="AE45" s="667"/>
      <c r="AF45" s="652">
        <v>1</v>
      </c>
      <c r="AG45" s="669">
        <v>344460</v>
      </c>
      <c r="AH45" s="668" t="s">
        <v>213</v>
      </c>
      <c r="AI45" s="658">
        <f t="shared" si="33"/>
        <v>0</v>
      </c>
      <c r="AJ45" s="658">
        <f t="shared" si="34"/>
        <v>0</v>
      </c>
      <c r="AK45" s="658">
        <f t="shared" si="35"/>
        <v>0</v>
      </c>
      <c r="AL45" s="658">
        <f t="shared" si="36"/>
        <v>0</v>
      </c>
      <c r="AM45" s="658">
        <f t="shared" si="37"/>
        <v>0</v>
      </c>
      <c r="AN45" s="658">
        <f t="shared" si="38"/>
        <v>0</v>
      </c>
    </row>
    <row r="46" spans="1:40" ht="12.75">
      <c r="A46" s="614"/>
      <c r="B46" s="617">
        <v>10</v>
      </c>
      <c r="C46" s="186">
        <v>344134</v>
      </c>
      <c r="D46" s="641" t="s">
        <v>214</v>
      </c>
      <c r="E46" s="620">
        <v>0.1</v>
      </c>
      <c r="F46" s="620">
        <v>0</v>
      </c>
      <c r="G46" s="620">
        <f t="shared" si="21"/>
        <v>0.1</v>
      </c>
      <c r="H46" s="620">
        <f t="shared" si="22"/>
        <v>0</v>
      </c>
      <c r="I46" s="620">
        <f t="shared" si="23"/>
        <v>0.1</v>
      </c>
      <c r="J46" s="620">
        <f t="shared" si="24"/>
        <v>0</v>
      </c>
      <c r="K46" s="617"/>
      <c r="L46" s="617">
        <v>15</v>
      </c>
      <c r="M46" s="625">
        <v>344444</v>
      </c>
      <c r="N46" s="641" t="s">
        <v>221</v>
      </c>
      <c r="O46" s="640">
        <v>0.2</v>
      </c>
      <c r="P46" s="620">
        <v>0</v>
      </c>
      <c r="Q46" s="620">
        <f t="shared" si="40"/>
        <v>0.2</v>
      </c>
      <c r="R46" s="638">
        <f t="shared" si="40"/>
        <v>0</v>
      </c>
      <c r="S46" s="620">
        <f t="shared" si="41"/>
        <v>0.2</v>
      </c>
      <c r="T46" s="620">
        <f t="shared" si="41"/>
        <v>0</v>
      </c>
      <c r="U46" s="667"/>
      <c r="V46" s="652">
        <v>10</v>
      </c>
      <c r="W46" s="653">
        <v>344134</v>
      </c>
      <c r="X46" s="668" t="s">
        <v>214</v>
      </c>
      <c r="Y46" s="658">
        <f t="shared" si="27"/>
        <v>2.54</v>
      </c>
      <c r="Z46" s="658">
        <f t="shared" si="28"/>
        <v>0</v>
      </c>
      <c r="AA46" s="658">
        <f t="shared" si="29"/>
        <v>2.54</v>
      </c>
      <c r="AB46" s="658">
        <f t="shared" si="30"/>
        <v>0</v>
      </c>
      <c r="AC46" s="658">
        <f t="shared" si="31"/>
        <v>2.54</v>
      </c>
      <c r="AD46" s="658">
        <f t="shared" si="32"/>
        <v>0</v>
      </c>
      <c r="AE46" s="667"/>
      <c r="AF46" s="652">
        <v>15</v>
      </c>
      <c r="AG46" s="669">
        <v>344444</v>
      </c>
      <c r="AH46" s="668" t="s">
        <v>221</v>
      </c>
      <c r="AI46" s="658">
        <f t="shared" si="33"/>
        <v>5.08</v>
      </c>
      <c r="AJ46" s="658">
        <f t="shared" si="34"/>
        <v>0</v>
      </c>
      <c r="AK46" s="658">
        <f t="shared" si="35"/>
        <v>5.08</v>
      </c>
      <c r="AL46" s="658">
        <f t="shared" si="36"/>
        <v>0</v>
      </c>
      <c r="AM46" s="658">
        <f t="shared" si="37"/>
        <v>5.08</v>
      </c>
      <c r="AN46" s="658">
        <f t="shared" si="38"/>
        <v>0</v>
      </c>
    </row>
    <row r="47" spans="1:40" ht="12.75">
      <c r="A47" s="614"/>
      <c r="B47" s="617">
        <v>11</v>
      </c>
      <c r="C47" s="186"/>
      <c r="D47" s="641" t="s">
        <v>215</v>
      </c>
      <c r="E47" s="620">
        <v>16.8</v>
      </c>
      <c r="F47" s="620">
        <v>0</v>
      </c>
      <c r="G47" s="620">
        <f t="shared" si="21"/>
        <v>16.8</v>
      </c>
      <c r="H47" s="620">
        <f t="shared" si="22"/>
        <v>0</v>
      </c>
      <c r="I47" s="620">
        <f t="shared" si="23"/>
        <v>16.8</v>
      </c>
      <c r="J47" s="620">
        <f t="shared" si="24"/>
        <v>0</v>
      </c>
      <c r="K47" s="617"/>
      <c r="L47" s="617">
        <v>16</v>
      </c>
      <c r="M47" s="625"/>
      <c r="N47" s="641" t="s">
        <v>222</v>
      </c>
      <c r="O47" s="640">
        <v>0</v>
      </c>
      <c r="P47" s="620">
        <v>0</v>
      </c>
      <c r="Q47" s="620">
        <f t="shared" si="40"/>
        <v>0</v>
      </c>
      <c r="R47" s="638">
        <f t="shared" si="40"/>
        <v>0</v>
      </c>
      <c r="S47" s="620">
        <f t="shared" si="41"/>
        <v>0</v>
      </c>
      <c r="T47" s="620">
        <f t="shared" si="41"/>
        <v>0</v>
      </c>
      <c r="U47" s="667"/>
      <c r="V47" s="652">
        <v>11</v>
      </c>
      <c r="W47" s="653"/>
      <c r="X47" s="668" t="s">
        <v>215</v>
      </c>
      <c r="Y47" s="658">
        <f t="shared" si="27"/>
        <v>426.71999999999997</v>
      </c>
      <c r="Z47" s="658">
        <f t="shared" si="28"/>
        <v>0</v>
      </c>
      <c r="AA47" s="658">
        <f t="shared" si="29"/>
        <v>426.71999999999997</v>
      </c>
      <c r="AB47" s="658">
        <f t="shared" si="30"/>
        <v>0</v>
      </c>
      <c r="AC47" s="658">
        <f t="shared" si="31"/>
        <v>426.71999999999997</v>
      </c>
      <c r="AD47" s="658">
        <f t="shared" si="32"/>
        <v>0</v>
      </c>
      <c r="AE47" s="667"/>
      <c r="AF47" s="652">
        <v>16</v>
      </c>
      <c r="AG47" s="669"/>
      <c r="AH47" s="668" t="s">
        <v>222</v>
      </c>
      <c r="AI47" s="658">
        <f t="shared" si="33"/>
        <v>0</v>
      </c>
      <c r="AJ47" s="658">
        <f t="shared" si="34"/>
        <v>0</v>
      </c>
      <c r="AK47" s="658">
        <f t="shared" si="35"/>
        <v>0</v>
      </c>
      <c r="AL47" s="658">
        <f t="shared" si="36"/>
        <v>0</v>
      </c>
      <c r="AM47" s="658">
        <f t="shared" si="37"/>
        <v>0</v>
      </c>
      <c r="AN47" s="658">
        <f t="shared" si="38"/>
        <v>0</v>
      </c>
    </row>
    <row r="48" spans="1:40" ht="12.75">
      <c r="A48" s="614"/>
      <c r="B48" s="617">
        <v>12</v>
      </c>
      <c r="C48" s="186"/>
      <c r="D48" s="641" t="s">
        <v>219</v>
      </c>
      <c r="E48" s="620">
        <v>-0.67</v>
      </c>
      <c r="F48" s="620">
        <v>0</v>
      </c>
      <c r="G48" s="620">
        <f t="shared" si="21"/>
        <v>-0.67</v>
      </c>
      <c r="H48" s="620">
        <f t="shared" si="22"/>
        <v>0</v>
      </c>
      <c r="I48" s="620">
        <f t="shared" si="23"/>
        <v>-0.67</v>
      </c>
      <c r="J48" s="620">
        <f t="shared" si="24"/>
        <v>0</v>
      </c>
      <c r="K48" s="617"/>
      <c r="L48" s="617">
        <v>17</v>
      </c>
      <c r="M48" s="625"/>
      <c r="N48" s="641" t="s">
        <v>219</v>
      </c>
      <c r="O48" s="640">
        <v>-0.3</v>
      </c>
      <c r="P48" s="620">
        <v>-0.5</v>
      </c>
      <c r="Q48" s="620">
        <f t="shared" si="40"/>
        <v>-0.3</v>
      </c>
      <c r="R48" s="638">
        <f t="shared" si="40"/>
        <v>-0.5</v>
      </c>
      <c r="S48" s="620">
        <f t="shared" si="41"/>
        <v>-0.3</v>
      </c>
      <c r="T48" s="620">
        <f t="shared" si="41"/>
        <v>-0.5</v>
      </c>
      <c r="U48" s="667"/>
      <c r="V48" s="652">
        <v>12</v>
      </c>
      <c r="W48" s="653"/>
      <c r="X48" s="668" t="s">
        <v>219</v>
      </c>
      <c r="Y48" s="658">
        <f t="shared" si="27"/>
        <v>-17.018</v>
      </c>
      <c r="Z48" s="658">
        <f t="shared" si="28"/>
        <v>0</v>
      </c>
      <c r="AA48" s="658">
        <f t="shared" si="29"/>
        <v>-17.018</v>
      </c>
      <c r="AB48" s="658">
        <f t="shared" si="30"/>
        <v>0</v>
      </c>
      <c r="AC48" s="658">
        <f t="shared" si="31"/>
        <v>-17.018</v>
      </c>
      <c r="AD48" s="658">
        <f t="shared" si="32"/>
        <v>0</v>
      </c>
      <c r="AE48" s="667"/>
      <c r="AF48" s="652">
        <v>17</v>
      </c>
      <c r="AG48" s="669"/>
      <c r="AH48" s="668" t="s">
        <v>219</v>
      </c>
      <c r="AI48" s="658">
        <f t="shared" si="33"/>
        <v>-7.619999999999999</v>
      </c>
      <c r="AJ48" s="658">
        <f t="shared" si="34"/>
        <v>-12.7</v>
      </c>
      <c r="AK48" s="658">
        <f t="shared" si="35"/>
        <v>-7.619999999999999</v>
      </c>
      <c r="AL48" s="658">
        <f t="shared" si="36"/>
        <v>-12.7</v>
      </c>
      <c r="AM48" s="658">
        <f t="shared" si="37"/>
        <v>-7.619999999999999</v>
      </c>
      <c r="AN48" s="658">
        <f t="shared" si="38"/>
        <v>-12.7</v>
      </c>
    </row>
    <row r="49" spans="1:40" ht="12.75">
      <c r="A49" s="614"/>
      <c r="B49" s="617"/>
      <c r="C49" s="186"/>
      <c r="D49" s="641"/>
      <c r="E49" s="620"/>
      <c r="F49" s="620"/>
      <c r="G49" s="620"/>
      <c r="H49" s="620"/>
      <c r="I49" s="620"/>
      <c r="J49" s="620"/>
      <c r="K49" s="617"/>
      <c r="L49" s="617"/>
      <c r="M49" s="625"/>
      <c r="N49" s="641"/>
      <c r="O49" s="640"/>
      <c r="P49" s="620"/>
      <c r="Q49" s="620"/>
      <c r="R49" s="638"/>
      <c r="S49" s="620"/>
      <c r="T49" s="620"/>
      <c r="U49" s="667"/>
      <c r="V49" s="652"/>
      <c r="W49" s="653"/>
      <c r="X49" s="668"/>
      <c r="Y49" s="658">
        <f t="shared" si="27"/>
        <v>0</v>
      </c>
      <c r="Z49" s="658">
        <f t="shared" si="28"/>
        <v>0</v>
      </c>
      <c r="AA49" s="658">
        <f t="shared" si="29"/>
        <v>0</v>
      </c>
      <c r="AB49" s="658">
        <f t="shared" si="30"/>
        <v>0</v>
      </c>
      <c r="AC49" s="658">
        <f t="shared" si="31"/>
        <v>0</v>
      </c>
      <c r="AD49" s="658">
        <f t="shared" si="32"/>
        <v>0</v>
      </c>
      <c r="AE49" s="667"/>
      <c r="AF49" s="652"/>
      <c r="AG49" s="669"/>
      <c r="AH49" s="668"/>
      <c r="AI49" s="658">
        <f t="shared" si="33"/>
        <v>0</v>
      </c>
      <c r="AJ49" s="658">
        <f t="shared" si="34"/>
        <v>0</v>
      </c>
      <c r="AK49" s="658">
        <f t="shared" si="35"/>
        <v>0</v>
      </c>
      <c r="AL49" s="658">
        <f t="shared" si="36"/>
        <v>0</v>
      </c>
      <c r="AM49" s="658">
        <f t="shared" si="37"/>
        <v>0</v>
      </c>
      <c r="AN49" s="658">
        <f t="shared" si="38"/>
        <v>0</v>
      </c>
    </row>
    <row r="50" spans="1:40" ht="12.75">
      <c r="A50" s="614" t="s">
        <v>230</v>
      </c>
      <c r="B50" s="617"/>
      <c r="C50" s="186"/>
      <c r="D50" s="641" t="s">
        <v>244</v>
      </c>
      <c r="E50" s="620">
        <f>SUM(E35:E48)</f>
        <v>15.13</v>
      </c>
      <c r="F50" s="620">
        <f>SUM(F35:F48)</f>
        <v>0.7999999999999998</v>
      </c>
      <c r="G50" s="620">
        <f>SUM(G35:G48)</f>
        <v>15.13</v>
      </c>
      <c r="H50" s="620">
        <f>SUM(H35:H48)</f>
        <v>0.7999999999999998</v>
      </c>
      <c r="I50" s="620">
        <f>AVERAGE(E50,G50)</f>
        <v>15.13</v>
      </c>
      <c r="J50" s="620">
        <f>AVERAGE(F50,H50)</f>
        <v>0.7999999999999998</v>
      </c>
      <c r="K50" s="617"/>
      <c r="L50" s="617"/>
      <c r="M50" s="625"/>
      <c r="N50" s="641" t="s">
        <v>244</v>
      </c>
      <c r="O50" s="640">
        <f>SUM(O35:O48)</f>
        <v>11.55</v>
      </c>
      <c r="P50" s="620">
        <f>SUM(P35:P48)</f>
        <v>-0.9000000000000004</v>
      </c>
      <c r="Q50" s="620">
        <f>SUM(Q35:Q48)</f>
        <v>12.649999999999999</v>
      </c>
      <c r="R50" s="638">
        <f>SUM(R35:R48)</f>
        <v>-0.9000000000000004</v>
      </c>
      <c r="S50" s="620">
        <f>AVERAGE(O50,Q50)</f>
        <v>12.1</v>
      </c>
      <c r="T50" s="620">
        <f>AVERAGE(P50,R50)</f>
        <v>-0.9000000000000004</v>
      </c>
      <c r="U50" s="667" t="str">
        <f>A50</f>
        <v>Mech. Model #2</v>
      </c>
      <c r="V50" s="652"/>
      <c r="W50" s="653"/>
      <c r="X50" s="668" t="s">
        <v>205</v>
      </c>
      <c r="Y50" s="658">
        <f t="shared" si="27"/>
        <v>384.302</v>
      </c>
      <c r="Z50" s="658">
        <f t="shared" si="28"/>
        <v>20.319999999999993</v>
      </c>
      <c r="AA50" s="658">
        <f t="shared" si="29"/>
        <v>384.302</v>
      </c>
      <c r="AB50" s="658">
        <f t="shared" si="30"/>
        <v>20.319999999999993</v>
      </c>
      <c r="AC50" s="658">
        <f t="shared" si="31"/>
        <v>384.302</v>
      </c>
      <c r="AD50" s="658">
        <f t="shared" si="32"/>
        <v>20.319999999999993</v>
      </c>
      <c r="AE50" s="667"/>
      <c r="AF50" s="652"/>
      <c r="AG50" s="669"/>
      <c r="AH50" s="668" t="s">
        <v>205</v>
      </c>
      <c r="AI50" s="658">
        <f t="shared" si="33"/>
        <v>293.37</v>
      </c>
      <c r="AJ50" s="658">
        <f t="shared" si="34"/>
        <v>-22.860000000000007</v>
      </c>
      <c r="AK50" s="658">
        <f t="shared" si="35"/>
        <v>321.30999999999995</v>
      </c>
      <c r="AL50" s="658">
        <f t="shared" si="36"/>
        <v>-22.860000000000007</v>
      </c>
      <c r="AM50" s="658">
        <f t="shared" si="37"/>
        <v>307.34</v>
      </c>
      <c r="AN50" s="658">
        <f t="shared" si="38"/>
        <v>-22.860000000000007</v>
      </c>
    </row>
    <row r="51" spans="1:40" ht="12.75">
      <c r="A51" s="614"/>
      <c r="B51" s="617"/>
      <c r="C51" s="186"/>
      <c r="D51" s="641" t="s">
        <v>232</v>
      </c>
      <c r="E51" s="620">
        <v>16.3</v>
      </c>
      <c r="F51" s="620">
        <v>0</v>
      </c>
      <c r="G51" s="620">
        <f>E51</f>
        <v>16.3</v>
      </c>
      <c r="H51" s="620">
        <f>F51</f>
        <v>0</v>
      </c>
      <c r="I51" s="620">
        <f>G51</f>
        <v>16.3</v>
      </c>
      <c r="J51" s="620">
        <f>H51</f>
        <v>0</v>
      </c>
      <c r="K51" s="617"/>
      <c r="L51" s="617"/>
      <c r="M51" s="625"/>
      <c r="N51" s="641" t="s">
        <v>232</v>
      </c>
      <c r="O51" s="640">
        <v>8.4</v>
      </c>
      <c r="P51" s="620">
        <v>0</v>
      </c>
      <c r="Q51" s="620">
        <f>O51</f>
        <v>8.4</v>
      </c>
      <c r="R51" s="620">
        <f>P51</f>
        <v>0</v>
      </c>
      <c r="S51" s="620">
        <f>Q51</f>
        <v>8.4</v>
      </c>
      <c r="T51" s="620">
        <f>R51</f>
        <v>0</v>
      </c>
      <c r="U51" s="667"/>
      <c r="V51" s="652"/>
      <c r="W51" s="653"/>
      <c r="X51" s="668" t="s">
        <v>232</v>
      </c>
      <c r="Y51" s="658">
        <f t="shared" si="27"/>
        <v>414.02</v>
      </c>
      <c r="Z51" s="658">
        <f t="shared" si="28"/>
        <v>0</v>
      </c>
      <c r="AA51" s="658">
        <f t="shared" si="29"/>
        <v>414.02</v>
      </c>
      <c r="AB51" s="658">
        <f t="shared" si="30"/>
        <v>0</v>
      </c>
      <c r="AC51" s="658">
        <f t="shared" si="31"/>
        <v>414.02</v>
      </c>
      <c r="AD51" s="658">
        <f t="shared" si="32"/>
        <v>0</v>
      </c>
      <c r="AE51" s="667"/>
      <c r="AF51" s="652"/>
      <c r="AG51" s="669"/>
      <c r="AH51" s="668" t="s">
        <v>232</v>
      </c>
      <c r="AI51" s="658">
        <f t="shared" si="33"/>
        <v>213.35999999999999</v>
      </c>
      <c r="AJ51" s="658">
        <f t="shared" si="34"/>
        <v>0</v>
      </c>
      <c r="AK51" s="658">
        <f t="shared" si="35"/>
        <v>213.35999999999999</v>
      </c>
      <c r="AL51" s="658">
        <f t="shared" si="36"/>
        <v>0</v>
      </c>
      <c r="AM51" s="658">
        <f t="shared" si="37"/>
        <v>213.35999999999999</v>
      </c>
      <c r="AN51" s="658">
        <f t="shared" si="38"/>
        <v>0</v>
      </c>
    </row>
    <row r="52" spans="1:40" ht="12.75">
      <c r="A52" s="614"/>
      <c r="B52" s="617"/>
      <c r="C52" s="186"/>
      <c r="D52" s="641"/>
      <c r="E52" s="620"/>
      <c r="F52" s="620"/>
      <c r="G52" s="620"/>
      <c r="H52" s="620"/>
      <c r="I52" s="620"/>
      <c r="J52" s="620"/>
      <c r="K52" s="617"/>
      <c r="L52" s="617"/>
      <c r="M52" s="625"/>
      <c r="N52" s="641"/>
      <c r="O52" s="640"/>
      <c r="P52" s="620"/>
      <c r="Q52" s="620"/>
      <c r="R52" s="638"/>
      <c r="S52" s="614"/>
      <c r="T52" s="614"/>
      <c r="U52" s="667"/>
      <c r="V52" s="652"/>
      <c r="W52" s="653"/>
      <c r="X52" s="668"/>
      <c r="Y52" s="670"/>
      <c r="Z52" s="670"/>
      <c r="AA52" s="670"/>
      <c r="AB52" s="670"/>
      <c r="AC52" s="670"/>
      <c r="AD52" s="670"/>
      <c r="AE52" s="667"/>
      <c r="AF52" s="652"/>
      <c r="AG52" s="669"/>
      <c r="AH52" s="668"/>
      <c r="AI52" s="670"/>
      <c r="AJ52" s="670"/>
      <c r="AK52" s="670"/>
      <c r="AL52" s="670"/>
      <c r="AM52" s="670"/>
      <c r="AN52" s="670"/>
    </row>
    <row r="53" spans="1:40" ht="12.75">
      <c r="A53" s="614"/>
      <c r="B53" s="617"/>
      <c r="C53" s="186"/>
      <c r="D53" s="641" t="s">
        <v>235</v>
      </c>
      <c r="E53" s="620"/>
      <c r="F53" s="620"/>
      <c r="G53" s="620"/>
      <c r="H53" s="620"/>
      <c r="I53" s="620">
        <v>-0.5</v>
      </c>
      <c r="J53" s="620"/>
      <c r="K53" s="617"/>
      <c r="L53" s="617"/>
      <c r="M53" s="625"/>
      <c r="N53" s="641" t="s">
        <v>237</v>
      </c>
      <c r="O53" s="640"/>
      <c r="P53" s="620"/>
      <c r="Q53" s="620"/>
      <c r="R53" s="638"/>
      <c r="S53" s="614">
        <v>-0.5</v>
      </c>
      <c r="T53" s="614"/>
      <c r="U53" s="667"/>
      <c r="V53" s="652"/>
      <c r="W53" s="653"/>
      <c r="X53" s="668" t="str">
        <f>D53</f>
        <v>Beam gauge # I-007</v>
      </c>
      <c r="Y53" s="670"/>
      <c r="Z53" s="670"/>
      <c r="AA53" s="670"/>
      <c r="AB53" s="670"/>
      <c r="AC53" s="658">
        <f>I53*25.4</f>
        <v>-12.7</v>
      </c>
      <c r="AD53" s="670"/>
      <c r="AE53" s="667"/>
      <c r="AF53" s="652"/>
      <c r="AG53" s="669"/>
      <c r="AH53" s="668" t="str">
        <f>N53</f>
        <v>Beam gauge # I-001</v>
      </c>
      <c r="AI53" s="670"/>
      <c r="AJ53" s="670"/>
      <c r="AK53" s="670"/>
      <c r="AL53" s="670"/>
      <c r="AM53" s="658">
        <f>S53*25.4</f>
        <v>-12.7</v>
      </c>
      <c r="AN53" s="670"/>
    </row>
    <row r="54" spans="1:40" ht="12.75">
      <c r="A54" s="614"/>
      <c r="B54" s="617"/>
      <c r="C54" s="186"/>
      <c r="D54" s="641" t="s">
        <v>236</v>
      </c>
      <c r="E54" s="620"/>
      <c r="F54" s="620"/>
      <c r="G54" s="620"/>
      <c r="H54" s="620"/>
      <c r="I54" s="620">
        <v>0.5</v>
      </c>
      <c r="J54" s="620"/>
      <c r="K54" s="617"/>
      <c r="L54" s="617"/>
      <c r="M54" s="625"/>
      <c r="N54" s="641" t="s">
        <v>238</v>
      </c>
      <c r="O54" s="640"/>
      <c r="P54" s="620"/>
      <c r="Q54" s="620"/>
      <c r="R54" s="638"/>
      <c r="S54" s="614">
        <v>-0.5</v>
      </c>
      <c r="T54" s="614"/>
      <c r="U54" s="667"/>
      <c r="V54" s="652"/>
      <c r="W54" s="653"/>
      <c r="X54" s="668" t="str">
        <f>D54</f>
        <v>Beam gauge # I-008</v>
      </c>
      <c r="Y54" s="670"/>
      <c r="Z54" s="670"/>
      <c r="AA54" s="670"/>
      <c r="AB54" s="670"/>
      <c r="AC54" s="658">
        <f>I54*25.4</f>
        <v>12.7</v>
      </c>
      <c r="AD54" s="670"/>
      <c r="AE54" s="667"/>
      <c r="AF54" s="652"/>
      <c r="AG54" s="669"/>
      <c r="AH54" s="668" t="str">
        <f>N54</f>
        <v>Beam gauge # I-002</v>
      </c>
      <c r="AI54" s="670"/>
      <c r="AJ54" s="670"/>
      <c r="AK54" s="670"/>
      <c r="AL54" s="670"/>
      <c r="AM54" s="658">
        <f>S54*25.4</f>
        <v>-12.7</v>
      </c>
      <c r="AN54" s="670"/>
    </row>
    <row r="55" spans="1:40" ht="12.75">
      <c r="A55" s="614"/>
      <c r="B55" s="617"/>
      <c r="C55" s="186"/>
      <c r="D55" s="641" t="s">
        <v>233</v>
      </c>
      <c r="E55" s="620"/>
      <c r="F55" s="620"/>
      <c r="G55" s="620"/>
      <c r="H55" s="620"/>
      <c r="I55" s="620">
        <v>0</v>
      </c>
      <c r="J55" s="620"/>
      <c r="K55" s="617"/>
      <c r="L55" s="617"/>
      <c r="M55" s="625"/>
      <c r="N55" s="641" t="s">
        <v>239</v>
      </c>
      <c r="O55" s="640"/>
      <c r="P55" s="620"/>
      <c r="Q55" s="620"/>
      <c r="R55" s="638"/>
      <c r="S55" s="614">
        <v>0.15</v>
      </c>
      <c r="T55" s="614"/>
      <c r="U55" s="667"/>
      <c r="V55" s="652"/>
      <c r="W55" s="653"/>
      <c r="X55" s="668" t="str">
        <f>D55</f>
        <v>Capacitance gauge # 11</v>
      </c>
      <c r="Y55" s="670"/>
      <c r="Z55" s="670"/>
      <c r="AA55" s="670"/>
      <c r="AB55" s="670"/>
      <c r="AC55" s="658">
        <f>I55*25.4</f>
        <v>0</v>
      </c>
      <c r="AD55" s="670"/>
      <c r="AE55" s="667"/>
      <c r="AF55" s="652"/>
      <c r="AG55" s="669"/>
      <c r="AH55" s="668" t="str">
        <f>N55</f>
        <v>Capacitance gauge # 15</v>
      </c>
      <c r="AI55" s="670"/>
      <c r="AJ55" s="670"/>
      <c r="AK55" s="670"/>
      <c r="AL55" s="670"/>
      <c r="AM55" s="658">
        <f>S55*25.4</f>
        <v>3.8099999999999996</v>
      </c>
      <c r="AN55" s="670"/>
    </row>
    <row r="56" spans="1:40" ht="12.75">
      <c r="A56" s="614"/>
      <c r="B56" s="617"/>
      <c r="C56" s="186"/>
      <c r="D56" s="641" t="s">
        <v>234</v>
      </c>
      <c r="E56" s="620"/>
      <c r="F56" s="620"/>
      <c r="G56" s="620"/>
      <c r="H56" s="620"/>
      <c r="I56" s="620">
        <v>0.2</v>
      </c>
      <c r="J56" s="620"/>
      <c r="K56" s="617"/>
      <c r="L56" s="617"/>
      <c r="M56" s="625"/>
      <c r="N56" s="641" t="s">
        <v>240</v>
      </c>
      <c r="O56" s="640"/>
      <c r="P56" s="620"/>
      <c r="Q56" s="620"/>
      <c r="R56" s="638"/>
      <c r="S56" s="614">
        <v>0</v>
      </c>
      <c r="T56" s="614"/>
      <c r="U56" s="667"/>
      <c r="V56" s="652"/>
      <c r="W56" s="653"/>
      <c r="X56" s="668" t="str">
        <f>D56</f>
        <v>Capacitance gauge # 14</v>
      </c>
      <c r="Y56" s="670"/>
      <c r="Z56" s="670"/>
      <c r="AA56" s="670"/>
      <c r="AB56" s="670"/>
      <c r="AC56" s="658">
        <f>I56*25.4</f>
        <v>5.08</v>
      </c>
      <c r="AD56" s="670"/>
      <c r="AE56" s="667"/>
      <c r="AF56" s="652"/>
      <c r="AG56" s="669"/>
      <c r="AH56" s="668" t="str">
        <f>N56</f>
        <v>Capacitance gauge # 16</v>
      </c>
      <c r="AI56" s="670"/>
      <c r="AJ56" s="670"/>
      <c r="AK56" s="670"/>
      <c r="AL56" s="670"/>
      <c r="AM56" s="658">
        <f>S56*25.4</f>
        <v>0</v>
      </c>
      <c r="AN56" s="670"/>
    </row>
    <row r="57" spans="1:40" ht="12.75">
      <c r="A57" s="614"/>
      <c r="B57" s="617"/>
      <c r="C57" s="186"/>
      <c r="D57" s="641"/>
      <c r="E57" s="620"/>
      <c r="F57" s="620"/>
      <c r="G57" s="620"/>
      <c r="H57" s="620"/>
      <c r="I57" s="620"/>
      <c r="J57" s="620"/>
      <c r="K57" s="617"/>
      <c r="L57" s="617"/>
      <c r="M57" s="625"/>
      <c r="N57" s="641"/>
      <c r="O57" s="640"/>
      <c r="P57" s="620"/>
      <c r="Q57" s="620"/>
      <c r="R57" s="638"/>
      <c r="S57" s="614"/>
      <c r="T57" s="614"/>
      <c r="U57" s="667"/>
      <c r="V57" s="652"/>
      <c r="W57" s="653"/>
      <c r="X57" s="668"/>
      <c r="Y57" s="670"/>
      <c r="Z57" s="670"/>
      <c r="AA57" s="670"/>
      <c r="AB57" s="670"/>
      <c r="AC57" s="670"/>
      <c r="AD57" s="670"/>
      <c r="AE57" s="667"/>
      <c r="AF57" s="652"/>
      <c r="AG57" s="669"/>
      <c r="AH57" s="668"/>
      <c r="AI57" s="670"/>
      <c r="AJ57" s="670"/>
      <c r="AK57" s="670"/>
      <c r="AL57" s="670"/>
      <c r="AM57" s="670"/>
      <c r="AN57" s="670"/>
    </row>
    <row r="58" spans="1:40" ht="12.75">
      <c r="A58" s="645"/>
      <c r="B58" s="618"/>
      <c r="C58" s="619"/>
      <c r="D58" s="644" t="s">
        <v>243</v>
      </c>
      <c r="E58" s="621"/>
      <c r="F58" s="621"/>
      <c r="G58" s="621"/>
      <c r="H58" s="621"/>
      <c r="I58" s="621"/>
      <c r="J58" s="621"/>
      <c r="K58" s="618"/>
      <c r="L58" s="643"/>
      <c r="M58" s="627"/>
      <c r="N58" s="644" t="s">
        <v>245</v>
      </c>
      <c r="O58" s="679"/>
      <c r="P58" s="621"/>
      <c r="Q58" s="621"/>
      <c r="R58" s="639"/>
      <c r="S58" s="645"/>
      <c r="T58" s="645"/>
      <c r="U58" s="671"/>
      <c r="V58" s="672"/>
      <c r="W58" s="673"/>
      <c r="X58" s="674" t="str">
        <f>D58</f>
        <v>* actual may be less 0.5 mils, from adhesive loss</v>
      </c>
      <c r="Y58" s="675"/>
      <c r="Z58" s="675"/>
      <c r="AA58" s="675"/>
      <c r="AB58" s="675"/>
      <c r="AC58" s="675"/>
      <c r="AD58" s="675"/>
      <c r="AE58" s="671"/>
      <c r="AF58" s="672"/>
      <c r="AG58" s="676"/>
      <c r="AH58" s="674" t="str">
        <f>N58</f>
        <v>* actual may be less 5.0 mils (max) to 1.5 mils (average) from compression of bearing strips</v>
      </c>
      <c r="AI58" s="675"/>
      <c r="AJ58" s="675"/>
      <c r="AK58" s="675"/>
      <c r="AL58" s="675"/>
      <c r="AM58" s="675"/>
      <c r="AN58" s="675"/>
    </row>
    <row r="59" spans="1:40" ht="12.75">
      <c r="A59" s="613"/>
      <c r="B59" s="615"/>
      <c r="C59" s="397"/>
      <c r="D59" s="642"/>
      <c r="E59" s="623"/>
      <c r="F59" s="623"/>
      <c r="G59" s="623"/>
      <c r="H59" s="623"/>
      <c r="I59" s="623"/>
      <c r="J59" s="623"/>
      <c r="K59" s="613"/>
      <c r="L59" s="617"/>
      <c r="M59" s="625"/>
      <c r="N59" s="607"/>
      <c r="O59" s="623"/>
      <c r="P59" s="623"/>
      <c r="Q59" s="623"/>
      <c r="R59" s="637"/>
      <c r="S59" s="623"/>
      <c r="T59" s="623"/>
      <c r="U59" s="660"/>
      <c r="V59" s="649"/>
      <c r="W59" s="661"/>
      <c r="X59" s="662"/>
      <c r="Y59" s="663"/>
      <c r="Z59" s="663"/>
      <c r="AA59" s="663"/>
      <c r="AB59" s="663"/>
      <c r="AC59" s="663"/>
      <c r="AD59" s="663"/>
      <c r="AE59" s="660"/>
      <c r="AF59" s="649"/>
      <c r="AG59" s="664"/>
      <c r="AH59" s="665"/>
      <c r="AI59" s="663"/>
      <c r="AJ59" s="663"/>
      <c r="AK59" s="663"/>
      <c r="AL59" s="666"/>
      <c r="AM59" s="663"/>
      <c r="AN59" s="663"/>
    </row>
    <row r="60" spans="1:40" ht="12.75">
      <c r="A60" s="614"/>
      <c r="B60" s="617">
        <v>13</v>
      </c>
      <c r="C60" s="186"/>
      <c r="D60" s="641" t="s">
        <v>206</v>
      </c>
      <c r="E60" s="620">
        <v>-4</v>
      </c>
      <c r="F60" s="620">
        <v>0</v>
      </c>
      <c r="G60" s="620">
        <f aca="true" t="shared" si="42" ref="G60:G73">E60</f>
        <v>-4</v>
      </c>
      <c r="H60" s="620">
        <f aca="true" t="shared" si="43" ref="H60:H73">F60</f>
        <v>0</v>
      </c>
      <c r="I60" s="620">
        <f aca="true" t="shared" si="44" ref="I60:I73">AVERAGE(E60,G60)</f>
        <v>-4</v>
      </c>
      <c r="J60" s="620">
        <f aca="true" t="shared" si="45" ref="J60:J73">AVERAGE(F60,H60)</f>
        <v>0</v>
      </c>
      <c r="K60" s="614"/>
      <c r="L60" s="617">
        <v>18</v>
      </c>
      <c r="M60" s="625"/>
      <c r="N60" s="641" t="s">
        <v>206</v>
      </c>
      <c r="O60" s="620">
        <v>11.7</v>
      </c>
      <c r="P60" s="620">
        <v>0</v>
      </c>
      <c r="Q60" s="620">
        <v>12.7</v>
      </c>
      <c r="R60" s="638">
        <f aca="true" t="shared" si="46" ref="R60:R66">P60</f>
        <v>0</v>
      </c>
      <c r="S60" s="620">
        <f aca="true" t="shared" si="47" ref="S60:T66">AVERAGE(O60,Q60)</f>
        <v>12.2</v>
      </c>
      <c r="T60" s="620">
        <f t="shared" si="47"/>
        <v>0</v>
      </c>
      <c r="U60" s="667"/>
      <c r="V60" s="652">
        <v>13</v>
      </c>
      <c r="W60" s="653"/>
      <c r="X60" s="668" t="s">
        <v>206</v>
      </c>
      <c r="Y60" s="658">
        <f aca="true" t="shared" si="48" ref="Y60:Y76">E60*25.4</f>
        <v>-101.6</v>
      </c>
      <c r="Z60" s="658">
        <f aca="true" t="shared" si="49" ref="Z60:Z76">F60*25.4</f>
        <v>0</v>
      </c>
      <c r="AA60" s="658">
        <f aca="true" t="shared" si="50" ref="AA60:AA76">G60*25.4</f>
        <v>-101.6</v>
      </c>
      <c r="AB60" s="658">
        <f aca="true" t="shared" si="51" ref="AB60:AB76">H60*25.4</f>
        <v>0</v>
      </c>
      <c r="AC60" s="658">
        <f aca="true" t="shared" si="52" ref="AC60:AC76">I60*25.4</f>
        <v>-101.6</v>
      </c>
      <c r="AD60" s="658">
        <f aca="true" t="shared" si="53" ref="AD60:AD76">J60*25.4</f>
        <v>0</v>
      </c>
      <c r="AE60" s="667"/>
      <c r="AF60" s="652">
        <v>18</v>
      </c>
      <c r="AG60" s="669"/>
      <c r="AH60" s="668" t="s">
        <v>206</v>
      </c>
      <c r="AI60" s="658">
        <f aca="true" t="shared" si="54" ref="AI60:AI76">O60*25.4</f>
        <v>297.17999999999995</v>
      </c>
      <c r="AJ60" s="658">
        <f aca="true" t="shared" si="55" ref="AJ60:AJ76">P60*25.4</f>
        <v>0</v>
      </c>
      <c r="AK60" s="658">
        <f aca="true" t="shared" si="56" ref="AK60:AK76">Q60*25.4</f>
        <v>322.58</v>
      </c>
      <c r="AL60" s="658">
        <f aca="true" t="shared" si="57" ref="AL60:AL76">R60*25.4</f>
        <v>0</v>
      </c>
      <c r="AM60" s="658">
        <f aca="true" t="shared" si="58" ref="AM60:AM76">S60*25.4</f>
        <v>309.87999999999994</v>
      </c>
      <c r="AN60" s="658">
        <f aca="true" t="shared" si="59" ref="AN60:AN76">T60*25.4</f>
        <v>0</v>
      </c>
    </row>
    <row r="61" spans="1:40" ht="12.75">
      <c r="A61" s="614"/>
      <c r="B61" s="617">
        <v>14</v>
      </c>
      <c r="C61" s="186"/>
      <c r="D61" s="641" t="s">
        <v>216</v>
      </c>
      <c r="E61" s="620">
        <v>0</v>
      </c>
      <c r="F61" s="620">
        <v>0</v>
      </c>
      <c r="G61" s="620">
        <f t="shared" si="42"/>
        <v>0</v>
      </c>
      <c r="H61" s="620">
        <f t="shared" si="43"/>
        <v>0</v>
      </c>
      <c r="I61" s="620">
        <f t="shared" si="44"/>
        <v>0</v>
      </c>
      <c r="J61" s="620">
        <f t="shared" si="45"/>
        <v>0</v>
      </c>
      <c r="K61" s="614"/>
      <c r="L61" s="617">
        <v>19</v>
      </c>
      <c r="M61" s="625"/>
      <c r="N61" s="641" t="s">
        <v>216</v>
      </c>
      <c r="O61" s="620">
        <v>0</v>
      </c>
      <c r="P61" s="620">
        <v>0</v>
      </c>
      <c r="Q61" s="620">
        <f aca="true" t="shared" si="60" ref="Q61:Q66">O61</f>
        <v>0</v>
      </c>
      <c r="R61" s="638">
        <f t="shared" si="46"/>
        <v>0</v>
      </c>
      <c r="S61" s="620">
        <f t="shared" si="47"/>
        <v>0</v>
      </c>
      <c r="T61" s="620">
        <f t="shared" si="47"/>
        <v>0</v>
      </c>
      <c r="U61" s="667"/>
      <c r="V61" s="652">
        <v>14</v>
      </c>
      <c r="W61" s="653"/>
      <c r="X61" s="668" t="s">
        <v>216</v>
      </c>
      <c r="Y61" s="658">
        <f t="shared" si="48"/>
        <v>0</v>
      </c>
      <c r="Z61" s="658">
        <f t="shared" si="49"/>
        <v>0</v>
      </c>
      <c r="AA61" s="658">
        <f t="shared" si="50"/>
        <v>0</v>
      </c>
      <c r="AB61" s="658">
        <f t="shared" si="51"/>
        <v>0</v>
      </c>
      <c r="AC61" s="658">
        <f t="shared" si="52"/>
        <v>0</v>
      </c>
      <c r="AD61" s="658">
        <f t="shared" si="53"/>
        <v>0</v>
      </c>
      <c r="AE61" s="667"/>
      <c r="AF61" s="652">
        <v>19</v>
      </c>
      <c r="AG61" s="669"/>
      <c r="AH61" s="668" t="s">
        <v>216</v>
      </c>
      <c r="AI61" s="658">
        <f t="shared" si="54"/>
        <v>0</v>
      </c>
      <c r="AJ61" s="658">
        <f t="shared" si="55"/>
        <v>0</v>
      </c>
      <c r="AK61" s="658">
        <f t="shared" si="56"/>
        <v>0</v>
      </c>
      <c r="AL61" s="658">
        <f t="shared" si="57"/>
        <v>0</v>
      </c>
      <c r="AM61" s="658">
        <f t="shared" si="58"/>
        <v>0</v>
      </c>
      <c r="AN61" s="658">
        <f t="shared" si="59"/>
        <v>0</v>
      </c>
    </row>
    <row r="62" spans="1:40" ht="12.75">
      <c r="A62" s="614"/>
      <c r="B62" s="617">
        <v>7</v>
      </c>
      <c r="C62" s="186">
        <v>344464</v>
      </c>
      <c r="D62" s="641" t="s">
        <v>207</v>
      </c>
      <c r="E62" s="620">
        <v>-3</v>
      </c>
      <c r="F62" s="620">
        <v>0</v>
      </c>
      <c r="G62" s="620">
        <f t="shared" si="42"/>
        <v>-3</v>
      </c>
      <c r="H62" s="620">
        <f t="shared" si="43"/>
        <v>0</v>
      </c>
      <c r="I62" s="620">
        <f t="shared" si="44"/>
        <v>-3</v>
      </c>
      <c r="J62" s="620">
        <f t="shared" si="45"/>
        <v>0</v>
      </c>
      <c r="K62" s="614"/>
      <c r="L62" s="617">
        <v>4</v>
      </c>
      <c r="M62" s="625">
        <v>344464</v>
      </c>
      <c r="N62" s="641" t="s">
        <v>207</v>
      </c>
      <c r="O62" s="620">
        <v>-3</v>
      </c>
      <c r="P62" s="620">
        <v>-3</v>
      </c>
      <c r="Q62" s="620">
        <f t="shared" si="60"/>
        <v>-3</v>
      </c>
      <c r="R62" s="638">
        <f t="shared" si="46"/>
        <v>-3</v>
      </c>
      <c r="S62" s="620">
        <f t="shared" si="47"/>
        <v>-3</v>
      </c>
      <c r="T62" s="620">
        <f t="shared" si="47"/>
        <v>-3</v>
      </c>
      <c r="U62" s="667"/>
      <c r="V62" s="652">
        <v>7</v>
      </c>
      <c r="W62" s="653">
        <v>344464</v>
      </c>
      <c r="X62" s="668" t="s">
        <v>207</v>
      </c>
      <c r="Y62" s="658">
        <f t="shared" si="48"/>
        <v>-76.19999999999999</v>
      </c>
      <c r="Z62" s="658">
        <f t="shared" si="49"/>
        <v>0</v>
      </c>
      <c r="AA62" s="658">
        <f t="shared" si="50"/>
        <v>-76.19999999999999</v>
      </c>
      <c r="AB62" s="658">
        <f t="shared" si="51"/>
        <v>0</v>
      </c>
      <c r="AC62" s="658">
        <f t="shared" si="52"/>
        <v>-76.19999999999999</v>
      </c>
      <c r="AD62" s="658">
        <f t="shared" si="53"/>
        <v>0</v>
      </c>
      <c r="AE62" s="667"/>
      <c r="AF62" s="652">
        <v>4</v>
      </c>
      <c r="AG62" s="669">
        <v>344464</v>
      </c>
      <c r="AH62" s="668" t="s">
        <v>207</v>
      </c>
      <c r="AI62" s="658">
        <f t="shared" si="54"/>
        <v>-76.19999999999999</v>
      </c>
      <c r="AJ62" s="658">
        <f t="shared" si="55"/>
        <v>-76.19999999999999</v>
      </c>
      <c r="AK62" s="658">
        <f t="shared" si="56"/>
        <v>-76.19999999999999</v>
      </c>
      <c r="AL62" s="658">
        <f t="shared" si="57"/>
        <v>-76.19999999999999</v>
      </c>
      <c r="AM62" s="658">
        <f t="shared" si="58"/>
        <v>-76.19999999999999</v>
      </c>
      <c r="AN62" s="658">
        <f t="shared" si="59"/>
        <v>-76.19999999999999</v>
      </c>
    </row>
    <row r="63" spans="1:40" ht="12.75">
      <c r="A63" s="614"/>
      <c r="B63" s="617"/>
      <c r="C63" s="186">
        <v>344469</v>
      </c>
      <c r="D63" s="641" t="s">
        <v>210</v>
      </c>
      <c r="E63" s="620">
        <v>-3</v>
      </c>
      <c r="F63" s="620">
        <v>-3</v>
      </c>
      <c r="G63" s="620">
        <f t="shared" si="42"/>
        <v>-3</v>
      </c>
      <c r="H63" s="620">
        <f t="shared" si="43"/>
        <v>-3</v>
      </c>
      <c r="I63" s="620">
        <f t="shared" si="44"/>
        <v>-3</v>
      </c>
      <c r="J63" s="620">
        <f t="shared" si="45"/>
        <v>-3</v>
      </c>
      <c r="K63" s="614"/>
      <c r="L63" s="617">
        <v>4</v>
      </c>
      <c r="M63" s="625">
        <v>344464</v>
      </c>
      <c r="N63" s="641" t="s">
        <v>210</v>
      </c>
      <c r="O63" s="620">
        <v>-3</v>
      </c>
      <c r="P63" s="620">
        <v>-3</v>
      </c>
      <c r="Q63" s="620">
        <f t="shared" si="60"/>
        <v>-3</v>
      </c>
      <c r="R63" s="638">
        <f t="shared" si="46"/>
        <v>-3</v>
      </c>
      <c r="S63" s="620">
        <f t="shared" si="47"/>
        <v>-3</v>
      </c>
      <c r="T63" s="620">
        <f t="shared" si="47"/>
        <v>-3</v>
      </c>
      <c r="U63" s="667"/>
      <c r="V63" s="652"/>
      <c r="W63" s="653">
        <v>344469</v>
      </c>
      <c r="X63" s="668" t="s">
        <v>210</v>
      </c>
      <c r="Y63" s="658">
        <f t="shared" si="48"/>
        <v>-76.19999999999999</v>
      </c>
      <c r="Z63" s="658">
        <f t="shared" si="49"/>
        <v>-76.19999999999999</v>
      </c>
      <c r="AA63" s="658">
        <f t="shared" si="50"/>
        <v>-76.19999999999999</v>
      </c>
      <c r="AB63" s="658">
        <f t="shared" si="51"/>
        <v>-76.19999999999999</v>
      </c>
      <c r="AC63" s="658">
        <f t="shared" si="52"/>
        <v>-76.19999999999999</v>
      </c>
      <c r="AD63" s="658">
        <f t="shared" si="53"/>
        <v>-76.19999999999999</v>
      </c>
      <c r="AE63" s="667"/>
      <c r="AF63" s="652">
        <v>4</v>
      </c>
      <c r="AG63" s="669">
        <v>344464</v>
      </c>
      <c r="AH63" s="668" t="s">
        <v>210</v>
      </c>
      <c r="AI63" s="658">
        <f t="shared" si="54"/>
        <v>-76.19999999999999</v>
      </c>
      <c r="AJ63" s="658">
        <f t="shared" si="55"/>
        <v>-76.19999999999999</v>
      </c>
      <c r="AK63" s="658">
        <f t="shared" si="56"/>
        <v>-76.19999999999999</v>
      </c>
      <c r="AL63" s="658">
        <f t="shared" si="57"/>
        <v>-76.19999999999999</v>
      </c>
      <c r="AM63" s="658">
        <f t="shared" si="58"/>
        <v>-76.19999999999999</v>
      </c>
      <c r="AN63" s="658">
        <f t="shared" si="59"/>
        <v>-76.19999999999999</v>
      </c>
    </row>
    <row r="64" spans="1:40" ht="12.75">
      <c r="A64" s="614"/>
      <c r="B64" s="617"/>
      <c r="C64" s="186"/>
      <c r="D64" s="641" t="s">
        <v>227</v>
      </c>
      <c r="E64" s="620">
        <v>3.8</v>
      </c>
      <c r="F64" s="620">
        <v>0</v>
      </c>
      <c r="G64" s="620">
        <f t="shared" si="42"/>
        <v>3.8</v>
      </c>
      <c r="H64" s="620">
        <f t="shared" si="43"/>
        <v>0</v>
      </c>
      <c r="I64" s="620">
        <f t="shared" si="44"/>
        <v>3.8</v>
      </c>
      <c r="J64" s="620">
        <f t="shared" si="45"/>
        <v>0</v>
      </c>
      <c r="K64" s="614"/>
      <c r="L64" s="617"/>
      <c r="M64" s="625"/>
      <c r="N64" s="641" t="s">
        <v>227</v>
      </c>
      <c r="O64" s="620">
        <v>3.8</v>
      </c>
      <c r="P64" s="620">
        <v>3.8</v>
      </c>
      <c r="Q64" s="620">
        <f t="shared" si="60"/>
        <v>3.8</v>
      </c>
      <c r="R64" s="638">
        <f t="shared" si="46"/>
        <v>3.8</v>
      </c>
      <c r="S64" s="620">
        <f t="shared" si="47"/>
        <v>3.8</v>
      </c>
      <c r="T64" s="620">
        <f t="shared" si="47"/>
        <v>3.8</v>
      </c>
      <c r="U64" s="667"/>
      <c r="V64" s="652"/>
      <c r="W64" s="653"/>
      <c r="X64" s="668" t="s">
        <v>227</v>
      </c>
      <c r="Y64" s="658">
        <f t="shared" si="48"/>
        <v>96.52</v>
      </c>
      <c r="Z64" s="658">
        <f t="shared" si="49"/>
        <v>0</v>
      </c>
      <c r="AA64" s="658">
        <f t="shared" si="50"/>
        <v>96.52</v>
      </c>
      <c r="AB64" s="658">
        <f t="shared" si="51"/>
        <v>0</v>
      </c>
      <c r="AC64" s="658">
        <f t="shared" si="52"/>
        <v>96.52</v>
      </c>
      <c r="AD64" s="658">
        <f t="shared" si="53"/>
        <v>0</v>
      </c>
      <c r="AE64" s="667"/>
      <c r="AF64" s="652"/>
      <c r="AG64" s="669"/>
      <c r="AH64" s="668" t="s">
        <v>227</v>
      </c>
      <c r="AI64" s="658">
        <f t="shared" si="54"/>
        <v>96.52</v>
      </c>
      <c r="AJ64" s="658">
        <f t="shared" si="55"/>
        <v>96.52</v>
      </c>
      <c r="AK64" s="658">
        <f t="shared" si="56"/>
        <v>96.52</v>
      </c>
      <c r="AL64" s="658">
        <f t="shared" si="57"/>
        <v>96.52</v>
      </c>
      <c r="AM64" s="658">
        <f t="shared" si="58"/>
        <v>96.52</v>
      </c>
      <c r="AN64" s="658">
        <f t="shared" si="59"/>
        <v>96.52</v>
      </c>
    </row>
    <row r="65" spans="1:40" ht="12.75">
      <c r="A65" s="614"/>
      <c r="B65" s="617"/>
      <c r="C65" s="186"/>
      <c r="D65" s="641" t="s">
        <v>228</v>
      </c>
      <c r="E65" s="620">
        <v>3.8</v>
      </c>
      <c r="F65" s="620">
        <v>3.8</v>
      </c>
      <c r="G65" s="620">
        <f t="shared" si="42"/>
        <v>3.8</v>
      </c>
      <c r="H65" s="620">
        <f t="shared" si="43"/>
        <v>3.8</v>
      </c>
      <c r="I65" s="620">
        <f t="shared" si="44"/>
        <v>3.8</v>
      </c>
      <c r="J65" s="620">
        <f t="shared" si="45"/>
        <v>3.8</v>
      </c>
      <c r="K65" s="614"/>
      <c r="L65" s="617"/>
      <c r="M65" s="625"/>
      <c r="N65" s="641" t="s">
        <v>228</v>
      </c>
      <c r="O65" s="620">
        <v>3.8</v>
      </c>
      <c r="P65" s="620">
        <v>3.8</v>
      </c>
      <c r="Q65" s="620">
        <f t="shared" si="60"/>
        <v>3.8</v>
      </c>
      <c r="R65" s="638">
        <f t="shared" si="46"/>
        <v>3.8</v>
      </c>
      <c r="S65" s="620">
        <f t="shared" si="47"/>
        <v>3.8</v>
      </c>
      <c r="T65" s="620">
        <f t="shared" si="47"/>
        <v>3.8</v>
      </c>
      <c r="U65" s="667"/>
      <c r="V65" s="652"/>
      <c r="W65" s="653"/>
      <c r="X65" s="668" t="s">
        <v>228</v>
      </c>
      <c r="Y65" s="658">
        <f t="shared" si="48"/>
        <v>96.52</v>
      </c>
      <c r="Z65" s="658">
        <f t="shared" si="49"/>
        <v>96.52</v>
      </c>
      <c r="AA65" s="658">
        <f t="shared" si="50"/>
        <v>96.52</v>
      </c>
      <c r="AB65" s="658">
        <f t="shared" si="51"/>
        <v>96.52</v>
      </c>
      <c r="AC65" s="658">
        <f t="shared" si="52"/>
        <v>96.52</v>
      </c>
      <c r="AD65" s="658">
        <f t="shared" si="53"/>
        <v>96.52</v>
      </c>
      <c r="AE65" s="667"/>
      <c r="AF65" s="652"/>
      <c r="AG65" s="669"/>
      <c r="AH65" s="668" t="s">
        <v>228</v>
      </c>
      <c r="AI65" s="658">
        <f t="shared" si="54"/>
        <v>96.52</v>
      </c>
      <c r="AJ65" s="658">
        <f t="shared" si="55"/>
        <v>96.52</v>
      </c>
      <c r="AK65" s="658">
        <f t="shared" si="56"/>
        <v>96.52</v>
      </c>
      <c r="AL65" s="658">
        <f t="shared" si="57"/>
        <v>96.52</v>
      </c>
      <c r="AM65" s="658">
        <f t="shared" si="58"/>
        <v>96.52</v>
      </c>
      <c r="AN65" s="658">
        <f t="shared" si="59"/>
        <v>96.52</v>
      </c>
    </row>
    <row r="66" spans="1:40" ht="12.75">
      <c r="A66" s="614"/>
      <c r="B66" s="617">
        <v>8</v>
      </c>
      <c r="C66" s="186">
        <v>344463</v>
      </c>
      <c r="D66" s="641" t="s">
        <v>208</v>
      </c>
      <c r="E66" s="620">
        <v>0</v>
      </c>
      <c r="F66" s="620">
        <v>0</v>
      </c>
      <c r="G66" s="620">
        <f t="shared" si="42"/>
        <v>0</v>
      </c>
      <c r="H66" s="620">
        <f t="shared" si="43"/>
        <v>0</v>
      </c>
      <c r="I66" s="620">
        <f t="shared" si="44"/>
        <v>0</v>
      </c>
      <c r="J66" s="620">
        <f t="shared" si="45"/>
        <v>0</v>
      </c>
      <c r="K66" s="614"/>
      <c r="L66" s="617">
        <v>5</v>
      </c>
      <c r="M66" s="625">
        <v>344463</v>
      </c>
      <c r="N66" s="641" t="s">
        <v>208</v>
      </c>
      <c r="O66" s="620">
        <v>-5</v>
      </c>
      <c r="P66" s="620">
        <v>-5</v>
      </c>
      <c r="Q66" s="620">
        <f t="shared" si="60"/>
        <v>-5</v>
      </c>
      <c r="R66" s="638">
        <f t="shared" si="46"/>
        <v>-5</v>
      </c>
      <c r="S66" s="620">
        <f t="shared" si="47"/>
        <v>-5</v>
      </c>
      <c r="T66" s="620">
        <f t="shared" si="47"/>
        <v>-5</v>
      </c>
      <c r="U66" s="667"/>
      <c r="V66" s="652">
        <v>8</v>
      </c>
      <c r="W66" s="653">
        <v>344463</v>
      </c>
      <c r="X66" s="668" t="s">
        <v>208</v>
      </c>
      <c r="Y66" s="658">
        <f t="shared" si="48"/>
        <v>0</v>
      </c>
      <c r="Z66" s="658">
        <f t="shared" si="49"/>
        <v>0</v>
      </c>
      <c r="AA66" s="658">
        <f t="shared" si="50"/>
        <v>0</v>
      </c>
      <c r="AB66" s="658">
        <f t="shared" si="51"/>
        <v>0</v>
      </c>
      <c r="AC66" s="658">
        <f t="shared" si="52"/>
        <v>0</v>
      </c>
      <c r="AD66" s="658">
        <f t="shared" si="53"/>
        <v>0</v>
      </c>
      <c r="AE66" s="667"/>
      <c r="AF66" s="652">
        <v>5</v>
      </c>
      <c r="AG66" s="669">
        <v>344463</v>
      </c>
      <c r="AH66" s="668" t="s">
        <v>208</v>
      </c>
      <c r="AI66" s="658">
        <f t="shared" si="54"/>
        <v>-127</v>
      </c>
      <c r="AJ66" s="658">
        <f t="shared" si="55"/>
        <v>-127</v>
      </c>
      <c r="AK66" s="658">
        <f t="shared" si="56"/>
        <v>-127</v>
      </c>
      <c r="AL66" s="658">
        <f t="shared" si="57"/>
        <v>-127</v>
      </c>
      <c r="AM66" s="658">
        <f t="shared" si="58"/>
        <v>-127</v>
      </c>
      <c r="AN66" s="658">
        <f t="shared" si="59"/>
        <v>-127</v>
      </c>
    </row>
    <row r="67" spans="1:40" ht="12.75">
      <c r="A67" s="614"/>
      <c r="B67" s="617">
        <v>6</v>
      </c>
      <c r="C67" s="186">
        <v>344377</v>
      </c>
      <c r="D67" s="641" t="s">
        <v>209</v>
      </c>
      <c r="E67" s="620">
        <v>0</v>
      </c>
      <c r="F67" s="620">
        <v>0</v>
      </c>
      <c r="G67" s="620">
        <f t="shared" si="42"/>
        <v>0</v>
      </c>
      <c r="H67" s="620">
        <f t="shared" si="43"/>
        <v>0</v>
      </c>
      <c r="I67" s="620">
        <f t="shared" si="44"/>
        <v>0</v>
      </c>
      <c r="J67" s="620">
        <f t="shared" si="45"/>
        <v>0</v>
      </c>
      <c r="K67" s="614"/>
      <c r="L67" s="617"/>
      <c r="M67" s="625"/>
      <c r="N67" s="641"/>
      <c r="O67" s="620"/>
      <c r="P67" s="620"/>
      <c r="Q67" s="620"/>
      <c r="R67" s="638"/>
      <c r="S67" s="620"/>
      <c r="T67" s="620"/>
      <c r="U67" s="667"/>
      <c r="V67" s="652">
        <v>6</v>
      </c>
      <c r="W67" s="653">
        <v>344377</v>
      </c>
      <c r="X67" s="668" t="s">
        <v>209</v>
      </c>
      <c r="Y67" s="658">
        <f t="shared" si="48"/>
        <v>0</v>
      </c>
      <c r="Z67" s="658">
        <f t="shared" si="49"/>
        <v>0</v>
      </c>
      <c r="AA67" s="658">
        <f t="shared" si="50"/>
        <v>0</v>
      </c>
      <c r="AB67" s="658">
        <f t="shared" si="51"/>
        <v>0</v>
      </c>
      <c r="AC67" s="658">
        <f t="shared" si="52"/>
        <v>0</v>
      </c>
      <c r="AD67" s="658">
        <f t="shared" si="53"/>
        <v>0</v>
      </c>
      <c r="AE67" s="667"/>
      <c r="AF67" s="652"/>
      <c r="AG67" s="669"/>
      <c r="AH67" s="668"/>
      <c r="AI67" s="658">
        <f t="shared" si="54"/>
        <v>0</v>
      </c>
      <c r="AJ67" s="658">
        <f t="shared" si="55"/>
        <v>0</v>
      </c>
      <c r="AK67" s="658">
        <f t="shared" si="56"/>
        <v>0</v>
      </c>
      <c r="AL67" s="658">
        <f t="shared" si="57"/>
        <v>0</v>
      </c>
      <c r="AM67" s="658">
        <f t="shared" si="58"/>
        <v>0</v>
      </c>
      <c r="AN67" s="658">
        <f t="shared" si="59"/>
        <v>0</v>
      </c>
    </row>
    <row r="68" spans="1:40" ht="12.75">
      <c r="A68" s="614"/>
      <c r="B68" s="617">
        <v>3</v>
      </c>
      <c r="C68" s="186">
        <v>344403</v>
      </c>
      <c r="D68" s="641" t="s">
        <v>211</v>
      </c>
      <c r="E68" s="620">
        <v>0</v>
      </c>
      <c r="F68" s="620">
        <v>0</v>
      </c>
      <c r="G68" s="620">
        <f t="shared" si="42"/>
        <v>0</v>
      </c>
      <c r="H68" s="620">
        <f t="shared" si="43"/>
        <v>0</v>
      </c>
      <c r="I68" s="620">
        <f t="shared" si="44"/>
        <v>0</v>
      </c>
      <c r="J68" s="620">
        <f t="shared" si="45"/>
        <v>0</v>
      </c>
      <c r="K68" s="614"/>
      <c r="L68" s="617">
        <v>3</v>
      </c>
      <c r="M68" s="625">
        <v>344403</v>
      </c>
      <c r="N68" s="641" t="s">
        <v>211</v>
      </c>
      <c r="O68" s="620">
        <v>0</v>
      </c>
      <c r="P68" s="620">
        <v>0</v>
      </c>
      <c r="Q68" s="620">
        <f aca="true" t="shared" si="61" ref="Q68:R70">O68</f>
        <v>0</v>
      </c>
      <c r="R68" s="638">
        <f t="shared" si="61"/>
        <v>0</v>
      </c>
      <c r="S68" s="620">
        <f aca="true" t="shared" si="62" ref="S68:T73">AVERAGE(O68,Q68)</f>
        <v>0</v>
      </c>
      <c r="T68" s="620">
        <f t="shared" si="62"/>
        <v>0</v>
      </c>
      <c r="U68" s="667"/>
      <c r="V68" s="652">
        <v>3</v>
      </c>
      <c r="W68" s="653">
        <v>344403</v>
      </c>
      <c r="X68" s="668" t="s">
        <v>211</v>
      </c>
      <c r="Y68" s="658">
        <f t="shared" si="48"/>
        <v>0</v>
      </c>
      <c r="Z68" s="658">
        <f t="shared" si="49"/>
        <v>0</v>
      </c>
      <c r="AA68" s="658">
        <f t="shared" si="50"/>
        <v>0</v>
      </c>
      <c r="AB68" s="658">
        <f t="shared" si="51"/>
        <v>0</v>
      </c>
      <c r="AC68" s="658">
        <f t="shared" si="52"/>
        <v>0</v>
      </c>
      <c r="AD68" s="658">
        <f t="shared" si="53"/>
        <v>0</v>
      </c>
      <c r="AE68" s="667"/>
      <c r="AF68" s="652">
        <v>3</v>
      </c>
      <c r="AG68" s="669">
        <v>344403</v>
      </c>
      <c r="AH68" s="668" t="s">
        <v>211</v>
      </c>
      <c r="AI68" s="658">
        <f t="shared" si="54"/>
        <v>0</v>
      </c>
      <c r="AJ68" s="658">
        <f t="shared" si="55"/>
        <v>0</v>
      </c>
      <c r="AK68" s="658">
        <f t="shared" si="56"/>
        <v>0</v>
      </c>
      <c r="AL68" s="658">
        <f t="shared" si="57"/>
        <v>0</v>
      </c>
      <c r="AM68" s="658">
        <f t="shared" si="58"/>
        <v>0</v>
      </c>
      <c r="AN68" s="658">
        <f t="shared" si="59"/>
        <v>0</v>
      </c>
    </row>
    <row r="69" spans="1:40" ht="12.75">
      <c r="A69" s="614"/>
      <c r="B69" s="617">
        <v>2</v>
      </c>
      <c r="C69" s="186">
        <v>344411</v>
      </c>
      <c r="D69" s="641" t="s">
        <v>212</v>
      </c>
      <c r="E69" s="620">
        <v>0</v>
      </c>
      <c r="F69" s="620">
        <v>0</v>
      </c>
      <c r="G69" s="620">
        <f t="shared" si="42"/>
        <v>0</v>
      </c>
      <c r="H69" s="620">
        <f t="shared" si="43"/>
        <v>0</v>
      </c>
      <c r="I69" s="620">
        <f t="shared" si="44"/>
        <v>0</v>
      </c>
      <c r="J69" s="620">
        <f t="shared" si="45"/>
        <v>0</v>
      </c>
      <c r="K69" s="614"/>
      <c r="L69" s="617">
        <v>2</v>
      </c>
      <c r="M69" s="625">
        <v>344411</v>
      </c>
      <c r="N69" s="641" t="s">
        <v>212</v>
      </c>
      <c r="O69" s="620">
        <v>-5</v>
      </c>
      <c r="P69" s="620">
        <v>0</v>
      </c>
      <c r="Q69" s="620">
        <f t="shared" si="61"/>
        <v>-5</v>
      </c>
      <c r="R69" s="638">
        <f t="shared" si="61"/>
        <v>0</v>
      </c>
      <c r="S69" s="620">
        <f t="shared" si="62"/>
        <v>-5</v>
      </c>
      <c r="T69" s="620">
        <f t="shared" si="62"/>
        <v>0</v>
      </c>
      <c r="U69" s="667"/>
      <c r="V69" s="652">
        <v>2</v>
      </c>
      <c r="W69" s="653">
        <v>344411</v>
      </c>
      <c r="X69" s="668" t="s">
        <v>212</v>
      </c>
      <c r="Y69" s="658">
        <f t="shared" si="48"/>
        <v>0</v>
      </c>
      <c r="Z69" s="658">
        <f t="shared" si="49"/>
        <v>0</v>
      </c>
      <c r="AA69" s="658">
        <f t="shared" si="50"/>
        <v>0</v>
      </c>
      <c r="AB69" s="658">
        <f t="shared" si="51"/>
        <v>0</v>
      </c>
      <c r="AC69" s="658">
        <f t="shared" si="52"/>
        <v>0</v>
      </c>
      <c r="AD69" s="658">
        <f t="shared" si="53"/>
        <v>0</v>
      </c>
      <c r="AE69" s="667"/>
      <c r="AF69" s="652">
        <v>2</v>
      </c>
      <c r="AG69" s="669">
        <v>344411</v>
      </c>
      <c r="AH69" s="668" t="s">
        <v>212</v>
      </c>
      <c r="AI69" s="658">
        <f t="shared" si="54"/>
        <v>-127</v>
      </c>
      <c r="AJ69" s="658">
        <f t="shared" si="55"/>
        <v>0</v>
      </c>
      <c r="AK69" s="658">
        <f t="shared" si="56"/>
        <v>-127</v>
      </c>
      <c r="AL69" s="658">
        <f t="shared" si="57"/>
        <v>0</v>
      </c>
      <c r="AM69" s="658">
        <f t="shared" si="58"/>
        <v>-127</v>
      </c>
      <c r="AN69" s="658">
        <f t="shared" si="59"/>
        <v>0</v>
      </c>
    </row>
    <row r="70" spans="1:40" ht="12.75">
      <c r="A70" s="614"/>
      <c r="B70" s="617">
        <v>1</v>
      </c>
      <c r="C70" s="186">
        <v>344460</v>
      </c>
      <c r="D70" s="641" t="s">
        <v>213</v>
      </c>
      <c r="E70" s="620">
        <v>0</v>
      </c>
      <c r="F70" s="620">
        <v>0</v>
      </c>
      <c r="G70" s="620">
        <f t="shared" si="42"/>
        <v>0</v>
      </c>
      <c r="H70" s="620">
        <f t="shared" si="43"/>
        <v>0</v>
      </c>
      <c r="I70" s="620">
        <f t="shared" si="44"/>
        <v>0</v>
      </c>
      <c r="J70" s="620">
        <f t="shared" si="45"/>
        <v>0</v>
      </c>
      <c r="K70" s="614"/>
      <c r="L70" s="617">
        <v>1</v>
      </c>
      <c r="M70" s="625">
        <v>344460</v>
      </c>
      <c r="N70" s="641" t="s">
        <v>213</v>
      </c>
      <c r="O70" s="620">
        <v>0</v>
      </c>
      <c r="P70" s="620">
        <v>0</v>
      </c>
      <c r="Q70" s="620">
        <f t="shared" si="61"/>
        <v>0</v>
      </c>
      <c r="R70" s="638">
        <f t="shared" si="61"/>
        <v>0</v>
      </c>
      <c r="S70" s="620">
        <f t="shared" si="62"/>
        <v>0</v>
      </c>
      <c r="T70" s="620">
        <f t="shared" si="62"/>
        <v>0</v>
      </c>
      <c r="U70" s="667"/>
      <c r="V70" s="652">
        <v>1</v>
      </c>
      <c r="W70" s="653">
        <v>344460</v>
      </c>
      <c r="X70" s="668" t="s">
        <v>213</v>
      </c>
      <c r="Y70" s="658">
        <f t="shared" si="48"/>
        <v>0</v>
      </c>
      <c r="Z70" s="658">
        <f t="shared" si="49"/>
        <v>0</v>
      </c>
      <c r="AA70" s="658">
        <f t="shared" si="50"/>
        <v>0</v>
      </c>
      <c r="AB70" s="658">
        <f t="shared" si="51"/>
        <v>0</v>
      </c>
      <c r="AC70" s="658">
        <f t="shared" si="52"/>
        <v>0</v>
      </c>
      <c r="AD70" s="658">
        <f t="shared" si="53"/>
        <v>0</v>
      </c>
      <c r="AE70" s="667"/>
      <c r="AF70" s="652">
        <v>1</v>
      </c>
      <c r="AG70" s="669">
        <v>344460</v>
      </c>
      <c r="AH70" s="668" t="s">
        <v>213</v>
      </c>
      <c r="AI70" s="658">
        <f t="shared" si="54"/>
        <v>0</v>
      </c>
      <c r="AJ70" s="658">
        <f t="shared" si="55"/>
        <v>0</v>
      </c>
      <c r="AK70" s="658">
        <f t="shared" si="56"/>
        <v>0</v>
      </c>
      <c r="AL70" s="658">
        <f t="shared" si="57"/>
        <v>0</v>
      </c>
      <c r="AM70" s="658">
        <f t="shared" si="58"/>
        <v>0</v>
      </c>
      <c r="AN70" s="658">
        <f t="shared" si="59"/>
        <v>0</v>
      </c>
    </row>
    <row r="71" spans="1:40" ht="12.75">
      <c r="A71" s="614"/>
      <c r="B71" s="617">
        <v>10</v>
      </c>
      <c r="C71" s="186">
        <v>344134</v>
      </c>
      <c r="D71" s="641" t="s">
        <v>214</v>
      </c>
      <c r="E71" s="620">
        <v>0</v>
      </c>
      <c r="F71" s="620">
        <v>0</v>
      </c>
      <c r="G71" s="620">
        <f t="shared" si="42"/>
        <v>0</v>
      </c>
      <c r="H71" s="620">
        <f t="shared" si="43"/>
        <v>0</v>
      </c>
      <c r="I71" s="620">
        <f t="shared" si="44"/>
        <v>0</v>
      </c>
      <c r="J71" s="620">
        <f t="shared" si="45"/>
        <v>0</v>
      </c>
      <c r="K71" s="614"/>
      <c r="L71" s="617">
        <v>15</v>
      </c>
      <c r="M71" s="625">
        <v>344444</v>
      </c>
      <c r="N71" s="641" t="s">
        <v>221</v>
      </c>
      <c r="O71" s="620">
        <v>0</v>
      </c>
      <c r="P71" s="620">
        <v>0</v>
      </c>
      <c r="Q71" s="620">
        <v>0</v>
      </c>
      <c r="R71" s="638">
        <f>P71</f>
        <v>0</v>
      </c>
      <c r="S71" s="620">
        <f t="shared" si="62"/>
        <v>0</v>
      </c>
      <c r="T71" s="620">
        <f t="shared" si="62"/>
        <v>0</v>
      </c>
      <c r="U71" s="667"/>
      <c r="V71" s="652">
        <v>10</v>
      </c>
      <c r="W71" s="653">
        <v>344134</v>
      </c>
      <c r="X71" s="668" t="s">
        <v>214</v>
      </c>
      <c r="Y71" s="658">
        <f t="shared" si="48"/>
        <v>0</v>
      </c>
      <c r="Z71" s="658">
        <f t="shared" si="49"/>
        <v>0</v>
      </c>
      <c r="AA71" s="658">
        <f t="shared" si="50"/>
        <v>0</v>
      </c>
      <c r="AB71" s="658">
        <f t="shared" si="51"/>
        <v>0</v>
      </c>
      <c r="AC71" s="658">
        <f t="shared" si="52"/>
        <v>0</v>
      </c>
      <c r="AD71" s="658">
        <f t="shared" si="53"/>
        <v>0</v>
      </c>
      <c r="AE71" s="667"/>
      <c r="AF71" s="652">
        <v>15</v>
      </c>
      <c r="AG71" s="669">
        <v>344444</v>
      </c>
      <c r="AH71" s="668" t="s">
        <v>221</v>
      </c>
      <c r="AI71" s="658">
        <f t="shared" si="54"/>
        <v>0</v>
      </c>
      <c r="AJ71" s="658">
        <f t="shared" si="55"/>
        <v>0</v>
      </c>
      <c r="AK71" s="658">
        <f t="shared" si="56"/>
        <v>0</v>
      </c>
      <c r="AL71" s="658">
        <f t="shared" si="57"/>
        <v>0</v>
      </c>
      <c r="AM71" s="658">
        <f t="shared" si="58"/>
        <v>0</v>
      </c>
      <c r="AN71" s="658">
        <f t="shared" si="59"/>
        <v>0</v>
      </c>
    </row>
    <row r="72" spans="1:40" ht="12.75">
      <c r="A72" s="614"/>
      <c r="B72" s="617">
        <v>11</v>
      </c>
      <c r="C72" s="186"/>
      <c r="D72" s="641" t="s">
        <v>215</v>
      </c>
      <c r="E72" s="620">
        <v>10</v>
      </c>
      <c r="F72" s="620">
        <v>0</v>
      </c>
      <c r="G72" s="620">
        <f t="shared" si="42"/>
        <v>10</v>
      </c>
      <c r="H72" s="620">
        <f t="shared" si="43"/>
        <v>0</v>
      </c>
      <c r="I72" s="620">
        <f t="shared" si="44"/>
        <v>10</v>
      </c>
      <c r="J72" s="620">
        <f t="shared" si="45"/>
        <v>0</v>
      </c>
      <c r="K72" s="614"/>
      <c r="L72" s="617">
        <v>16</v>
      </c>
      <c r="M72" s="625"/>
      <c r="N72" s="641" t="s">
        <v>222</v>
      </c>
      <c r="O72" s="620">
        <v>0</v>
      </c>
      <c r="P72" s="620">
        <v>0</v>
      </c>
      <c r="Q72" s="620">
        <f>O72</f>
        <v>0</v>
      </c>
      <c r="R72" s="638">
        <f>P72</f>
        <v>0</v>
      </c>
      <c r="S72" s="620">
        <f t="shared" si="62"/>
        <v>0</v>
      </c>
      <c r="T72" s="620">
        <f t="shared" si="62"/>
        <v>0</v>
      </c>
      <c r="U72" s="667"/>
      <c r="V72" s="652">
        <v>11</v>
      </c>
      <c r="W72" s="653"/>
      <c r="X72" s="668" t="s">
        <v>215</v>
      </c>
      <c r="Y72" s="658">
        <f t="shared" si="48"/>
        <v>254</v>
      </c>
      <c r="Z72" s="658">
        <f t="shared" si="49"/>
        <v>0</v>
      </c>
      <c r="AA72" s="658">
        <f t="shared" si="50"/>
        <v>254</v>
      </c>
      <c r="AB72" s="658">
        <f t="shared" si="51"/>
        <v>0</v>
      </c>
      <c r="AC72" s="658">
        <f t="shared" si="52"/>
        <v>254</v>
      </c>
      <c r="AD72" s="658">
        <f t="shared" si="53"/>
        <v>0</v>
      </c>
      <c r="AE72" s="667"/>
      <c r="AF72" s="652">
        <v>16</v>
      </c>
      <c r="AG72" s="669"/>
      <c r="AH72" s="668" t="s">
        <v>222</v>
      </c>
      <c r="AI72" s="658">
        <f t="shared" si="54"/>
        <v>0</v>
      </c>
      <c r="AJ72" s="658">
        <f t="shared" si="55"/>
        <v>0</v>
      </c>
      <c r="AK72" s="658">
        <f t="shared" si="56"/>
        <v>0</v>
      </c>
      <c r="AL72" s="658">
        <f t="shared" si="57"/>
        <v>0</v>
      </c>
      <c r="AM72" s="658">
        <f t="shared" si="58"/>
        <v>0</v>
      </c>
      <c r="AN72" s="658">
        <f t="shared" si="59"/>
        <v>0</v>
      </c>
    </row>
    <row r="73" spans="1:40" ht="12.75">
      <c r="A73" s="614"/>
      <c r="B73" s="617">
        <v>12</v>
      </c>
      <c r="C73" s="186"/>
      <c r="D73" s="641" t="s">
        <v>219</v>
      </c>
      <c r="E73" s="620">
        <v>-0.67</v>
      </c>
      <c r="F73" s="620">
        <v>0</v>
      </c>
      <c r="G73" s="620">
        <f t="shared" si="42"/>
        <v>-0.67</v>
      </c>
      <c r="H73" s="620">
        <f t="shared" si="43"/>
        <v>0</v>
      </c>
      <c r="I73" s="620">
        <f t="shared" si="44"/>
        <v>-0.67</v>
      </c>
      <c r="J73" s="620">
        <f t="shared" si="45"/>
        <v>0</v>
      </c>
      <c r="K73" s="614"/>
      <c r="L73" s="617">
        <v>17</v>
      </c>
      <c r="M73" s="625"/>
      <c r="N73" s="641" t="s">
        <v>219</v>
      </c>
      <c r="O73" s="620">
        <v>-0.3</v>
      </c>
      <c r="P73" s="620">
        <v>-0.5</v>
      </c>
      <c r="Q73" s="620">
        <f>O73</f>
        <v>-0.3</v>
      </c>
      <c r="R73" s="638">
        <f>P73</f>
        <v>-0.5</v>
      </c>
      <c r="S73" s="620">
        <f t="shared" si="62"/>
        <v>-0.3</v>
      </c>
      <c r="T73" s="620">
        <f t="shared" si="62"/>
        <v>-0.5</v>
      </c>
      <c r="U73" s="667"/>
      <c r="V73" s="652">
        <v>12</v>
      </c>
      <c r="W73" s="653"/>
      <c r="X73" s="668" t="s">
        <v>219</v>
      </c>
      <c r="Y73" s="658">
        <f t="shared" si="48"/>
        <v>-17.018</v>
      </c>
      <c r="Z73" s="658">
        <f t="shared" si="49"/>
        <v>0</v>
      </c>
      <c r="AA73" s="658">
        <f t="shared" si="50"/>
        <v>-17.018</v>
      </c>
      <c r="AB73" s="658">
        <f t="shared" si="51"/>
        <v>0</v>
      </c>
      <c r="AC73" s="658">
        <f t="shared" si="52"/>
        <v>-17.018</v>
      </c>
      <c r="AD73" s="658">
        <f t="shared" si="53"/>
        <v>0</v>
      </c>
      <c r="AE73" s="667"/>
      <c r="AF73" s="652">
        <v>17</v>
      </c>
      <c r="AG73" s="669"/>
      <c r="AH73" s="668" t="s">
        <v>219</v>
      </c>
      <c r="AI73" s="658">
        <f t="shared" si="54"/>
        <v>-7.619999999999999</v>
      </c>
      <c r="AJ73" s="658">
        <f t="shared" si="55"/>
        <v>-12.7</v>
      </c>
      <c r="AK73" s="658">
        <f t="shared" si="56"/>
        <v>-7.619999999999999</v>
      </c>
      <c r="AL73" s="658">
        <f t="shared" si="57"/>
        <v>-12.7</v>
      </c>
      <c r="AM73" s="658">
        <f t="shared" si="58"/>
        <v>-7.619999999999999</v>
      </c>
      <c r="AN73" s="658">
        <f t="shared" si="59"/>
        <v>-12.7</v>
      </c>
    </row>
    <row r="74" spans="1:40" ht="12.75">
      <c r="A74" s="614"/>
      <c r="B74" s="617"/>
      <c r="C74" s="186"/>
      <c r="D74" s="641"/>
      <c r="E74" s="620"/>
      <c r="F74" s="620"/>
      <c r="G74" s="620"/>
      <c r="H74" s="620"/>
      <c r="I74" s="620"/>
      <c r="J74" s="620"/>
      <c r="K74" s="614"/>
      <c r="L74" s="617"/>
      <c r="M74" s="625"/>
      <c r="N74" s="641"/>
      <c r="O74" s="620"/>
      <c r="P74" s="620"/>
      <c r="Q74" s="620"/>
      <c r="R74" s="638"/>
      <c r="S74" s="620"/>
      <c r="T74" s="620"/>
      <c r="U74" s="667"/>
      <c r="V74" s="652"/>
      <c r="W74" s="653"/>
      <c r="X74" s="668"/>
      <c r="Y74" s="658">
        <f t="shared" si="48"/>
        <v>0</v>
      </c>
      <c r="Z74" s="658">
        <f t="shared" si="49"/>
        <v>0</v>
      </c>
      <c r="AA74" s="658">
        <f t="shared" si="50"/>
        <v>0</v>
      </c>
      <c r="AB74" s="658">
        <f t="shared" si="51"/>
        <v>0</v>
      </c>
      <c r="AC74" s="658">
        <f t="shared" si="52"/>
        <v>0</v>
      </c>
      <c r="AD74" s="658">
        <f t="shared" si="53"/>
        <v>0</v>
      </c>
      <c r="AE74" s="667"/>
      <c r="AF74" s="652"/>
      <c r="AG74" s="669"/>
      <c r="AH74" s="668"/>
      <c r="AI74" s="658">
        <f t="shared" si="54"/>
        <v>0</v>
      </c>
      <c r="AJ74" s="658">
        <f t="shared" si="55"/>
        <v>0</v>
      </c>
      <c r="AK74" s="658">
        <f t="shared" si="56"/>
        <v>0</v>
      </c>
      <c r="AL74" s="658">
        <f t="shared" si="57"/>
        <v>0</v>
      </c>
      <c r="AM74" s="658">
        <f t="shared" si="58"/>
        <v>0</v>
      </c>
      <c r="AN74" s="658">
        <f t="shared" si="59"/>
        <v>0</v>
      </c>
    </row>
    <row r="75" spans="1:40" ht="12.75">
      <c r="A75" s="614" t="s">
        <v>231</v>
      </c>
      <c r="B75" s="617"/>
      <c r="C75" s="186"/>
      <c r="D75" s="641" t="s">
        <v>205</v>
      </c>
      <c r="E75" s="620">
        <f>SUM(E60:E73)</f>
        <v>6.93</v>
      </c>
      <c r="F75" s="620">
        <f>SUM(F60:F73)</f>
        <v>0.7999999999999998</v>
      </c>
      <c r="G75" s="620">
        <f>SUM(G60:G73)</f>
        <v>6.93</v>
      </c>
      <c r="H75" s="620">
        <f>SUM(H60:H73)</f>
        <v>0.7999999999999998</v>
      </c>
      <c r="I75" s="620">
        <f>AVERAGE(E75,G75)</f>
        <v>6.93</v>
      </c>
      <c r="J75" s="620">
        <f>AVERAGE(F75,H75)</f>
        <v>0.7999999999999998</v>
      </c>
      <c r="K75" s="614"/>
      <c r="L75" s="617"/>
      <c r="M75" s="625"/>
      <c r="N75" s="641" t="s">
        <v>205</v>
      </c>
      <c r="O75" s="620">
        <f>SUM(O60:O73)</f>
        <v>3.000000000000001</v>
      </c>
      <c r="P75" s="620">
        <f>SUM(P60:P73)</f>
        <v>-3.9000000000000004</v>
      </c>
      <c r="Q75" s="620">
        <f>SUM(Q60:Q73)</f>
        <v>4.000000000000001</v>
      </c>
      <c r="R75" s="638">
        <f>SUM(R60:R73)</f>
        <v>-3.9000000000000004</v>
      </c>
      <c r="S75" s="620">
        <f>AVERAGE(O75,Q75)</f>
        <v>3.500000000000001</v>
      </c>
      <c r="T75" s="620">
        <f>AVERAGE(P75,R75)</f>
        <v>-3.9000000000000004</v>
      </c>
      <c r="U75" s="667" t="str">
        <f>A75</f>
        <v>Mech. Model #3</v>
      </c>
      <c r="V75" s="652"/>
      <c r="W75" s="653"/>
      <c r="X75" s="668" t="s">
        <v>205</v>
      </c>
      <c r="Y75" s="658">
        <f t="shared" si="48"/>
        <v>176.022</v>
      </c>
      <c r="Z75" s="658">
        <f t="shared" si="49"/>
        <v>20.319999999999993</v>
      </c>
      <c r="AA75" s="658">
        <f t="shared" si="50"/>
        <v>176.022</v>
      </c>
      <c r="AB75" s="658">
        <f t="shared" si="51"/>
        <v>20.319999999999993</v>
      </c>
      <c r="AC75" s="658">
        <f t="shared" si="52"/>
        <v>176.022</v>
      </c>
      <c r="AD75" s="658">
        <f t="shared" si="53"/>
        <v>20.319999999999993</v>
      </c>
      <c r="AE75" s="667"/>
      <c r="AF75" s="652"/>
      <c r="AG75" s="669"/>
      <c r="AH75" s="668" t="s">
        <v>205</v>
      </c>
      <c r="AI75" s="658">
        <f t="shared" si="54"/>
        <v>76.20000000000002</v>
      </c>
      <c r="AJ75" s="658">
        <f t="shared" si="55"/>
        <v>-99.06</v>
      </c>
      <c r="AK75" s="658">
        <f t="shared" si="56"/>
        <v>101.60000000000002</v>
      </c>
      <c r="AL75" s="658">
        <f t="shared" si="57"/>
        <v>-99.06</v>
      </c>
      <c r="AM75" s="658">
        <f t="shared" si="58"/>
        <v>88.90000000000002</v>
      </c>
      <c r="AN75" s="658">
        <f t="shared" si="59"/>
        <v>-99.06</v>
      </c>
    </row>
    <row r="76" spans="1:40" ht="12.75">
      <c r="A76" s="614"/>
      <c r="B76" s="617"/>
      <c r="C76" s="186"/>
      <c r="D76" s="641" t="s">
        <v>232</v>
      </c>
      <c r="E76" s="620">
        <v>8</v>
      </c>
      <c r="F76" s="620">
        <v>0</v>
      </c>
      <c r="G76" s="620">
        <f>E76</f>
        <v>8</v>
      </c>
      <c r="H76" s="620">
        <f>F76</f>
        <v>0</v>
      </c>
      <c r="I76" s="620">
        <f>G76</f>
        <v>8</v>
      </c>
      <c r="J76" s="620">
        <f>H76</f>
        <v>0</v>
      </c>
      <c r="K76" s="614"/>
      <c r="L76" s="617"/>
      <c r="M76" s="625"/>
      <c r="N76" s="641" t="s">
        <v>232</v>
      </c>
      <c r="O76" s="620">
        <v>4.2</v>
      </c>
      <c r="P76" s="620">
        <v>0</v>
      </c>
      <c r="Q76" s="620">
        <f>O76</f>
        <v>4.2</v>
      </c>
      <c r="R76" s="620">
        <f>P76</f>
        <v>0</v>
      </c>
      <c r="S76" s="620">
        <f>Q76</f>
        <v>4.2</v>
      </c>
      <c r="T76" s="620">
        <f>R76</f>
        <v>0</v>
      </c>
      <c r="U76" s="667"/>
      <c r="V76" s="652"/>
      <c r="W76" s="653"/>
      <c r="X76" s="668" t="s">
        <v>232</v>
      </c>
      <c r="Y76" s="658">
        <f t="shared" si="48"/>
        <v>203.2</v>
      </c>
      <c r="Z76" s="658">
        <f t="shared" si="49"/>
        <v>0</v>
      </c>
      <c r="AA76" s="658">
        <f t="shared" si="50"/>
        <v>203.2</v>
      </c>
      <c r="AB76" s="658">
        <f t="shared" si="51"/>
        <v>0</v>
      </c>
      <c r="AC76" s="658">
        <f t="shared" si="52"/>
        <v>203.2</v>
      </c>
      <c r="AD76" s="658">
        <f t="shared" si="53"/>
        <v>0</v>
      </c>
      <c r="AE76" s="667"/>
      <c r="AF76" s="652"/>
      <c r="AG76" s="669"/>
      <c r="AH76" s="668" t="s">
        <v>232</v>
      </c>
      <c r="AI76" s="658">
        <f t="shared" si="54"/>
        <v>106.67999999999999</v>
      </c>
      <c r="AJ76" s="658">
        <f t="shared" si="55"/>
        <v>0</v>
      </c>
      <c r="AK76" s="658">
        <f t="shared" si="56"/>
        <v>106.67999999999999</v>
      </c>
      <c r="AL76" s="658">
        <f t="shared" si="57"/>
        <v>0</v>
      </c>
      <c r="AM76" s="658">
        <f t="shared" si="58"/>
        <v>106.67999999999999</v>
      </c>
      <c r="AN76" s="658">
        <f t="shared" si="59"/>
        <v>0</v>
      </c>
    </row>
    <row r="77" spans="1:40" ht="12.75">
      <c r="A77" s="614"/>
      <c r="B77" s="617"/>
      <c r="C77" s="186"/>
      <c r="D77" s="641"/>
      <c r="E77" s="620"/>
      <c r="F77" s="620"/>
      <c r="G77" s="620"/>
      <c r="H77" s="620"/>
      <c r="I77" s="620"/>
      <c r="J77" s="620"/>
      <c r="K77" s="614"/>
      <c r="L77" s="617"/>
      <c r="M77" s="625"/>
      <c r="N77" s="641"/>
      <c r="O77" s="620"/>
      <c r="P77" s="620"/>
      <c r="Q77" s="620"/>
      <c r="R77" s="638"/>
      <c r="S77" s="614"/>
      <c r="T77" s="614"/>
      <c r="U77" s="667"/>
      <c r="V77" s="652"/>
      <c r="W77" s="653"/>
      <c r="X77" s="668"/>
      <c r="Y77" s="670"/>
      <c r="Z77" s="670"/>
      <c r="AA77" s="670"/>
      <c r="AB77" s="670"/>
      <c r="AC77" s="670"/>
      <c r="AD77" s="670"/>
      <c r="AE77" s="667"/>
      <c r="AF77" s="652"/>
      <c r="AG77" s="669"/>
      <c r="AH77" s="668"/>
      <c r="AI77" s="670"/>
      <c r="AJ77" s="670"/>
      <c r="AK77" s="670"/>
      <c r="AL77" s="670"/>
      <c r="AM77" s="670"/>
      <c r="AN77" s="670"/>
    </row>
    <row r="78" spans="1:40" ht="12.75">
      <c r="A78" s="614"/>
      <c r="B78" s="617"/>
      <c r="C78" s="186"/>
      <c r="D78" s="641" t="s">
        <v>235</v>
      </c>
      <c r="E78" s="620"/>
      <c r="F78" s="620"/>
      <c r="G78" s="620"/>
      <c r="H78" s="620"/>
      <c r="I78" s="620"/>
      <c r="J78" s="620"/>
      <c r="K78" s="614"/>
      <c r="L78" s="617"/>
      <c r="M78" s="625"/>
      <c r="N78" s="641" t="s">
        <v>265</v>
      </c>
      <c r="O78" s="620"/>
      <c r="P78" s="620"/>
      <c r="Q78" s="620"/>
      <c r="R78" s="638"/>
      <c r="S78" s="614"/>
      <c r="T78" s="614"/>
      <c r="U78" s="667"/>
      <c r="V78" s="652"/>
      <c r="W78" s="653"/>
      <c r="X78" s="668" t="str">
        <f>D78</f>
        <v>Beam gauge # I-007</v>
      </c>
      <c r="Y78" s="670"/>
      <c r="Z78" s="670"/>
      <c r="AA78" s="670"/>
      <c r="AB78" s="670"/>
      <c r="AC78" s="658">
        <f>I78*25.4</f>
        <v>0</v>
      </c>
      <c r="AD78" s="670"/>
      <c r="AE78" s="667"/>
      <c r="AF78" s="652"/>
      <c r="AG78" s="669"/>
      <c r="AH78" s="668" t="str">
        <f>N78</f>
        <v>Beam gauge # I-003</v>
      </c>
      <c r="AI78" s="670"/>
      <c r="AJ78" s="670"/>
      <c r="AK78" s="670"/>
      <c r="AL78" s="670"/>
      <c r="AM78" s="658">
        <f>S78*25.4</f>
        <v>0</v>
      </c>
      <c r="AN78" s="670"/>
    </row>
    <row r="79" spans="1:40" ht="12.75">
      <c r="A79" s="614"/>
      <c r="B79" s="617"/>
      <c r="C79" s="186"/>
      <c r="D79" s="641" t="s">
        <v>236</v>
      </c>
      <c r="E79" s="620"/>
      <c r="F79" s="620"/>
      <c r="G79" s="620"/>
      <c r="H79" s="620"/>
      <c r="I79" s="620"/>
      <c r="J79" s="620"/>
      <c r="K79" s="614"/>
      <c r="L79" s="617"/>
      <c r="M79" s="625"/>
      <c r="N79" s="641" t="s">
        <v>266</v>
      </c>
      <c r="O79" s="620"/>
      <c r="P79" s="620"/>
      <c r="Q79" s="620"/>
      <c r="R79" s="638"/>
      <c r="S79" s="614"/>
      <c r="T79" s="614"/>
      <c r="U79" s="667"/>
      <c r="V79" s="652"/>
      <c r="W79" s="653"/>
      <c r="X79" s="668" t="str">
        <f>D79</f>
        <v>Beam gauge # I-008</v>
      </c>
      <c r="Y79" s="670"/>
      <c r="Z79" s="670"/>
      <c r="AA79" s="670"/>
      <c r="AB79" s="670"/>
      <c r="AC79" s="658">
        <f>I79*25.4</f>
        <v>0</v>
      </c>
      <c r="AD79" s="670"/>
      <c r="AE79" s="667"/>
      <c r="AF79" s="652"/>
      <c r="AG79" s="669"/>
      <c r="AH79" s="668" t="str">
        <f>N79</f>
        <v>Beam gauge # I-004</v>
      </c>
      <c r="AI79" s="670"/>
      <c r="AJ79" s="670"/>
      <c r="AK79" s="670"/>
      <c r="AL79" s="670"/>
      <c r="AM79" s="658">
        <f>S79*25.4</f>
        <v>0</v>
      </c>
      <c r="AN79" s="670"/>
    </row>
    <row r="80" spans="1:40" ht="12.75">
      <c r="A80" s="614"/>
      <c r="B80" s="617"/>
      <c r="C80" s="186"/>
      <c r="D80" s="641" t="s">
        <v>233</v>
      </c>
      <c r="E80" s="620"/>
      <c r="F80" s="620"/>
      <c r="G80" s="620"/>
      <c r="H80" s="620"/>
      <c r="I80" s="620"/>
      <c r="J80" s="620"/>
      <c r="K80" s="614"/>
      <c r="L80" s="617"/>
      <c r="M80" s="625"/>
      <c r="N80" s="641" t="s">
        <v>263</v>
      </c>
      <c r="O80" s="620"/>
      <c r="P80" s="620"/>
      <c r="Q80" s="620"/>
      <c r="R80" s="638"/>
      <c r="S80" s="614"/>
      <c r="T80" s="614"/>
      <c r="U80" s="667"/>
      <c r="V80" s="652"/>
      <c r="W80" s="653"/>
      <c r="X80" s="668" t="str">
        <f>D80</f>
        <v>Capacitance gauge # 11</v>
      </c>
      <c r="Y80" s="670"/>
      <c r="Z80" s="670"/>
      <c r="AA80" s="670"/>
      <c r="AB80" s="670"/>
      <c r="AC80" s="658">
        <f>I80*25.4</f>
        <v>0</v>
      </c>
      <c r="AD80" s="670"/>
      <c r="AE80" s="667"/>
      <c r="AF80" s="652"/>
      <c r="AG80" s="669"/>
      <c r="AH80" s="668" t="str">
        <f>N80</f>
        <v>Capacitance gauge # 17</v>
      </c>
      <c r="AI80" s="670"/>
      <c r="AJ80" s="670"/>
      <c r="AK80" s="670"/>
      <c r="AL80" s="670"/>
      <c r="AM80" s="658">
        <f>S80*25.4</f>
        <v>0</v>
      </c>
      <c r="AN80" s="670"/>
    </row>
    <row r="81" spans="1:40" ht="12.75">
      <c r="A81" s="614"/>
      <c r="B81" s="617"/>
      <c r="C81" s="186"/>
      <c r="D81" s="641" t="s">
        <v>240</v>
      </c>
      <c r="E81" s="620"/>
      <c r="F81" s="620"/>
      <c r="G81" s="620"/>
      <c r="H81" s="620"/>
      <c r="I81" s="620"/>
      <c r="J81" s="620"/>
      <c r="K81" s="614"/>
      <c r="L81" s="617"/>
      <c r="M81" s="625"/>
      <c r="N81" s="641" t="s">
        <v>264</v>
      </c>
      <c r="O81" s="620"/>
      <c r="P81" s="620"/>
      <c r="Q81" s="620"/>
      <c r="R81" s="638"/>
      <c r="S81" s="614"/>
      <c r="T81" s="614"/>
      <c r="U81" s="667"/>
      <c r="V81" s="652"/>
      <c r="W81" s="653"/>
      <c r="X81" s="668" t="str">
        <f>D81</f>
        <v>Capacitance gauge # 16</v>
      </c>
      <c r="Y81" s="670"/>
      <c r="Z81" s="670"/>
      <c r="AA81" s="670"/>
      <c r="AB81" s="670"/>
      <c r="AC81" s="658">
        <f>I81*25.4</f>
        <v>0</v>
      </c>
      <c r="AD81" s="670"/>
      <c r="AE81" s="667"/>
      <c r="AF81" s="652"/>
      <c r="AG81" s="669"/>
      <c r="AH81" s="668" t="str">
        <f>N81</f>
        <v>Capacitance gauge # 19</v>
      </c>
      <c r="AI81" s="670"/>
      <c r="AJ81" s="670"/>
      <c r="AK81" s="670"/>
      <c r="AL81" s="670"/>
      <c r="AM81" s="658">
        <f>S81*25.4</f>
        <v>0</v>
      </c>
      <c r="AN81" s="670"/>
    </row>
    <row r="82" spans="1:40" ht="12.75">
      <c r="A82" s="645"/>
      <c r="B82" s="618"/>
      <c r="C82" s="619"/>
      <c r="D82" s="644"/>
      <c r="E82" s="621"/>
      <c r="F82" s="621"/>
      <c r="G82" s="621"/>
      <c r="H82" s="621"/>
      <c r="I82" s="621"/>
      <c r="J82" s="621"/>
      <c r="K82" s="645"/>
      <c r="L82" s="618"/>
      <c r="M82" s="627"/>
      <c r="N82" s="646"/>
      <c r="O82" s="621"/>
      <c r="P82" s="621"/>
      <c r="Q82" s="621"/>
      <c r="R82" s="639"/>
      <c r="S82" s="645"/>
      <c r="T82" s="645"/>
      <c r="U82" s="671"/>
      <c r="V82" s="672"/>
      <c r="W82" s="673"/>
      <c r="X82" s="674"/>
      <c r="Y82" s="675"/>
      <c r="Z82" s="675"/>
      <c r="AA82" s="675"/>
      <c r="AB82" s="675"/>
      <c r="AC82" s="675"/>
      <c r="AD82" s="675"/>
      <c r="AE82" s="671"/>
      <c r="AF82" s="672"/>
      <c r="AG82" s="676"/>
      <c r="AH82" s="677"/>
      <c r="AI82" s="675"/>
      <c r="AJ82" s="675"/>
      <c r="AK82" s="675"/>
      <c r="AL82" s="675"/>
      <c r="AM82" s="675"/>
      <c r="AN82" s="675"/>
    </row>
    <row r="83" spans="1:40" ht="12.75">
      <c r="A83" s="613"/>
      <c r="B83" s="615"/>
      <c r="C83" s="397"/>
      <c r="D83" s="642"/>
      <c r="E83" s="623"/>
      <c r="F83" s="623"/>
      <c r="G83" s="623"/>
      <c r="H83" s="623"/>
      <c r="I83" s="623"/>
      <c r="J83" s="623"/>
      <c r="K83" s="613"/>
      <c r="L83" s="615"/>
      <c r="M83" s="624"/>
      <c r="N83" s="398"/>
      <c r="O83" s="623"/>
      <c r="P83" s="623"/>
      <c r="Q83" s="623"/>
      <c r="R83" s="637"/>
      <c r="S83" s="623"/>
      <c r="T83" s="623"/>
      <c r="U83" s="660"/>
      <c r="V83" s="649"/>
      <c r="W83" s="661"/>
      <c r="X83" s="662"/>
      <c r="Y83" s="663"/>
      <c r="Z83" s="663"/>
      <c r="AA83" s="663"/>
      <c r="AB83" s="663"/>
      <c r="AC83" s="663"/>
      <c r="AD83" s="663"/>
      <c r="AE83" s="660"/>
      <c r="AF83" s="649"/>
      <c r="AG83" s="664"/>
      <c r="AH83" s="665"/>
      <c r="AI83" s="663"/>
      <c r="AJ83" s="663"/>
      <c r="AK83" s="663"/>
      <c r="AL83" s="666"/>
      <c r="AM83" s="663"/>
      <c r="AN83" s="663"/>
    </row>
    <row r="84" spans="1:40" ht="12.75">
      <c r="A84" s="614"/>
      <c r="B84" s="617">
        <v>13</v>
      </c>
      <c r="C84" s="186"/>
      <c r="D84" s="641" t="s">
        <v>206</v>
      </c>
      <c r="E84" s="620">
        <v>0</v>
      </c>
      <c r="F84" s="620">
        <v>0</v>
      </c>
      <c r="G84" s="620">
        <f aca="true" t="shared" si="63" ref="G84:G97">E84</f>
        <v>0</v>
      </c>
      <c r="H84" s="620">
        <f aca="true" t="shared" si="64" ref="H84:H97">F84</f>
        <v>0</v>
      </c>
      <c r="I84" s="620">
        <f aca="true" t="shared" si="65" ref="I84:I97">AVERAGE(E84,G84)</f>
        <v>0</v>
      </c>
      <c r="J84" s="620">
        <f aca="true" t="shared" si="66" ref="J84:J97">AVERAGE(F84,H84)</f>
        <v>0</v>
      </c>
      <c r="K84" s="614"/>
      <c r="L84" s="617">
        <v>18</v>
      </c>
      <c r="M84" s="625"/>
      <c r="N84" s="641" t="s">
        <v>206</v>
      </c>
      <c r="O84" s="620">
        <v>0</v>
      </c>
      <c r="P84" s="620">
        <v>0</v>
      </c>
      <c r="Q84" s="620">
        <f aca="true" t="shared" si="67" ref="Q84:R90">O84</f>
        <v>0</v>
      </c>
      <c r="R84" s="638">
        <f t="shared" si="67"/>
        <v>0</v>
      </c>
      <c r="S84" s="620">
        <f aca="true" t="shared" si="68" ref="S84:T90">AVERAGE(O84,Q84)</f>
        <v>0</v>
      </c>
      <c r="T84" s="620">
        <f t="shared" si="68"/>
        <v>0</v>
      </c>
      <c r="U84" s="667"/>
      <c r="V84" s="652">
        <v>13</v>
      </c>
      <c r="W84" s="653"/>
      <c r="X84" s="668" t="s">
        <v>206</v>
      </c>
      <c r="Y84" s="658">
        <f aca="true" t="shared" si="69" ref="Y84:Y100">E84*25.4</f>
        <v>0</v>
      </c>
      <c r="Z84" s="658">
        <f aca="true" t="shared" si="70" ref="Z84:Z100">F84*25.4</f>
        <v>0</v>
      </c>
      <c r="AA84" s="658">
        <f aca="true" t="shared" si="71" ref="AA84:AA100">G84*25.4</f>
        <v>0</v>
      </c>
      <c r="AB84" s="658">
        <f aca="true" t="shared" si="72" ref="AB84:AB100">H84*25.4</f>
        <v>0</v>
      </c>
      <c r="AC84" s="658">
        <f aca="true" t="shared" si="73" ref="AC84:AC100">I84*25.4</f>
        <v>0</v>
      </c>
      <c r="AD84" s="658">
        <f aca="true" t="shared" si="74" ref="AD84:AD100">J84*25.4</f>
        <v>0</v>
      </c>
      <c r="AE84" s="667"/>
      <c r="AF84" s="652">
        <v>18</v>
      </c>
      <c r="AG84" s="669"/>
      <c r="AH84" s="668" t="s">
        <v>206</v>
      </c>
      <c r="AI84" s="658">
        <f aca="true" t="shared" si="75" ref="AI84:AN90">O84*25.4</f>
        <v>0</v>
      </c>
      <c r="AJ84" s="658">
        <f t="shared" si="75"/>
        <v>0</v>
      </c>
      <c r="AK84" s="658">
        <f t="shared" si="75"/>
        <v>0</v>
      </c>
      <c r="AL84" s="658">
        <f t="shared" si="75"/>
        <v>0</v>
      </c>
      <c r="AM84" s="658">
        <f t="shared" si="75"/>
        <v>0</v>
      </c>
      <c r="AN84" s="658">
        <f t="shared" si="75"/>
        <v>0</v>
      </c>
    </row>
    <row r="85" spans="1:40" ht="12.75">
      <c r="A85" s="614"/>
      <c r="B85" s="617">
        <v>14</v>
      </c>
      <c r="C85" s="186"/>
      <c r="D85" s="641" t="s">
        <v>216</v>
      </c>
      <c r="E85" s="620">
        <v>0</v>
      </c>
      <c r="F85" s="620">
        <v>0</v>
      </c>
      <c r="G85" s="620">
        <f t="shared" si="63"/>
        <v>0</v>
      </c>
      <c r="H85" s="620">
        <f t="shared" si="64"/>
        <v>0</v>
      </c>
      <c r="I85" s="620">
        <f t="shared" si="65"/>
        <v>0</v>
      </c>
      <c r="J85" s="620">
        <f t="shared" si="66"/>
        <v>0</v>
      </c>
      <c r="K85" s="614"/>
      <c r="L85" s="617">
        <v>19</v>
      </c>
      <c r="M85" s="625"/>
      <c r="N85" s="641" t="s">
        <v>216</v>
      </c>
      <c r="O85" s="620">
        <v>0</v>
      </c>
      <c r="P85" s="620">
        <v>0</v>
      </c>
      <c r="Q85" s="620">
        <f t="shared" si="67"/>
        <v>0</v>
      </c>
      <c r="R85" s="638">
        <f t="shared" si="67"/>
        <v>0</v>
      </c>
      <c r="S85" s="620">
        <f t="shared" si="68"/>
        <v>0</v>
      </c>
      <c r="T85" s="620">
        <f t="shared" si="68"/>
        <v>0</v>
      </c>
      <c r="U85" s="667"/>
      <c r="V85" s="652">
        <v>14</v>
      </c>
      <c r="W85" s="653"/>
      <c r="X85" s="668" t="s">
        <v>216</v>
      </c>
      <c r="Y85" s="658">
        <f t="shared" si="69"/>
        <v>0</v>
      </c>
      <c r="Z85" s="658">
        <f t="shared" si="70"/>
        <v>0</v>
      </c>
      <c r="AA85" s="658">
        <f t="shared" si="71"/>
        <v>0</v>
      </c>
      <c r="AB85" s="658">
        <f t="shared" si="72"/>
        <v>0</v>
      </c>
      <c r="AC85" s="658">
        <f t="shared" si="73"/>
        <v>0</v>
      </c>
      <c r="AD85" s="658">
        <f t="shared" si="74"/>
        <v>0</v>
      </c>
      <c r="AE85" s="667"/>
      <c r="AF85" s="652">
        <v>19</v>
      </c>
      <c r="AG85" s="669"/>
      <c r="AH85" s="668" t="s">
        <v>216</v>
      </c>
      <c r="AI85" s="658">
        <f t="shared" si="75"/>
        <v>0</v>
      </c>
      <c r="AJ85" s="658">
        <f t="shared" si="75"/>
        <v>0</v>
      </c>
      <c r="AK85" s="658">
        <f t="shared" si="75"/>
        <v>0</v>
      </c>
      <c r="AL85" s="658">
        <f t="shared" si="75"/>
        <v>0</v>
      </c>
      <c r="AM85" s="658">
        <f t="shared" si="75"/>
        <v>0</v>
      </c>
      <c r="AN85" s="658">
        <f t="shared" si="75"/>
        <v>0</v>
      </c>
    </row>
    <row r="86" spans="1:40" ht="12.75">
      <c r="A86" s="614"/>
      <c r="B86" s="617">
        <v>7</v>
      </c>
      <c r="C86" s="186">
        <v>344464</v>
      </c>
      <c r="D86" s="641" t="s">
        <v>207</v>
      </c>
      <c r="E86" s="620">
        <v>0</v>
      </c>
      <c r="F86" s="620">
        <v>0</v>
      </c>
      <c r="G86" s="620">
        <f t="shared" si="63"/>
        <v>0</v>
      </c>
      <c r="H86" s="620">
        <f t="shared" si="64"/>
        <v>0</v>
      </c>
      <c r="I86" s="620">
        <f t="shared" si="65"/>
        <v>0</v>
      </c>
      <c r="J86" s="620">
        <f t="shared" si="66"/>
        <v>0</v>
      </c>
      <c r="K86" s="614"/>
      <c r="L86" s="617">
        <v>4</v>
      </c>
      <c r="M86" s="625">
        <v>344464</v>
      </c>
      <c r="N86" s="641" t="s">
        <v>207</v>
      </c>
      <c r="O86" s="620">
        <v>0</v>
      </c>
      <c r="P86" s="620">
        <v>0</v>
      </c>
      <c r="Q86" s="620">
        <f t="shared" si="67"/>
        <v>0</v>
      </c>
      <c r="R86" s="638">
        <f t="shared" si="67"/>
        <v>0</v>
      </c>
      <c r="S86" s="620">
        <f t="shared" si="68"/>
        <v>0</v>
      </c>
      <c r="T86" s="620">
        <f t="shared" si="68"/>
        <v>0</v>
      </c>
      <c r="U86" s="667"/>
      <c r="V86" s="652">
        <v>7</v>
      </c>
      <c r="W86" s="653">
        <v>344464</v>
      </c>
      <c r="X86" s="668" t="s">
        <v>207</v>
      </c>
      <c r="Y86" s="658">
        <f t="shared" si="69"/>
        <v>0</v>
      </c>
      <c r="Z86" s="658">
        <f t="shared" si="70"/>
        <v>0</v>
      </c>
      <c r="AA86" s="658">
        <f t="shared" si="71"/>
        <v>0</v>
      </c>
      <c r="AB86" s="658">
        <f t="shared" si="72"/>
        <v>0</v>
      </c>
      <c r="AC86" s="658">
        <f t="shared" si="73"/>
        <v>0</v>
      </c>
      <c r="AD86" s="658">
        <f t="shared" si="74"/>
        <v>0</v>
      </c>
      <c r="AE86" s="667"/>
      <c r="AF86" s="652">
        <v>4</v>
      </c>
      <c r="AG86" s="669">
        <v>344464</v>
      </c>
      <c r="AH86" s="668" t="s">
        <v>207</v>
      </c>
      <c r="AI86" s="658">
        <f t="shared" si="75"/>
        <v>0</v>
      </c>
      <c r="AJ86" s="658">
        <f t="shared" si="75"/>
        <v>0</v>
      </c>
      <c r="AK86" s="658">
        <f t="shared" si="75"/>
        <v>0</v>
      </c>
      <c r="AL86" s="658">
        <f t="shared" si="75"/>
        <v>0</v>
      </c>
      <c r="AM86" s="658">
        <f t="shared" si="75"/>
        <v>0</v>
      </c>
      <c r="AN86" s="658">
        <f t="shared" si="75"/>
        <v>0</v>
      </c>
    </row>
    <row r="87" spans="1:40" ht="12.75">
      <c r="A87" s="614"/>
      <c r="B87" s="617"/>
      <c r="C87" s="186">
        <v>344469</v>
      </c>
      <c r="D87" s="641" t="s">
        <v>210</v>
      </c>
      <c r="E87" s="620">
        <v>0</v>
      </c>
      <c r="F87" s="620">
        <v>0</v>
      </c>
      <c r="G87" s="620">
        <f t="shared" si="63"/>
        <v>0</v>
      </c>
      <c r="H87" s="620">
        <f t="shared" si="64"/>
        <v>0</v>
      </c>
      <c r="I87" s="620">
        <f t="shared" si="65"/>
        <v>0</v>
      </c>
      <c r="J87" s="620">
        <f t="shared" si="66"/>
        <v>0</v>
      </c>
      <c r="K87" s="614"/>
      <c r="L87" s="617">
        <v>4</v>
      </c>
      <c r="M87" s="625">
        <v>344464</v>
      </c>
      <c r="N87" s="641" t="s">
        <v>210</v>
      </c>
      <c r="O87" s="620">
        <v>0</v>
      </c>
      <c r="P87" s="620">
        <v>0</v>
      </c>
      <c r="Q87" s="620">
        <f t="shared" si="67"/>
        <v>0</v>
      </c>
      <c r="R87" s="638">
        <f t="shared" si="67"/>
        <v>0</v>
      </c>
      <c r="S87" s="620">
        <f t="shared" si="68"/>
        <v>0</v>
      </c>
      <c r="T87" s="620">
        <f t="shared" si="68"/>
        <v>0</v>
      </c>
      <c r="U87" s="667"/>
      <c r="V87" s="652"/>
      <c r="W87" s="653">
        <v>344469</v>
      </c>
      <c r="X87" s="668" t="s">
        <v>210</v>
      </c>
      <c r="Y87" s="658">
        <f t="shared" si="69"/>
        <v>0</v>
      </c>
      <c r="Z87" s="658">
        <f t="shared" si="70"/>
        <v>0</v>
      </c>
      <c r="AA87" s="658">
        <f t="shared" si="71"/>
        <v>0</v>
      </c>
      <c r="AB87" s="658">
        <f t="shared" si="72"/>
        <v>0</v>
      </c>
      <c r="AC87" s="658">
        <f t="shared" si="73"/>
        <v>0</v>
      </c>
      <c r="AD87" s="658">
        <f t="shared" si="74"/>
        <v>0</v>
      </c>
      <c r="AE87" s="667"/>
      <c r="AF87" s="652">
        <v>4</v>
      </c>
      <c r="AG87" s="669">
        <v>344464</v>
      </c>
      <c r="AH87" s="668" t="s">
        <v>210</v>
      </c>
      <c r="AI87" s="658">
        <f t="shared" si="75"/>
        <v>0</v>
      </c>
      <c r="AJ87" s="658">
        <f t="shared" si="75"/>
        <v>0</v>
      </c>
      <c r="AK87" s="658">
        <f t="shared" si="75"/>
        <v>0</v>
      </c>
      <c r="AL87" s="658">
        <f t="shared" si="75"/>
        <v>0</v>
      </c>
      <c r="AM87" s="658">
        <f t="shared" si="75"/>
        <v>0</v>
      </c>
      <c r="AN87" s="658">
        <f t="shared" si="75"/>
        <v>0</v>
      </c>
    </row>
    <row r="88" spans="1:40" ht="12.75">
      <c r="A88" s="614"/>
      <c r="B88" s="617"/>
      <c r="C88" s="186"/>
      <c r="D88" s="641" t="s">
        <v>227</v>
      </c>
      <c r="E88" s="620">
        <v>0.1</v>
      </c>
      <c r="F88" s="620">
        <v>0.1</v>
      </c>
      <c r="G88" s="620">
        <f t="shared" si="63"/>
        <v>0.1</v>
      </c>
      <c r="H88" s="620">
        <f t="shared" si="64"/>
        <v>0.1</v>
      </c>
      <c r="I88" s="620">
        <f t="shared" si="65"/>
        <v>0.1</v>
      </c>
      <c r="J88" s="620">
        <f t="shared" si="66"/>
        <v>0.1</v>
      </c>
      <c r="K88" s="614"/>
      <c r="L88" s="617"/>
      <c r="M88" s="625"/>
      <c r="N88" s="641" t="s">
        <v>227</v>
      </c>
      <c r="O88" s="620">
        <v>0.1</v>
      </c>
      <c r="P88" s="620">
        <v>0.1</v>
      </c>
      <c r="Q88" s="620">
        <f t="shared" si="67"/>
        <v>0.1</v>
      </c>
      <c r="R88" s="638">
        <f t="shared" si="67"/>
        <v>0.1</v>
      </c>
      <c r="S88" s="620">
        <f t="shared" si="68"/>
        <v>0.1</v>
      </c>
      <c r="T88" s="620">
        <f t="shared" si="68"/>
        <v>0.1</v>
      </c>
      <c r="U88" s="667"/>
      <c r="V88" s="652"/>
      <c r="W88" s="653"/>
      <c r="X88" s="668" t="s">
        <v>227</v>
      </c>
      <c r="Y88" s="658">
        <f t="shared" si="69"/>
        <v>2.54</v>
      </c>
      <c r="Z88" s="658">
        <f t="shared" si="70"/>
        <v>2.54</v>
      </c>
      <c r="AA88" s="658">
        <f t="shared" si="71"/>
        <v>2.54</v>
      </c>
      <c r="AB88" s="658">
        <f t="shared" si="72"/>
        <v>2.54</v>
      </c>
      <c r="AC88" s="658">
        <f t="shared" si="73"/>
        <v>2.54</v>
      </c>
      <c r="AD88" s="658">
        <f t="shared" si="74"/>
        <v>2.54</v>
      </c>
      <c r="AE88" s="667"/>
      <c r="AF88" s="652"/>
      <c r="AG88" s="669"/>
      <c r="AH88" s="668" t="s">
        <v>227</v>
      </c>
      <c r="AI88" s="658">
        <f t="shared" si="75"/>
        <v>2.54</v>
      </c>
      <c r="AJ88" s="658">
        <f t="shared" si="75"/>
        <v>2.54</v>
      </c>
      <c r="AK88" s="658">
        <f t="shared" si="75"/>
        <v>2.54</v>
      </c>
      <c r="AL88" s="658">
        <f t="shared" si="75"/>
        <v>2.54</v>
      </c>
      <c r="AM88" s="658">
        <f t="shared" si="75"/>
        <v>2.54</v>
      </c>
      <c r="AN88" s="658">
        <f t="shared" si="75"/>
        <v>2.54</v>
      </c>
    </row>
    <row r="89" spans="1:40" ht="12.75">
      <c r="A89" s="614"/>
      <c r="B89" s="617"/>
      <c r="C89" s="186"/>
      <c r="D89" s="641" t="s">
        <v>228</v>
      </c>
      <c r="E89" s="620">
        <v>0.1</v>
      </c>
      <c r="F89" s="620">
        <v>0.1</v>
      </c>
      <c r="G89" s="620">
        <f t="shared" si="63"/>
        <v>0.1</v>
      </c>
      <c r="H89" s="620">
        <f t="shared" si="64"/>
        <v>0.1</v>
      </c>
      <c r="I89" s="620">
        <f t="shared" si="65"/>
        <v>0.1</v>
      </c>
      <c r="J89" s="620">
        <f t="shared" si="66"/>
        <v>0.1</v>
      </c>
      <c r="K89" s="614"/>
      <c r="L89" s="617"/>
      <c r="M89" s="625"/>
      <c r="N89" s="641" t="s">
        <v>228</v>
      </c>
      <c r="O89" s="620">
        <v>0.1</v>
      </c>
      <c r="P89" s="620">
        <v>0.1</v>
      </c>
      <c r="Q89" s="620">
        <f t="shared" si="67"/>
        <v>0.1</v>
      </c>
      <c r="R89" s="638">
        <f t="shared" si="67"/>
        <v>0.1</v>
      </c>
      <c r="S89" s="620">
        <f t="shared" si="68"/>
        <v>0.1</v>
      </c>
      <c r="T89" s="620">
        <f t="shared" si="68"/>
        <v>0.1</v>
      </c>
      <c r="U89" s="667"/>
      <c r="V89" s="652"/>
      <c r="W89" s="653"/>
      <c r="X89" s="668" t="s">
        <v>228</v>
      </c>
      <c r="Y89" s="658">
        <f t="shared" si="69"/>
        <v>2.54</v>
      </c>
      <c r="Z89" s="658">
        <f t="shared" si="70"/>
        <v>2.54</v>
      </c>
      <c r="AA89" s="658">
        <f t="shared" si="71"/>
        <v>2.54</v>
      </c>
      <c r="AB89" s="658">
        <f t="shared" si="72"/>
        <v>2.54</v>
      </c>
      <c r="AC89" s="658">
        <f t="shared" si="73"/>
        <v>2.54</v>
      </c>
      <c r="AD89" s="658">
        <f t="shared" si="74"/>
        <v>2.54</v>
      </c>
      <c r="AE89" s="667"/>
      <c r="AF89" s="652"/>
      <c r="AG89" s="669"/>
      <c r="AH89" s="668" t="s">
        <v>228</v>
      </c>
      <c r="AI89" s="658">
        <f t="shared" si="75"/>
        <v>2.54</v>
      </c>
      <c r="AJ89" s="658">
        <f t="shared" si="75"/>
        <v>2.54</v>
      </c>
      <c r="AK89" s="658">
        <f t="shared" si="75"/>
        <v>2.54</v>
      </c>
      <c r="AL89" s="658">
        <f t="shared" si="75"/>
        <v>2.54</v>
      </c>
      <c r="AM89" s="658">
        <f t="shared" si="75"/>
        <v>2.54</v>
      </c>
      <c r="AN89" s="658">
        <f t="shared" si="75"/>
        <v>2.54</v>
      </c>
    </row>
    <row r="90" spans="1:40" ht="12.75">
      <c r="A90" s="614"/>
      <c r="B90" s="617">
        <v>8</v>
      </c>
      <c r="C90" s="186">
        <v>344463</v>
      </c>
      <c r="D90" s="641" t="s">
        <v>208</v>
      </c>
      <c r="E90" s="620">
        <v>0.1</v>
      </c>
      <c r="F90" s="620">
        <v>0.1</v>
      </c>
      <c r="G90" s="620">
        <f t="shared" si="63"/>
        <v>0.1</v>
      </c>
      <c r="H90" s="620">
        <f t="shared" si="64"/>
        <v>0.1</v>
      </c>
      <c r="I90" s="620">
        <f t="shared" si="65"/>
        <v>0.1</v>
      </c>
      <c r="J90" s="620">
        <f t="shared" si="66"/>
        <v>0.1</v>
      </c>
      <c r="K90" s="614"/>
      <c r="L90" s="617">
        <v>5</v>
      </c>
      <c r="M90" s="625">
        <v>344463</v>
      </c>
      <c r="N90" s="641" t="s">
        <v>208</v>
      </c>
      <c r="O90" s="620">
        <v>0.1</v>
      </c>
      <c r="P90" s="620">
        <v>0.1</v>
      </c>
      <c r="Q90" s="620">
        <f t="shared" si="67"/>
        <v>0.1</v>
      </c>
      <c r="R90" s="638">
        <f t="shared" si="67"/>
        <v>0.1</v>
      </c>
      <c r="S90" s="620">
        <f t="shared" si="68"/>
        <v>0.1</v>
      </c>
      <c r="T90" s="620">
        <f t="shared" si="68"/>
        <v>0.1</v>
      </c>
      <c r="U90" s="667"/>
      <c r="V90" s="652">
        <v>8</v>
      </c>
      <c r="W90" s="653">
        <v>344463</v>
      </c>
      <c r="X90" s="668" t="s">
        <v>208</v>
      </c>
      <c r="Y90" s="658">
        <f t="shared" si="69"/>
        <v>2.54</v>
      </c>
      <c r="Z90" s="658">
        <f t="shared" si="70"/>
        <v>2.54</v>
      </c>
      <c r="AA90" s="658">
        <f t="shared" si="71"/>
        <v>2.54</v>
      </c>
      <c r="AB90" s="658">
        <f t="shared" si="72"/>
        <v>2.54</v>
      </c>
      <c r="AC90" s="658">
        <f t="shared" si="73"/>
        <v>2.54</v>
      </c>
      <c r="AD90" s="658">
        <f t="shared" si="74"/>
        <v>2.54</v>
      </c>
      <c r="AE90" s="667"/>
      <c r="AF90" s="652">
        <v>5</v>
      </c>
      <c r="AG90" s="669">
        <v>344463</v>
      </c>
      <c r="AH90" s="668" t="s">
        <v>208</v>
      </c>
      <c r="AI90" s="658">
        <f t="shared" si="75"/>
        <v>2.54</v>
      </c>
      <c r="AJ90" s="658">
        <f t="shared" si="75"/>
        <v>2.54</v>
      </c>
      <c r="AK90" s="658">
        <f t="shared" si="75"/>
        <v>2.54</v>
      </c>
      <c r="AL90" s="658">
        <f t="shared" si="75"/>
        <v>2.54</v>
      </c>
      <c r="AM90" s="658">
        <f t="shared" si="75"/>
        <v>2.54</v>
      </c>
      <c r="AN90" s="658">
        <f t="shared" si="75"/>
        <v>2.54</v>
      </c>
    </row>
    <row r="91" spans="1:40" ht="12.75">
      <c r="A91" s="614"/>
      <c r="B91" s="617">
        <v>6</v>
      </c>
      <c r="C91" s="186">
        <v>344377</v>
      </c>
      <c r="D91" s="641" t="s">
        <v>209</v>
      </c>
      <c r="E91" s="620">
        <v>0.1</v>
      </c>
      <c r="F91" s="620">
        <v>0.1</v>
      </c>
      <c r="G91" s="620">
        <f t="shared" si="63"/>
        <v>0.1</v>
      </c>
      <c r="H91" s="620">
        <f t="shared" si="64"/>
        <v>0.1</v>
      </c>
      <c r="I91" s="620">
        <f t="shared" si="65"/>
        <v>0.1</v>
      </c>
      <c r="J91" s="620">
        <f t="shared" si="66"/>
        <v>0.1</v>
      </c>
      <c r="K91" s="614"/>
      <c r="L91" s="617"/>
      <c r="M91" s="625"/>
      <c r="N91" s="641"/>
      <c r="O91" s="620"/>
      <c r="P91" s="620"/>
      <c r="Q91" s="620"/>
      <c r="R91" s="638"/>
      <c r="S91" s="620"/>
      <c r="T91" s="620"/>
      <c r="U91" s="667"/>
      <c r="V91" s="652">
        <v>6</v>
      </c>
      <c r="W91" s="653">
        <v>344377</v>
      </c>
      <c r="X91" s="668" t="s">
        <v>209</v>
      </c>
      <c r="Y91" s="658">
        <f t="shared" si="69"/>
        <v>2.54</v>
      </c>
      <c r="Z91" s="658">
        <f t="shared" si="70"/>
        <v>2.54</v>
      </c>
      <c r="AA91" s="658">
        <f t="shared" si="71"/>
        <v>2.54</v>
      </c>
      <c r="AB91" s="658">
        <f t="shared" si="72"/>
        <v>2.54</v>
      </c>
      <c r="AC91" s="658">
        <f t="shared" si="73"/>
        <v>2.54</v>
      </c>
      <c r="AD91" s="658">
        <f t="shared" si="74"/>
        <v>2.54</v>
      </c>
      <c r="AE91" s="667"/>
      <c r="AF91" s="652"/>
      <c r="AG91" s="669"/>
      <c r="AH91" s="668"/>
      <c r="AI91" s="658"/>
      <c r="AJ91" s="658"/>
      <c r="AK91" s="658"/>
      <c r="AL91" s="658"/>
      <c r="AM91" s="658"/>
      <c r="AN91" s="658"/>
    </row>
    <row r="92" spans="1:40" ht="12.75">
      <c r="A92" s="614"/>
      <c r="B92" s="617">
        <v>3</v>
      </c>
      <c r="C92" s="186">
        <v>344403</v>
      </c>
      <c r="D92" s="641" t="s">
        <v>211</v>
      </c>
      <c r="E92" s="620">
        <v>0.1</v>
      </c>
      <c r="F92" s="620">
        <v>0.1</v>
      </c>
      <c r="G92" s="620">
        <f t="shared" si="63"/>
        <v>0.1</v>
      </c>
      <c r="H92" s="620">
        <f t="shared" si="64"/>
        <v>0.1</v>
      </c>
      <c r="I92" s="620">
        <f t="shared" si="65"/>
        <v>0.1</v>
      </c>
      <c r="J92" s="620">
        <f t="shared" si="66"/>
        <v>0.1</v>
      </c>
      <c r="K92" s="614"/>
      <c r="L92" s="617">
        <v>3</v>
      </c>
      <c r="M92" s="625">
        <v>344403</v>
      </c>
      <c r="N92" s="641" t="s">
        <v>211</v>
      </c>
      <c r="O92" s="620">
        <v>0.1</v>
      </c>
      <c r="P92" s="620">
        <v>0.1</v>
      </c>
      <c r="Q92" s="620">
        <f aca="true" t="shared" si="76" ref="Q92:R97">O92</f>
        <v>0.1</v>
      </c>
      <c r="R92" s="638">
        <f t="shared" si="76"/>
        <v>0.1</v>
      </c>
      <c r="S92" s="620">
        <f aca="true" t="shared" si="77" ref="S92:T97">AVERAGE(O92,Q92)</f>
        <v>0.1</v>
      </c>
      <c r="T92" s="620">
        <f t="shared" si="77"/>
        <v>0.1</v>
      </c>
      <c r="U92" s="667"/>
      <c r="V92" s="652">
        <v>3</v>
      </c>
      <c r="W92" s="653">
        <v>344403</v>
      </c>
      <c r="X92" s="668" t="s">
        <v>211</v>
      </c>
      <c r="Y92" s="658">
        <f t="shared" si="69"/>
        <v>2.54</v>
      </c>
      <c r="Z92" s="658">
        <f t="shared" si="70"/>
        <v>2.54</v>
      </c>
      <c r="AA92" s="658">
        <f t="shared" si="71"/>
        <v>2.54</v>
      </c>
      <c r="AB92" s="658">
        <f t="shared" si="72"/>
        <v>2.54</v>
      </c>
      <c r="AC92" s="658">
        <f t="shared" si="73"/>
        <v>2.54</v>
      </c>
      <c r="AD92" s="658">
        <f t="shared" si="74"/>
        <v>2.54</v>
      </c>
      <c r="AE92" s="667"/>
      <c r="AF92" s="652">
        <v>3</v>
      </c>
      <c r="AG92" s="669">
        <v>344403</v>
      </c>
      <c r="AH92" s="668" t="s">
        <v>211</v>
      </c>
      <c r="AI92" s="658">
        <f aca="true" t="shared" si="78" ref="AI92:AI100">O92*25.4</f>
        <v>2.54</v>
      </c>
      <c r="AJ92" s="658">
        <f aca="true" t="shared" si="79" ref="AJ92:AJ100">P92*25.4</f>
        <v>2.54</v>
      </c>
      <c r="AK92" s="658">
        <f aca="true" t="shared" si="80" ref="AK92:AK100">Q92*25.4</f>
        <v>2.54</v>
      </c>
      <c r="AL92" s="658">
        <f aca="true" t="shared" si="81" ref="AL92:AL100">R92*25.4</f>
        <v>2.54</v>
      </c>
      <c r="AM92" s="658">
        <f aca="true" t="shared" si="82" ref="AM92:AM100">S92*25.4</f>
        <v>2.54</v>
      </c>
      <c r="AN92" s="658">
        <f aca="true" t="shared" si="83" ref="AN92:AN100">T92*25.4</f>
        <v>2.54</v>
      </c>
    </row>
    <row r="93" spans="1:40" ht="12.75">
      <c r="A93" s="614"/>
      <c r="B93" s="617">
        <v>2</v>
      </c>
      <c r="C93" s="186">
        <v>344411</v>
      </c>
      <c r="D93" s="641" t="s">
        <v>212</v>
      </c>
      <c r="E93" s="620">
        <v>0.1</v>
      </c>
      <c r="F93" s="620">
        <v>0.1</v>
      </c>
      <c r="G93" s="620">
        <f t="shared" si="63"/>
        <v>0.1</v>
      </c>
      <c r="H93" s="620">
        <f t="shared" si="64"/>
        <v>0.1</v>
      </c>
      <c r="I93" s="620">
        <f t="shared" si="65"/>
        <v>0.1</v>
      </c>
      <c r="J93" s="620">
        <f t="shared" si="66"/>
        <v>0.1</v>
      </c>
      <c r="K93" s="614"/>
      <c r="L93" s="617">
        <v>2</v>
      </c>
      <c r="M93" s="625">
        <v>344411</v>
      </c>
      <c r="N93" s="641" t="s">
        <v>212</v>
      </c>
      <c r="O93" s="620">
        <v>0.1</v>
      </c>
      <c r="P93" s="620">
        <v>0.1</v>
      </c>
      <c r="Q93" s="620">
        <f t="shared" si="76"/>
        <v>0.1</v>
      </c>
      <c r="R93" s="638">
        <f t="shared" si="76"/>
        <v>0.1</v>
      </c>
      <c r="S93" s="620">
        <f t="shared" si="77"/>
        <v>0.1</v>
      </c>
      <c r="T93" s="620">
        <f t="shared" si="77"/>
        <v>0.1</v>
      </c>
      <c r="U93" s="667"/>
      <c r="V93" s="652">
        <v>2</v>
      </c>
      <c r="W93" s="653">
        <v>344411</v>
      </c>
      <c r="X93" s="668" t="s">
        <v>212</v>
      </c>
      <c r="Y93" s="658">
        <f t="shared" si="69"/>
        <v>2.54</v>
      </c>
      <c r="Z93" s="658">
        <f t="shared" si="70"/>
        <v>2.54</v>
      </c>
      <c r="AA93" s="658">
        <f t="shared" si="71"/>
        <v>2.54</v>
      </c>
      <c r="AB93" s="658">
        <f t="shared" si="72"/>
        <v>2.54</v>
      </c>
      <c r="AC93" s="658">
        <f t="shared" si="73"/>
        <v>2.54</v>
      </c>
      <c r="AD93" s="658">
        <f t="shared" si="74"/>
        <v>2.54</v>
      </c>
      <c r="AE93" s="667"/>
      <c r="AF93" s="652">
        <v>2</v>
      </c>
      <c r="AG93" s="669">
        <v>344411</v>
      </c>
      <c r="AH93" s="668" t="s">
        <v>212</v>
      </c>
      <c r="AI93" s="658">
        <f t="shared" si="78"/>
        <v>2.54</v>
      </c>
      <c r="AJ93" s="658">
        <f t="shared" si="79"/>
        <v>2.54</v>
      </c>
      <c r="AK93" s="658">
        <f t="shared" si="80"/>
        <v>2.54</v>
      </c>
      <c r="AL93" s="658">
        <f t="shared" si="81"/>
        <v>2.54</v>
      </c>
      <c r="AM93" s="658">
        <f t="shared" si="82"/>
        <v>2.54</v>
      </c>
      <c r="AN93" s="658">
        <f t="shared" si="83"/>
        <v>2.54</v>
      </c>
    </row>
    <row r="94" spans="1:40" ht="12.75">
      <c r="A94" s="614"/>
      <c r="B94" s="617">
        <v>1</v>
      </c>
      <c r="C94" s="186">
        <v>344460</v>
      </c>
      <c r="D94" s="641" t="s">
        <v>213</v>
      </c>
      <c r="E94" s="620">
        <v>0.1</v>
      </c>
      <c r="F94" s="620">
        <v>0.1</v>
      </c>
      <c r="G94" s="620">
        <f t="shared" si="63"/>
        <v>0.1</v>
      </c>
      <c r="H94" s="620">
        <f t="shared" si="64"/>
        <v>0.1</v>
      </c>
      <c r="I94" s="620">
        <f t="shared" si="65"/>
        <v>0.1</v>
      </c>
      <c r="J94" s="620">
        <f t="shared" si="66"/>
        <v>0.1</v>
      </c>
      <c r="K94" s="614"/>
      <c r="L94" s="617">
        <v>1</v>
      </c>
      <c r="M94" s="625">
        <v>344460</v>
      </c>
      <c r="N94" s="641" t="s">
        <v>213</v>
      </c>
      <c r="O94" s="620">
        <v>0.1</v>
      </c>
      <c r="P94" s="620">
        <v>0.1</v>
      </c>
      <c r="Q94" s="620">
        <f t="shared" si="76"/>
        <v>0.1</v>
      </c>
      <c r="R94" s="638">
        <f t="shared" si="76"/>
        <v>0.1</v>
      </c>
      <c r="S94" s="620">
        <f t="shared" si="77"/>
        <v>0.1</v>
      </c>
      <c r="T94" s="620">
        <f t="shared" si="77"/>
        <v>0.1</v>
      </c>
      <c r="U94" s="667"/>
      <c r="V94" s="652">
        <v>1</v>
      </c>
      <c r="W94" s="653">
        <v>344460</v>
      </c>
      <c r="X94" s="668" t="s">
        <v>213</v>
      </c>
      <c r="Y94" s="658">
        <f t="shared" si="69"/>
        <v>2.54</v>
      </c>
      <c r="Z94" s="658">
        <f t="shared" si="70"/>
        <v>2.54</v>
      </c>
      <c r="AA94" s="658">
        <f t="shared" si="71"/>
        <v>2.54</v>
      </c>
      <c r="AB94" s="658">
        <f t="shared" si="72"/>
        <v>2.54</v>
      </c>
      <c r="AC94" s="658">
        <f t="shared" si="73"/>
        <v>2.54</v>
      </c>
      <c r="AD94" s="658">
        <f t="shared" si="74"/>
        <v>2.54</v>
      </c>
      <c r="AE94" s="667"/>
      <c r="AF94" s="652">
        <v>1</v>
      </c>
      <c r="AG94" s="669">
        <v>344460</v>
      </c>
      <c r="AH94" s="668" t="s">
        <v>213</v>
      </c>
      <c r="AI94" s="658">
        <f t="shared" si="78"/>
        <v>2.54</v>
      </c>
      <c r="AJ94" s="658">
        <f t="shared" si="79"/>
        <v>2.54</v>
      </c>
      <c r="AK94" s="658">
        <f t="shared" si="80"/>
        <v>2.54</v>
      </c>
      <c r="AL94" s="658">
        <f t="shared" si="81"/>
        <v>2.54</v>
      </c>
      <c r="AM94" s="658">
        <f t="shared" si="82"/>
        <v>2.54</v>
      </c>
      <c r="AN94" s="658">
        <f t="shared" si="83"/>
        <v>2.54</v>
      </c>
    </row>
    <row r="95" spans="1:40" ht="12.75">
      <c r="A95" s="614"/>
      <c r="B95" s="617">
        <v>10</v>
      </c>
      <c r="C95" s="186">
        <v>344134</v>
      </c>
      <c r="D95" s="641" t="s">
        <v>214</v>
      </c>
      <c r="E95" s="620">
        <v>0.1</v>
      </c>
      <c r="F95" s="620">
        <v>0.1</v>
      </c>
      <c r="G95" s="620">
        <f t="shared" si="63"/>
        <v>0.1</v>
      </c>
      <c r="H95" s="620">
        <f t="shared" si="64"/>
        <v>0.1</v>
      </c>
      <c r="I95" s="620">
        <f t="shared" si="65"/>
        <v>0.1</v>
      </c>
      <c r="J95" s="620">
        <f t="shared" si="66"/>
        <v>0.1</v>
      </c>
      <c r="K95" s="614"/>
      <c r="L95" s="617">
        <v>15</v>
      </c>
      <c r="M95" s="625">
        <v>344444</v>
      </c>
      <c r="N95" s="641" t="s">
        <v>221</v>
      </c>
      <c r="O95" s="620">
        <v>0.1</v>
      </c>
      <c r="P95" s="620">
        <v>0.1</v>
      </c>
      <c r="Q95" s="620">
        <f t="shared" si="76"/>
        <v>0.1</v>
      </c>
      <c r="R95" s="638">
        <f t="shared" si="76"/>
        <v>0.1</v>
      </c>
      <c r="S95" s="620">
        <f t="shared" si="77"/>
        <v>0.1</v>
      </c>
      <c r="T95" s="620">
        <f t="shared" si="77"/>
        <v>0.1</v>
      </c>
      <c r="U95" s="667"/>
      <c r="V95" s="652">
        <v>10</v>
      </c>
      <c r="W95" s="653">
        <v>344134</v>
      </c>
      <c r="X95" s="668" t="s">
        <v>214</v>
      </c>
      <c r="Y95" s="658">
        <f t="shared" si="69"/>
        <v>2.54</v>
      </c>
      <c r="Z95" s="658">
        <f t="shared" si="70"/>
        <v>2.54</v>
      </c>
      <c r="AA95" s="658">
        <f t="shared" si="71"/>
        <v>2.54</v>
      </c>
      <c r="AB95" s="658">
        <f t="shared" si="72"/>
        <v>2.54</v>
      </c>
      <c r="AC95" s="658">
        <f t="shared" si="73"/>
        <v>2.54</v>
      </c>
      <c r="AD95" s="658">
        <f t="shared" si="74"/>
        <v>2.54</v>
      </c>
      <c r="AE95" s="667"/>
      <c r="AF95" s="652">
        <v>15</v>
      </c>
      <c r="AG95" s="669">
        <v>344444</v>
      </c>
      <c r="AH95" s="668" t="s">
        <v>221</v>
      </c>
      <c r="AI95" s="658">
        <f t="shared" si="78"/>
        <v>2.54</v>
      </c>
      <c r="AJ95" s="658">
        <f t="shared" si="79"/>
        <v>2.54</v>
      </c>
      <c r="AK95" s="658">
        <f t="shared" si="80"/>
        <v>2.54</v>
      </c>
      <c r="AL95" s="658">
        <f t="shared" si="81"/>
        <v>2.54</v>
      </c>
      <c r="AM95" s="658">
        <f t="shared" si="82"/>
        <v>2.54</v>
      </c>
      <c r="AN95" s="658">
        <f t="shared" si="83"/>
        <v>2.54</v>
      </c>
    </row>
    <row r="96" spans="1:40" ht="12.75">
      <c r="A96" s="614"/>
      <c r="B96" s="617">
        <v>11</v>
      </c>
      <c r="C96" s="186"/>
      <c r="D96" s="641" t="s">
        <v>215</v>
      </c>
      <c r="E96" s="620">
        <v>0.1</v>
      </c>
      <c r="F96" s="620">
        <v>0.1</v>
      </c>
      <c r="G96" s="620">
        <f t="shared" si="63"/>
        <v>0.1</v>
      </c>
      <c r="H96" s="620">
        <f t="shared" si="64"/>
        <v>0.1</v>
      </c>
      <c r="I96" s="620">
        <f t="shared" si="65"/>
        <v>0.1</v>
      </c>
      <c r="J96" s="620">
        <f t="shared" si="66"/>
        <v>0.1</v>
      </c>
      <c r="K96" s="614"/>
      <c r="L96" s="617">
        <v>16</v>
      </c>
      <c r="M96" s="625"/>
      <c r="N96" s="641" t="s">
        <v>222</v>
      </c>
      <c r="O96" s="620">
        <v>0.1</v>
      </c>
      <c r="P96" s="620">
        <v>0.1</v>
      </c>
      <c r="Q96" s="620">
        <f t="shared" si="76"/>
        <v>0.1</v>
      </c>
      <c r="R96" s="638">
        <f t="shared" si="76"/>
        <v>0.1</v>
      </c>
      <c r="S96" s="620">
        <f t="shared" si="77"/>
        <v>0.1</v>
      </c>
      <c r="T96" s="620">
        <f t="shared" si="77"/>
        <v>0.1</v>
      </c>
      <c r="U96" s="667"/>
      <c r="V96" s="652">
        <v>11</v>
      </c>
      <c r="W96" s="653"/>
      <c r="X96" s="668" t="s">
        <v>215</v>
      </c>
      <c r="Y96" s="658">
        <f t="shared" si="69"/>
        <v>2.54</v>
      </c>
      <c r="Z96" s="658">
        <f t="shared" si="70"/>
        <v>2.54</v>
      </c>
      <c r="AA96" s="658">
        <f t="shared" si="71"/>
        <v>2.54</v>
      </c>
      <c r="AB96" s="658">
        <f t="shared" si="72"/>
        <v>2.54</v>
      </c>
      <c r="AC96" s="658">
        <f t="shared" si="73"/>
        <v>2.54</v>
      </c>
      <c r="AD96" s="658">
        <f t="shared" si="74"/>
        <v>2.54</v>
      </c>
      <c r="AE96" s="667"/>
      <c r="AF96" s="652">
        <v>16</v>
      </c>
      <c r="AG96" s="669"/>
      <c r="AH96" s="668" t="s">
        <v>222</v>
      </c>
      <c r="AI96" s="658">
        <f t="shared" si="78"/>
        <v>2.54</v>
      </c>
      <c r="AJ96" s="658">
        <f t="shared" si="79"/>
        <v>2.54</v>
      </c>
      <c r="AK96" s="658">
        <f t="shared" si="80"/>
        <v>2.54</v>
      </c>
      <c r="AL96" s="658">
        <f t="shared" si="81"/>
        <v>2.54</v>
      </c>
      <c r="AM96" s="658">
        <f t="shared" si="82"/>
        <v>2.54</v>
      </c>
      <c r="AN96" s="658">
        <f t="shared" si="83"/>
        <v>2.54</v>
      </c>
    </row>
    <row r="97" spans="1:40" ht="12.75">
      <c r="A97" s="614"/>
      <c r="B97" s="617">
        <v>12</v>
      </c>
      <c r="C97" s="186"/>
      <c r="D97" s="641" t="s">
        <v>219</v>
      </c>
      <c r="E97" s="620">
        <v>0.1</v>
      </c>
      <c r="F97" s="620">
        <v>0.1</v>
      </c>
      <c r="G97" s="620">
        <f t="shared" si="63"/>
        <v>0.1</v>
      </c>
      <c r="H97" s="620">
        <f t="shared" si="64"/>
        <v>0.1</v>
      </c>
      <c r="I97" s="620">
        <f t="shared" si="65"/>
        <v>0.1</v>
      </c>
      <c r="J97" s="620">
        <f t="shared" si="66"/>
        <v>0.1</v>
      </c>
      <c r="K97" s="614"/>
      <c r="L97" s="617">
        <v>17</v>
      </c>
      <c r="M97" s="625"/>
      <c r="N97" s="641" t="s">
        <v>219</v>
      </c>
      <c r="O97" s="620">
        <v>0.1</v>
      </c>
      <c r="P97" s="620">
        <v>0.1</v>
      </c>
      <c r="Q97" s="620">
        <f t="shared" si="76"/>
        <v>0.1</v>
      </c>
      <c r="R97" s="638">
        <f t="shared" si="76"/>
        <v>0.1</v>
      </c>
      <c r="S97" s="620">
        <f t="shared" si="77"/>
        <v>0.1</v>
      </c>
      <c r="T97" s="620">
        <f t="shared" si="77"/>
        <v>0.1</v>
      </c>
      <c r="U97" s="667"/>
      <c r="V97" s="652">
        <v>12</v>
      </c>
      <c r="W97" s="653"/>
      <c r="X97" s="668" t="s">
        <v>219</v>
      </c>
      <c r="Y97" s="658">
        <f t="shared" si="69"/>
        <v>2.54</v>
      </c>
      <c r="Z97" s="658">
        <f t="shared" si="70"/>
        <v>2.54</v>
      </c>
      <c r="AA97" s="658">
        <f t="shared" si="71"/>
        <v>2.54</v>
      </c>
      <c r="AB97" s="658">
        <f t="shared" si="72"/>
        <v>2.54</v>
      </c>
      <c r="AC97" s="658">
        <f t="shared" si="73"/>
        <v>2.54</v>
      </c>
      <c r="AD97" s="658">
        <f t="shared" si="74"/>
        <v>2.54</v>
      </c>
      <c r="AE97" s="667"/>
      <c r="AF97" s="652">
        <v>17</v>
      </c>
      <c r="AG97" s="669"/>
      <c r="AH97" s="668" t="s">
        <v>219</v>
      </c>
      <c r="AI97" s="658">
        <f t="shared" si="78"/>
        <v>2.54</v>
      </c>
      <c r="AJ97" s="658">
        <f t="shared" si="79"/>
        <v>2.54</v>
      </c>
      <c r="AK97" s="658">
        <f t="shared" si="80"/>
        <v>2.54</v>
      </c>
      <c r="AL97" s="658">
        <f t="shared" si="81"/>
        <v>2.54</v>
      </c>
      <c r="AM97" s="658">
        <f t="shared" si="82"/>
        <v>2.54</v>
      </c>
      <c r="AN97" s="658">
        <f t="shared" si="83"/>
        <v>2.54</v>
      </c>
    </row>
    <row r="98" spans="1:40" ht="12.75">
      <c r="A98" s="614"/>
      <c r="B98" s="617"/>
      <c r="C98" s="186"/>
      <c r="D98" s="641"/>
      <c r="E98" s="620"/>
      <c r="F98" s="620"/>
      <c r="G98" s="620"/>
      <c r="H98" s="620"/>
      <c r="I98" s="620"/>
      <c r="J98" s="620"/>
      <c r="K98" s="614"/>
      <c r="L98" s="617"/>
      <c r="M98" s="625"/>
      <c r="N98" s="641"/>
      <c r="O98" s="620"/>
      <c r="P98" s="620"/>
      <c r="Q98" s="620"/>
      <c r="R98" s="638"/>
      <c r="S98" s="620"/>
      <c r="T98" s="620"/>
      <c r="U98" s="667"/>
      <c r="V98" s="652"/>
      <c r="W98" s="653"/>
      <c r="X98" s="668"/>
      <c r="Y98" s="658">
        <f t="shared" si="69"/>
        <v>0</v>
      </c>
      <c r="Z98" s="658">
        <f t="shared" si="70"/>
        <v>0</v>
      </c>
      <c r="AA98" s="658">
        <f t="shared" si="71"/>
        <v>0</v>
      </c>
      <c r="AB98" s="658">
        <f t="shared" si="72"/>
        <v>0</v>
      </c>
      <c r="AC98" s="658">
        <f t="shared" si="73"/>
        <v>0</v>
      </c>
      <c r="AD98" s="658">
        <f t="shared" si="74"/>
        <v>0</v>
      </c>
      <c r="AE98" s="667"/>
      <c r="AF98" s="652"/>
      <c r="AG98" s="669"/>
      <c r="AH98" s="668"/>
      <c r="AI98" s="658">
        <f t="shared" si="78"/>
        <v>0</v>
      </c>
      <c r="AJ98" s="658">
        <f t="shared" si="79"/>
        <v>0</v>
      </c>
      <c r="AK98" s="658">
        <f t="shared" si="80"/>
        <v>0</v>
      </c>
      <c r="AL98" s="658">
        <f t="shared" si="81"/>
        <v>0</v>
      </c>
      <c r="AM98" s="658">
        <f t="shared" si="82"/>
        <v>0</v>
      </c>
      <c r="AN98" s="658">
        <f t="shared" si="83"/>
        <v>0</v>
      </c>
    </row>
    <row r="99" spans="1:40" ht="12.75">
      <c r="A99" s="614" t="s">
        <v>247</v>
      </c>
      <c r="B99" s="617"/>
      <c r="C99" s="186"/>
      <c r="D99" s="641" t="s">
        <v>205</v>
      </c>
      <c r="E99" s="620">
        <f>SUM(E84:E97)</f>
        <v>0.9999999999999999</v>
      </c>
      <c r="F99" s="620">
        <f>SUM(F84:F97)</f>
        <v>0.9999999999999999</v>
      </c>
      <c r="G99" s="620">
        <f>SUM(G84:G97)</f>
        <v>0.9999999999999999</v>
      </c>
      <c r="H99" s="620">
        <f>SUM(H84:H97)</f>
        <v>0.9999999999999999</v>
      </c>
      <c r="I99" s="620">
        <f>AVERAGE(E99,G99)</f>
        <v>0.9999999999999999</v>
      </c>
      <c r="J99" s="620">
        <f>AVERAGE(F99,H99)</f>
        <v>0.9999999999999999</v>
      </c>
      <c r="K99" s="614"/>
      <c r="L99" s="617"/>
      <c r="M99" s="625"/>
      <c r="N99" s="641" t="s">
        <v>205</v>
      </c>
      <c r="O99" s="620">
        <f>SUM(O84:O97)</f>
        <v>0.8999999999999999</v>
      </c>
      <c r="P99" s="620">
        <f>SUM(P84:P97)</f>
        <v>0.8999999999999999</v>
      </c>
      <c r="Q99" s="620">
        <f>SUM(Q84:Q97)</f>
        <v>0.8999999999999999</v>
      </c>
      <c r="R99" s="638">
        <f>SUM(R84:R97)</f>
        <v>0.8999999999999999</v>
      </c>
      <c r="S99" s="620">
        <f>AVERAGE(O99,Q99)</f>
        <v>0.8999999999999999</v>
      </c>
      <c r="T99" s="620">
        <f>AVERAGE(P99,R99)</f>
        <v>0.8999999999999999</v>
      </c>
      <c r="U99" s="667" t="str">
        <f>A99</f>
        <v>Mech. Model </v>
      </c>
      <c r="V99" s="652"/>
      <c r="W99" s="653"/>
      <c r="X99" s="668" t="s">
        <v>205</v>
      </c>
      <c r="Y99" s="658">
        <f t="shared" si="69"/>
        <v>25.399999999999995</v>
      </c>
      <c r="Z99" s="658">
        <f t="shared" si="70"/>
        <v>25.399999999999995</v>
      </c>
      <c r="AA99" s="658">
        <f t="shared" si="71"/>
        <v>25.399999999999995</v>
      </c>
      <c r="AB99" s="658">
        <f t="shared" si="72"/>
        <v>25.399999999999995</v>
      </c>
      <c r="AC99" s="658">
        <f t="shared" si="73"/>
        <v>25.399999999999995</v>
      </c>
      <c r="AD99" s="658">
        <f t="shared" si="74"/>
        <v>25.399999999999995</v>
      </c>
      <c r="AE99" s="667"/>
      <c r="AF99" s="652"/>
      <c r="AG99" s="669"/>
      <c r="AH99" s="668" t="s">
        <v>205</v>
      </c>
      <c r="AI99" s="658">
        <f t="shared" si="78"/>
        <v>22.859999999999996</v>
      </c>
      <c r="AJ99" s="658">
        <f t="shared" si="79"/>
        <v>22.859999999999996</v>
      </c>
      <c r="AK99" s="658">
        <f t="shared" si="80"/>
        <v>22.859999999999996</v>
      </c>
      <c r="AL99" s="658">
        <f t="shared" si="81"/>
        <v>22.859999999999996</v>
      </c>
      <c r="AM99" s="658">
        <f t="shared" si="82"/>
        <v>22.859999999999996</v>
      </c>
      <c r="AN99" s="658">
        <f t="shared" si="83"/>
        <v>22.859999999999996</v>
      </c>
    </row>
    <row r="100" spans="1:40" ht="12.75">
      <c r="A100" s="614" t="s">
        <v>248</v>
      </c>
      <c r="B100" s="617"/>
      <c r="C100" s="186"/>
      <c r="D100" s="641" t="s">
        <v>232</v>
      </c>
      <c r="E100" s="620">
        <v>0</v>
      </c>
      <c r="F100" s="620">
        <v>0</v>
      </c>
      <c r="G100" s="620">
        <f>E100</f>
        <v>0</v>
      </c>
      <c r="H100" s="620">
        <f>F100</f>
        <v>0</v>
      </c>
      <c r="I100" s="620">
        <f>G100</f>
        <v>0</v>
      </c>
      <c r="J100" s="620">
        <f>H100</f>
        <v>0</v>
      </c>
      <c r="K100" s="614"/>
      <c r="L100" s="617"/>
      <c r="M100" s="625"/>
      <c r="N100" s="641" t="s">
        <v>232</v>
      </c>
      <c r="O100" s="620">
        <v>0</v>
      </c>
      <c r="P100" s="620">
        <v>0</v>
      </c>
      <c r="Q100" s="620">
        <f>O100</f>
        <v>0</v>
      </c>
      <c r="R100" s="620">
        <f>P100</f>
        <v>0</v>
      </c>
      <c r="S100" s="620">
        <f>Q100</f>
        <v>0</v>
      </c>
      <c r="T100" s="620">
        <f>R100</f>
        <v>0</v>
      </c>
      <c r="U100" s="667" t="str">
        <f>A100</f>
        <v>Tolerances</v>
      </c>
      <c r="V100" s="652"/>
      <c r="W100" s="653"/>
      <c r="X100" s="668" t="s">
        <v>232</v>
      </c>
      <c r="Y100" s="658">
        <f t="shared" si="69"/>
        <v>0</v>
      </c>
      <c r="Z100" s="658">
        <f t="shared" si="70"/>
        <v>0</v>
      </c>
      <c r="AA100" s="658">
        <f t="shared" si="71"/>
        <v>0</v>
      </c>
      <c r="AB100" s="658">
        <f t="shared" si="72"/>
        <v>0</v>
      </c>
      <c r="AC100" s="658">
        <f t="shared" si="73"/>
        <v>0</v>
      </c>
      <c r="AD100" s="658">
        <f t="shared" si="74"/>
        <v>0</v>
      </c>
      <c r="AE100" s="667"/>
      <c r="AF100" s="652"/>
      <c r="AG100" s="669"/>
      <c r="AH100" s="668" t="s">
        <v>232</v>
      </c>
      <c r="AI100" s="658">
        <f t="shared" si="78"/>
        <v>0</v>
      </c>
      <c r="AJ100" s="658">
        <f t="shared" si="79"/>
        <v>0</v>
      </c>
      <c r="AK100" s="658">
        <f t="shared" si="80"/>
        <v>0</v>
      </c>
      <c r="AL100" s="658">
        <f t="shared" si="81"/>
        <v>0</v>
      </c>
      <c r="AM100" s="658">
        <f t="shared" si="82"/>
        <v>0</v>
      </c>
      <c r="AN100" s="658">
        <f t="shared" si="83"/>
        <v>0</v>
      </c>
    </row>
    <row r="101" spans="1:40" ht="12.75">
      <c r="A101" s="614"/>
      <c r="B101" s="617"/>
      <c r="C101" s="186"/>
      <c r="D101" s="641"/>
      <c r="E101" s="620"/>
      <c r="F101" s="620"/>
      <c r="G101" s="620"/>
      <c r="H101" s="620"/>
      <c r="I101" s="620"/>
      <c r="J101" s="620"/>
      <c r="K101" s="614"/>
      <c r="L101" s="617"/>
      <c r="M101" s="625"/>
      <c r="N101" s="641"/>
      <c r="O101" s="620"/>
      <c r="P101" s="620"/>
      <c r="Q101" s="620"/>
      <c r="R101" s="638"/>
      <c r="S101" s="614"/>
      <c r="T101" s="614"/>
      <c r="U101" s="667"/>
      <c r="V101" s="652"/>
      <c r="W101" s="653"/>
      <c r="X101" s="668"/>
      <c r="Y101" s="670"/>
      <c r="Z101" s="670"/>
      <c r="AA101" s="670"/>
      <c r="AB101" s="670"/>
      <c r="AC101" s="670"/>
      <c r="AD101" s="670"/>
      <c r="AE101" s="667"/>
      <c r="AF101" s="652"/>
      <c r="AG101" s="669"/>
      <c r="AH101" s="668"/>
      <c r="AI101" s="670"/>
      <c r="AJ101" s="670"/>
      <c r="AK101" s="670"/>
      <c r="AL101" s="670"/>
      <c r="AM101" s="670"/>
      <c r="AN101" s="670"/>
    </row>
    <row r="102" spans="1:40" ht="12.75">
      <c r="A102" s="614"/>
      <c r="B102" s="617"/>
      <c r="C102" s="186"/>
      <c r="D102" s="641" t="s">
        <v>235</v>
      </c>
      <c r="E102" s="620"/>
      <c r="F102" s="620"/>
      <c r="G102" s="620"/>
      <c r="H102" s="620"/>
      <c r="I102" s="620"/>
      <c r="J102" s="620"/>
      <c r="K102" s="614"/>
      <c r="L102" s="617"/>
      <c r="M102" s="625"/>
      <c r="N102" s="641" t="s">
        <v>265</v>
      </c>
      <c r="O102" s="620"/>
      <c r="P102" s="620"/>
      <c r="Q102" s="620"/>
      <c r="R102" s="638"/>
      <c r="S102" s="614"/>
      <c r="T102" s="614"/>
      <c r="U102" s="667"/>
      <c r="V102" s="652"/>
      <c r="W102" s="653"/>
      <c r="X102" s="668" t="str">
        <f>D102</f>
        <v>Beam gauge # I-007</v>
      </c>
      <c r="Y102" s="670"/>
      <c r="Z102" s="670"/>
      <c r="AA102" s="670"/>
      <c r="AB102" s="670"/>
      <c r="AC102" s="658">
        <f>I102*25.4</f>
        <v>0</v>
      </c>
      <c r="AD102" s="670"/>
      <c r="AE102" s="667"/>
      <c r="AF102" s="652"/>
      <c r="AG102" s="669"/>
      <c r="AH102" s="668" t="str">
        <f>N102</f>
        <v>Beam gauge # I-003</v>
      </c>
      <c r="AI102" s="670"/>
      <c r="AJ102" s="670"/>
      <c r="AK102" s="670"/>
      <c r="AL102" s="670"/>
      <c r="AM102" s="658">
        <f>S102*25.4</f>
        <v>0</v>
      </c>
      <c r="AN102" s="670"/>
    </row>
    <row r="103" spans="1:40" ht="12.75">
      <c r="A103" s="614"/>
      <c r="B103" s="617"/>
      <c r="C103" s="186"/>
      <c r="D103" s="641" t="s">
        <v>236</v>
      </c>
      <c r="E103" s="620"/>
      <c r="F103" s="620"/>
      <c r="G103" s="620"/>
      <c r="H103" s="620"/>
      <c r="I103" s="620"/>
      <c r="J103" s="620"/>
      <c r="K103" s="614"/>
      <c r="L103" s="617"/>
      <c r="M103" s="625"/>
      <c r="N103" s="641" t="s">
        <v>266</v>
      </c>
      <c r="O103" s="620"/>
      <c r="P103" s="620"/>
      <c r="Q103" s="620"/>
      <c r="R103" s="638"/>
      <c r="S103" s="614"/>
      <c r="T103" s="614"/>
      <c r="U103" s="667"/>
      <c r="V103" s="652"/>
      <c r="W103" s="653"/>
      <c r="X103" s="668" t="str">
        <f>D103</f>
        <v>Beam gauge # I-008</v>
      </c>
      <c r="Y103" s="670"/>
      <c r="Z103" s="670"/>
      <c r="AA103" s="670"/>
      <c r="AB103" s="670"/>
      <c r="AC103" s="658">
        <f>I103*25.4</f>
        <v>0</v>
      </c>
      <c r="AD103" s="670"/>
      <c r="AE103" s="667"/>
      <c r="AF103" s="652"/>
      <c r="AG103" s="669"/>
      <c r="AH103" s="668" t="str">
        <f>N103</f>
        <v>Beam gauge # I-004</v>
      </c>
      <c r="AI103" s="670"/>
      <c r="AJ103" s="670"/>
      <c r="AK103" s="670"/>
      <c r="AL103" s="670"/>
      <c r="AM103" s="658">
        <f>S103*25.4</f>
        <v>0</v>
      </c>
      <c r="AN103" s="670"/>
    </row>
    <row r="104" spans="1:40" ht="12.75">
      <c r="A104" s="614"/>
      <c r="B104" s="617"/>
      <c r="C104" s="186"/>
      <c r="D104" s="641" t="s">
        <v>233</v>
      </c>
      <c r="E104" s="620"/>
      <c r="F104" s="620"/>
      <c r="G104" s="620"/>
      <c r="H104" s="620"/>
      <c r="I104" s="620"/>
      <c r="J104" s="620"/>
      <c r="K104" s="614"/>
      <c r="L104" s="617"/>
      <c r="M104" s="625"/>
      <c r="N104" s="641" t="s">
        <v>263</v>
      </c>
      <c r="O104" s="620"/>
      <c r="P104" s="620"/>
      <c r="Q104" s="620"/>
      <c r="R104" s="638"/>
      <c r="S104" s="614"/>
      <c r="T104" s="614"/>
      <c r="U104" s="667"/>
      <c r="V104" s="652"/>
      <c r="W104" s="653"/>
      <c r="X104" s="668" t="str">
        <f>D104</f>
        <v>Capacitance gauge # 11</v>
      </c>
      <c r="Y104" s="670"/>
      <c r="Z104" s="670"/>
      <c r="AA104" s="670"/>
      <c r="AB104" s="670"/>
      <c r="AC104" s="658">
        <f>I104*25.4</f>
        <v>0</v>
      </c>
      <c r="AD104" s="670"/>
      <c r="AE104" s="667"/>
      <c r="AF104" s="652"/>
      <c r="AG104" s="669"/>
      <c r="AH104" s="668" t="str">
        <f>N104</f>
        <v>Capacitance gauge # 17</v>
      </c>
      <c r="AI104" s="670"/>
      <c r="AJ104" s="670"/>
      <c r="AK104" s="670"/>
      <c r="AL104" s="670"/>
      <c r="AM104" s="658">
        <f>S104*25.4</f>
        <v>0</v>
      </c>
      <c r="AN104" s="670"/>
    </row>
    <row r="105" spans="1:40" ht="12.75">
      <c r="A105" s="614"/>
      <c r="B105" s="617"/>
      <c r="C105" s="186"/>
      <c r="D105" s="641" t="s">
        <v>240</v>
      </c>
      <c r="E105" s="620"/>
      <c r="F105" s="620"/>
      <c r="G105" s="620"/>
      <c r="H105" s="620"/>
      <c r="I105" s="620"/>
      <c r="J105" s="620"/>
      <c r="K105" s="614"/>
      <c r="L105" s="617"/>
      <c r="M105" s="625"/>
      <c r="N105" s="641" t="s">
        <v>264</v>
      </c>
      <c r="O105" s="620"/>
      <c r="P105" s="620"/>
      <c r="Q105" s="620"/>
      <c r="R105" s="638"/>
      <c r="S105" s="614"/>
      <c r="T105" s="614"/>
      <c r="U105" s="667"/>
      <c r="V105" s="652"/>
      <c r="W105" s="653"/>
      <c r="X105" s="668" t="str">
        <f>D105</f>
        <v>Capacitance gauge # 16</v>
      </c>
      <c r="Y105" s="670"/>
      <c r="Z105" s="670"/>
      <c r="AA105" s="670"/>
      <c r="AB105" s="670"/>
      <c r="AC105" s="658">
        <f>I105*25.4</f>
        <v>0</v>
      </c>
      <c r="AD105" s="670"/>
      <c r="AE105" s="667"/>
      <c r="AF105" s="652"/>
      <c r="AG105" s="669"/>
      <c r="AH105" s="668" t="str">
        <f>N105</f>
        <v>Capacitance gauge # 19</v>
      </c>
      <c r="AI105" s="670"/>
      <c r="AJ105" s="670"/>
      <c r="AK105" s="670"/>
      <c r="AL105" s="670"/>
      <c r="AM105" s="658">
        <f>S105*25.4</f>
        <v>0</v>
      </c>
      <c r="AN105" s="670"/>
    </row>
    <row r="106" spans="1:40" ht="12.75">
      <c r="A106" s="645"/>
      <c r="B106" s="618"/>
      <c r="C106" s="619"/>
      <c r="D106" s="644"/>
      <c r="E106" s="621"/>
      <c r="F106" s="621"/>
      <c r="G106" s="621"/>
      <c r="H106" s="621"/>
      <c r="I106" s="621"/>
      <c r="J106" s="621"/>
      <c r="K106" s="645"/>
      <c r="L106" s="618"/>
      <c r="M106" s="627"/>
      <c r="N106" s="646"/>
      <c r="O106" s="621"/>
      <c r="P106" s="621"/>
      <c r="Q106" s="621"/>
      <c r="R106" s="639"/>
      <c r="S106" s="645"/>
      <c r="T106" s="645"/>
      <c r="U106" s="671"/>
      <c r="V106" s="672"/>
      <c r="W106" s="673"/>
      <c r="X106" s="674"/>
      <c r="Y106" s="675"/>
      <c r="Z106" s="675"/>
      <c r="AA106" s="675"/>
      <c r="AB106" s="675"/>
      <c r="AC106" s="675"/>
      <c r="AD106" s="675"/>
      <c r="AE106" s="671"/>
      <c r="AF106" s="672"/>
      <c r="AG106" s="676"/>
      <c r="AH106" s="677"/>
      <c r="AI106" s="675"/>
      <c r="AJ106" s="675"/>
      <c r="AK106" s="675"/>
      <c r="AL106" s="675"/>
      <c r="AM106" s="675"/>
      <c r="AN106" s="675"/>
    </row>
    <row r="108" spans="2:29" ht="12" customHeight="1">
      <c r="B108" s="758" t="s">
        <v>252</v>
      </c>
      <c r="C108" s="759"/>
      <c r="D108" s="760"/>
      <c r="E108" s="759"/>
      <c r="F108" s="635"/>
      <c r="G108" s="753" t="s">
        <v>261</v>
      </c>
      <c r="H108" s="754"/>
      <c r="I108" s="755"/>
      <c r="K108"/>
      <c r="V108" s="778" t="s">
        <v>252</v>
      </c>
      <c r="W108" s="779"/>
      <c r="X108" s="780"/>
      <c r="Y108" s="779"/>
      <c r="Z108" s="650"/>
      <c r="AA108" s="781" t="s">
        <v>261</v>
      </c>
      <c r="AB108" s="782"/>
      <c r="AC108" s="783"/>
    </row>
    <row r="109" spans="2:29" ht="12.75">
      <c r="B109" s="632"/>
      <c r="C109" s="761"/>
      <c r="D109" s="761"/>
      <c r="E109" s="761"/>
      <c r="F109" s="634"/>
      <c r="G109" s="756" t="s">
        <v>260</v>
      </c>
      <c r="H109" s="756" t="s">
        <v>183</v>
      </c>
      <c r="I109" s="756" t="s">
        <v>172</v>
      </c>
      <c r="K109"/>
      <c r="V109" s="651"/>
      <c r="W109" s="784"/>
      <c r="X109" s="784"/>
      <c r="Y109" s="784"/>
      <c r="Z109" s="654"/>
      <c r="AA109" s="785" t="s">
        <v>260</v>
      </c>
      <c r="AB109" s="785" t="s">
        <v>183</v>
      </c>
      <c r="AC109" s="785" t="s">
        <v>172</v>
      </c>
    </row>
    <row r="110" spans="2:29" ht="12.75">
      <c r="B110" s="632"/>
      <c r="C110" s="761"/>
      <c r="D110" s="761"/>
      <c r="E110" s="761"/>
      <c r="F110" s="634"/>
      <c r="G110" s="613"/>
      <c r="H110" s="613"/>
      <c r="I110" s="613"/>
      <c r="K110"/>
      <c r="V110" s="651"/>
      <c r="W110" s="784"/>
      <c r="X110" s="784"/>
      <c r="Y110" s="784"/>
      <c r="Z110" s="654"/>
      <c r="AA110" s="660"/>
      <c r="AB110" s="660"/>
      <c r="AC110" s="660"/>
    </row>
    <row r="111" spans="2:29" ht="12.75">
      <c r="B111" s="632"/>
      <c r="C111" s="761"/>
      <c r="D111" s="761" t="s">
        <v>258</v>
      </c>
      <c r="E111" s="761"/>
      <c r="F111" s="634"/>
      <c r="G111" s="614"/>
      <c r="H111" s="620">
        <v>-2.3929</v>
      </c>
      <c r="I111" s="620">
        <v>-3.714</v>
      </c>
      <c r="V111" s="651"/>
      <c r="W111" s="784"/>
      <c r="X111" s="784" t="s">
        <v>258</v>
      </c>
      <c r="Y111" s="784"/>
      <c r="Z111" s="654"/>
      <c r="AA111" s="658"/>
      <c r="AB111" s="658">
        <f>H111*25.4</f>
        <v>-60.77966</v>
      </c>
      <c r="AC111" s="670">
        <v>-3.714</v>
      </c>
    </row>
    <row r="112" spans="2:29" ht="12.75">
      <c r="B112" s="632"/>
      <c r="C112" s="761"/>
      <c r="D112" s="761" t="s">
        <v>253</v>
      </c>
      <c r="E112" s="761"/>
      <c r="F112" s="634"/>
      <c r="G112" s="614"/>
      <c r="H112" s="620"/>
      <c r="I112" s="620"/>
      <c r="V112" s="651"/>
      <c r="W112" s="784"/>
      <c r="X112" s="784" t="s">
        <v>253</v>
      </c>
      <c r="Y112" s="784"/>
      <c r="Z112" s="654"/>
      <c r="AA112" s="658"/>
      <c r="AB112" s="658"/>
      <c r="AC112" s="670"/>
    </row>
    <row r="113" spans="2:29" ht="12.75">
      <c r="B113" s="632"/>
      <c r="C113" s="761"/>
      <c r="D113" s="761" t="s">
        <v>254</v>
      </c>
      <c r="E113" s="761"/>
      <c r="F113" s="634"/>
      <c r="G113" s="614">
        <v>0.5</v>
      </c>
      <c r="H113" s="620"/>
      <c r="I113" s="620"/>
      <c r="V113" s="651"/>
      <c r="W113" s="784"/>
      <c r="X113" s="784" t="s">
        <v>254</v>
      </c>
      <c r="Y113" s="784"/>
      <c r="Z113" s="654"/>
      <c r="AA113" s="658">
        <f>G113*25.4</f>
        <v>12.7</v>
      </c>
      <c r="AB113" s="658"/>
      <c r="AC113" s="670"/>
    </row>
    <row r="114" spans="2:29" ht="12.75">
      <c r="B114" s="632"/>
      <c r="C114" s="761"/>
      <c r="D114" s="761" t="s">
        <v>255</v>
      </c>
      <c r="E114" s="761"/>
      <c r="F114" s="634"/>
      <c r="G114" s="614">
        <v>0</v>
      </c>
      <c r="H114" s="620"/>
      <c r="I114" s="620"/>
      <c r="V114" s="651"/>
      <c r="W114" s="784"/>
      <c r="X114" s="784" t="s">
        <v>255</v>
      </c>
      <c r="Y114" s="784"/>
      <c r="Z114" s="654"/>
      <c r="AA114" s="658">
        <f>G114*25.4</f>
        <v>0</v>
      </c>
      <c r="AB114" s="658"/>
      <c r="AC114" s="670"/>
    </row>
    <row r="115" spans="2:29" ht="12.75">
      <c r="B115" s="632"/>
      <c r="C115" s="761"/>
      <c r="D115" s="761" t="s">
        <v>257</v>
      </c>
      <c r="E115" s="761"/>
      <c r="F115" s="634"/>
      <c r="G115" s="614">
        <f>G113-G114</f>
        <v>0.5</v>
      </c>
      <c r="H115" s="620"/>
      <c r="I115" s="620"/>
      <c r="V115" s="651"/>
      <c r="W115" s="784"/>
      <c r="X115" s="784" t="s">
        <v>257</v>
      </c>
      <c r="Y115" s="784"/>
      <c r="Z115" s="654"/>
      <c r="AA115" s="658">
        <f>G115*25.4</f>
        <v>12.7</v>
      </c>
      <c r="AB115" s="658"/>
      <c r="AC115" s="670"/>
    </row>
    <row r="116" spans="2:29" ht="12.75">
      <c r="B116" s="632"/>
      <c r="C116" s="761"/>
      <c r="D116" s="761" t="s">
        <v>256</v>
      </c>
      <c r="E116" s="761"/>
      <c r="F116" s="634"/>
      <c r="G116" s="614"/>
      <c r="H116" s="620">
        <f>G115/SQRT(2)</f>
        <v>0.35355339059327373</v>
      </c>
      <c r="I116" s="620">
        <f>H116</f>
        <v>0.35355339059327373</v>
      </c>
      <c r="V116" s="651"/>
      <c r="W116" s="784"/>
      <c r="X116" s="784" t="s">
        <v>256</v>
      </c>
      <c r="Y116" s="784"/>
      <c r="Z116" s="654"/>
      <c r="AA116" s="658"/>
      <c r="AB116" s="658">
        <f>H116*25.4</f>
        <v>8.980256121069152</v>
      </c>
      <c r="AC116" s="670">
        <f>AB116</f>
        <v>8.980256121069152</v>
      </c>
    </row>
    <row r="117" spans="2:29" ht="12.75">
      <c r="B117" s="632"/>
      <c r="C117" s="761"/>
      <c r="D117" s="761"/>
      <c r="E117" s="761"/>
      <c r="F117" s="634"/>
      <c r="G117" s="614"/>
      <c r="H117" s="620"/>
      <c r="I117" s="620"/>
      <c r="V117" s="651"/>
      <c r="W117" s="784"/>
      <c r="X117" s="784"/>
      <c r="Y117" s="784"/>
      <c r="Z117" s="654"/>
      <c r="AA117" s="658"/>
      <c r="AB117" s="658"/>
      <c r="AC117" s="670"/>
    </row>
    <row r="118" spans="2:29" ht="12.75">
      <c r="B118" s="632" t="s">
        <v>262</v>
      </c>
      <c r="C118" s="761"/>
      <c r="D118" s="761" t="s">
        <v>259</v>
      </c>
      <c r="E118" s="761"/>
      <c r="F118" s="634"/>
      <c r="G118" s="614"/>
      <c r="H118" s="620">
        <f>2*(H111+H116)</f>
        <v>-4.078693218813452</v>
      </c>
      <c r="I118" s="620">
        <f>2*(I111+I116)</f>
        <v>-6.720893218813453</v>
      </c>
      <c r="V118" s="651" t="s">
        <v>262</v>
      </c>
      <c r="W118" s="784"/>
      <c r="X118" s="784" t="s">
        <v>259</v>
      </c>
      <c r="Y118" s="784"/>
      <c r="Z118" s="654"/>
      <c r="AA118" s="658"/>
      <c r="AB118" s="658">
        <f>H118*25.4</f>
        <v>-103.59880775786168</v>
      </c>
      <c r="AC118" s="670">
        <f>2*(AC111+AC116)</f>
        <v>10.532512242138303</v>
      </c>
    </row>
    <row r="119" spans="2:29" ht="12.75">
      <c r="B119" s="762"/>
      <c r="C119" s="763"/>
      <c r="D119" s="763"/>
      <c r="E119" s="763"/>
      <c r="F119" s="764"/>
      <c r="G119" s="757"/>
      <c r="H119" s="757"/>
      <c r="I119" s="757"/>
      <c r="V119" s="786"/>
      <c r="W119" s="787"/>
      <c r="X119" s="787"/>
      <c r="Y119" s="787"/>
      <c r="Z119" s="788"/>
      <c r="AA119" s="789"/>
      <c r="AB119" s="789"/>
      <c r="AC119" s="789"/>
    </row>
    <row r="122" s="609" customFormat="1" ht="12.75">
      <c r="M122" s="678"/>
    </row>
  </sheetData>
  <mergeCells count="24">
    <mergeCell ref="G108:I108"/>
    <mergeCell ref="AA108:AC108"/>
    <mergeCell ref="L6:T6"/>
    <mergeCell ref="A2:T2"/>
    <mergeCell ref="U2:AN2"/>
    <mergeCell ref="V6:AD6"/>
    <mergeCell ref="AF6:AN6"/>
    <mergeCell ref="E7:J7"/>
    <mergeCell ref="B6:J6"/>
    <mergeCell ref="E8:F8"/>
    <mergeCell ref="G8:H8"/>
    <mergeCell ref="I8:J8"/>
    <mergeCell ref="O7:T7"/>
    <mergeCell ref="O8:P8"/>
    <mergeCell ref="Q8:R8"/>
    <mergeCell ref="S8:T8"/>
    <mergeCell ref="Y7:AD7"/>
    <mergeCell ref="AI7:AN7"/>
    <mergeCell ref="Y8:Z8"/>
    <mergeCell ref="AA8:AB8"/>
    <mergeCell ref="AC8:AD8"/>
    <mergeCell ref="AI8:AJ8"/>
    <mergeCell ref="AK8:AL8"/>
    <mergeCell ref="AM8:AN8"/>
  </mergeCells>
  <printOptions/>
  <pageMargins left="0.75" right="0.75" top="1" bottom="1" header="0.5" footer="0.5"/>
  <pageSetup horizontalDpi="300" verticalDpi="300" orientation="portrait" scale="55" r:id="rId1"/>
  <headerFooter alignWithMargins="0">
    <oddFooter>&amp;L&amp;A, &amp;F&amp;R&amp;D</oddFooter>
  </headerFooter>
  <rowBreaks count="1" manualBreakCount="1">
    <brk id="82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96"/>
  <sheetViews>
    <sheetView view="pageBreakPreview" zoomScale="60" workbookViewId="0" topLeftCell="A82">
      <selection activeCell="G89" sqref="G89"/>
    </sheetView>
  </sheetViews>
  <sheetFormatPr defaultColWidth="9.00390625" defaultRowHeight="12.75"/>
  <cols>
    <col min="1" max="1" width="11.875" style="0" customWidth="1"/>
    <col min="2" max="2" width="16.625" style="0" customWidth="1"/>
    <col min="3" max="3" width="13.375" style="0" customWidth="1"/>
    <col min="4" max="4" width="16.625" style="0" customWidth="1"/>
    <col min="5" max="6" width="11.875" style="0" customWidth="1"/>
    <col min="7" max="7" width="18.125" style="0" customWidth="1"/>
    <col min="8" max="8" width="13.375" style="0" customWidth="1"/>
    <col min="9" max="9" width="16.625" style="0" customWidth="1"/>
    <col min="10" max="16384" width="11.875" style="0" customWidth="1"/>
  </cols>
  <sheetData>
    <row r="1" spans="1:22" s="228" customFormat="1" ht="31.5" customHeight="1">
      <c r="A1" s="631" t="s">
        <v>143</v>
      </c>
      <c r="B1" s="631"/>
      <c r="C1" s="631"/>
      <c r="D1" s="631"/>
      <c r="E1" s="631"/>
      <c r="F1" s="631"/>
      <c r="G1" s="631"/>
      <c r="H1" s="631"/>
      <c r="I1" s="631"/>
      <c r="J1" s="631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</row>
    <row r="2" spans="1:22" s="228" customFormat="1" ht="31.5" customHeight="1">
      <c r="A2" s="229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</row>
    <row r="3" spans="2:22" s="228" customFormat="1" ht="25.5" customHeight="1">
      <c r="B3" s="737" t="s">
        <v>126</v>
      </c>
      <c r="C3" s="737"/>
      <c r="D3" s="737"/>
      <c r="G3" s="738" t="s">
        <v>128</v>
      </c>
      <c r="H3" s="738"/>
      <c r="I3" s="738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</row>
    <row r="4" spans="2:22" s="228" customFormat="1" ht="25.5" customHeight="1">
      <c r="B4" s="229"/>
      <c r="C4" s="227"/>
      <c r="D4" s="227"/>
      <c r="G4" s="227"/>
      <c r="H4" s="227"/>
      <c r="I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</row>
    <row r="5" spans="2:22" s="234" customFormat="1" ht="64.5" customHeight="1">
      <c r="B5" s="246" t="s">
        <v>127</v>
      </c>
      <c r="C5" s="250" t="s">
        <v>167</v>
      </c>
      <c r="D5" s="434" t="s">
        <v>168</v>
      </c>
      <c r="G5" s="247" t="s">
        <v>127</v>
      </c>
      <c r="H5" s="250" t="s">
        <v>167</v>
      </c>
      <c r="I5" s="434" t="s">
        <v>168</v>
      </c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</row>
    <row r="6" spans="2:22" s="231" customFormat="1" ht="24" customHeight="1">
      <c r="B6" s="295" t="str">
        <f>'Table along length'!A31</f>
        <v>I-001 2nd sizing</v>
      </c>
      <c r="C6" s="248">
        <f>'Table along length'!V31</f>
        <v>5.66585020254276</v>
      </c>
      <c r="D6" s="243">
        <f>'Table along length'!W31</f>
        <v>0.21056389896444108</v>
      </c>
      <c r="G6" s="343" t="str">
        <f>'Table along length'!A36</f>
        <v>O-004 1st sizing</v>
      </c>
      <c r="H6" s="242">
        <f>'Table along length'!V36</f>
        <v>10.6639736874552</v>
      </c>
      <c r="I6" s="251">
        <f>'Table along length'!W36</f>
        <v>0.29113655479977896</v>
      </c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</row>
    <row r="7" spans="2:22" s="231" customFormat="1" ht="24" customHeight="1">
      <c r="B7" s="295" t="str">
        <f>'Table along length'!A32</f>
        <v>I-001 3rd sizing</v>
      </c>
      <c r="C7" s="248">
        <f>'Table along length'!V32</f>
        <v>6.136805358016819</v>
      </c>
      <c r="D7" s="243">
        <f>'Table along length'!W32</f>
        <v>0.2119406991756912</v>
      </c>
      <c r="G7" s="343" t="str">
        <f>'Table along length'!A37</f>
        <v>O-004 2nd sizing</v>
      </c>
      <c r="H7" s="242">
        <f>'Table along length'!V37</f>
        <v>10.550902135500712</v>
      </c>
      <c r="I7" s="252">
        <f>'Table along length'!W37</f>
        <v>0.5307720613306008</v>
      </c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</row>
    <row r="8" spans="2:22" s="231" customFormat="1" ht="24" customHeight="1">
      <c r="B8" s="295" t="str">
        <f>'Table along length'!A33</f>
        <v>I-001 4th sizing</v>
      </c>
      <c r="C8" s="248">
        <f>'Table along length'!V33</f>
        <v>6.160816825261893</v>
      </c>
      <c r="D8" s="243">
        <f>'Table along length'!W33</f>
        <v>0.1220423955060716</v>
      </c>
      <c r="G8" s="343" t="str">
        <f>'Table along length'!A38</f>
        <v>O-004 3rd sizing</v>
      </c>
      <c r="H8" s="242">
        <f>'Table along length'!V38</f>
        <v>10.102693800991673</v>
      </c>
      <c r="I8" s="252">
        <f>'Table along length'!W38</f>
        <v>0.5627595766650546</v>
      </c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</row>
    <row r="9" spans="2:22" s="231" customFormat="1" ht="24" customHeight="1">
      <c r="B9" s="295" t="str">
        <f>'Table along length'!A30</f>
        <v>I-001 5th sizing</v>
      </c>
      <c r="C9" s="248">
        <f>'Table along length'!V30</f>
        <v>7.061960790788252</v>
      </c>
      <c r="D9" s="243">
        <f>'Table along length'!W30</f>
        <v>0.23799982949620688</v>
      </c>
      <c r="E9" s="433"/>
      <c r="G9" s="343" t="str">
        <f>'Table along length'!A39</f>
        <v>O-004 4th sizing</v>
      </c>
      <c r="H9" s="242">
        <f>'Table along length'!V39</f>
        <v>10.8591744655423</v>
      </c>
      <c r="I9" s="252">
        <f>'Table along length'!W39</f>
        <v>0.35126210516107365</v>
      </c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</row>
    <row r="10" spans="2:22" s="231" customFormat="1" ht="24" customHeight="1">
      <c r="B10" s="342" t="str">
        <f>'Table along length'!A34</f>
        <v>Average</v>
      </c>
      <c r="C10" s="249">
        <f>'Table along length'!V34</f>
        <v>6.256358294152431</v>
      </c>
      <c r="D10" s="245">
        <f>'Table along length'!W34</f>
        <v>0.19563670578560272</v>
      </c>
      <c r="G10" s="344" t="str">
        <f>'Table along length'!A40</f>
        <v>Average</v>
      </c>
      <c r="H10" s="244">
        <f>'Table along length'!V40</f>
        <v>10.544186022372472</v>
      </c>
      <c r="I10" s="253">
        <f>'Table along length'!W40</f>
        <v>0.43398257448912697</v>
      </c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</row>
    <row r="11" spans="2:22" s="231" customFormat="1" ht="25.5" customHeight="1">
      <c r="B11" s="232"/>
      <c r="C11" s="233"/>
      <c r="D11" s="226"/>
      <c r="G11" s="233"/>
      <c r="H11" s="233"/>
      <c r="I11" s="226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</row>
    <row r="12" spans="1:22" s="223" customFormat="1" ht="12" customHeight="1">
      <c r="A12"/>
      <c r="B12"/>
      <c r="C12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</row>
    <row r="13" spans="1:22" s="223" customFormat="1" ht="12.75">
      <c r="A13" s="222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</row>
    <row r="14" spans="1:22" s="223" customFormat="1" ht="12.75">
      <c r="A14" s="222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</row>
    <row r="15" spans="1:22" s="223" customFormat="1" ht="12.75">
      <c r="A15" s="222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</row>
    <row r="16" spans="1:22" s="223" customFormat="1" ht="12.75">
      <c r="A16" s="222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</row>
    <row r="17" spans="1:22" s="223" customFormat="1" ht="12.75">
      <c r="A17" s="222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</row>
    <row r="18" spans="1:22" s="223" customFormat="1" ht="12.75">
      <c r="A18" s="222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</row>
    <row r="19" spans="1:22" s="223" customFormat="1" ht="12.75">
      <c r="A19" s="222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</row>
    <row r="20" spans="1:22" s="223" customFormat="1" ht="12.75">
      <c r="A20" s="222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</row>
    <row r="21" spans="1:22" s="223" customFormat="1" ht="12.75">
      <c r="A21" s="222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</row>
    <row r="22" spans="1:22" s="223" customFormat="1" ht="12.75">
      <c r="A22" s="222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</row>
    <row r="23" spans="1:22" s="223" customFormat="1" ht="12.75">
      <c r="A23" s="222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</row>
    <row r="24" spans="1:22" s="223" customFormat="1" ht="12.75">
      <c r="A24" s="222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</row>
    <row r="25" spans="1:22" s="223" customFormat="1" ht="12.75">
      <c r="A25" s="222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</row>
    <row r="26" spans="1:22" s="223" customFormat="1" ht="12.75">
      <c r="A26" s="222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</row>
    <row r="27" spans="1:22" s="223" customFormat="1" ht="12.75">
      <c r="A27" s="222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</row>
    <row r="28" spans="1:22" s="223" customFormat="1" ht="12.75">
      <c r="A28" s="222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</row>
    <row r="29" spans="1:22" s="223" customFormat="1" ht="12.75">
      <c r="A29" s="222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</row>
    <row r="30" spans="1:22" s="223" customFormat="1" ht="12.75">
      <c r="A30" s="222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</row>
    <row r="31" spans="1:22" s="223" customFormat="1" ht="12.75">
      <c r="A31" s="222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</row>
    <row r="32" spans="1:22" s="223" customFormat="1" ht="12.75">
      <c r="A32" s="222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</row>
    <row r="33" spans="1:22" s="223" customFormat="1" ht="12.75">
      <c r="A33" s="222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</row>
    <row r="34" spans="1:22" s="223" customFormat="1" ht="12.75">
      <c r="A34" s="222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</row>
    <row r="35" spans="1:22" s="223" customFormat="1" ht="12.75">
      <c r="A35" s="222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</row>
    <row r="36" spans="1:22" s="223" customFormat="1" ht="12.75" customHeight="1">
      <c r="A36" s="222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</row>
    <row r="37" spans="1:22" s="228" customFormat="1" ht="20.25" customHeight="1">
      <c r="A37" s="616" t="s">
        <v>145</v>
      </c>
      <c r="B37" s="616"/>
      <c r="C37" s="616"/>
      <c r="D37" s="616"/>
      <c r="E37" s="616"/>
      <c r="F37" s="616"/>
      <c r="G37" s="616"/>
      <c r="H37" s="616"/>
      <c r="I37" s="616"/>
      <c r="J37" s="616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</row>
    <row r="38" spans="1:22" s="238" customFormat="1" ht="20.25" customHeight="1">
      <c r="A38" s="236"/>
      <c r="B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</row>
    <row r="39" spans="2:8" s="238" customFormat="1" ht="20.25" customHeight="1">
      <c r="B39" s="254"/>
      <c r="C39" s="254"/>
      <c r="D39" s="254"/>
      <c r="E39" s="254"/>
      <c r="F39" s="254"/>
      <c r="G39" s="254"/>
      <c r="H39" s="254"/>
    </row>
    <row r="40" spans="2:8" s="228" customFormat="1" ht="24" customHeight="1">
      <c r="B40" s="255"/>
      <c r="D40" s="257" t="s">
        <v>127</v>
      </c>
      <c r="E40" s="260" t="s">
        <v>129</v>
      </c>
      <c r="F40" s="259"/>
      <c r="H40" s="255"/>
    </row>
    <row r="41" spans="2:8" s="228" customFormat="1" ht="24" customHeight="1">
      <c r="B41" s="255"/>
      <c r="D41" s="261"/>
      <c r="E41" s="360" t="s">
        <v>9</v>
      </c>
      <c r="F41" s="360" t="s">
        <v>7</v>
      </c>
      <c r="H41" s="255"/>
    </row>
    <row r="42" spans="2:8" s="228" customFormat="1" ht="24" customHeight="1">
      <c r="B42" s="255"/>
      <c r="D42" s="345" t="str">
        <f>'Table along length'!A31</f>
        <v>I-001 2nd sizing</v>
      </c>
      <c r="E42" s="262">
        <f>'Table along length'!V50</f>
        <v>-61.004945539302874</v>
      </c>
      <c r="F42" s="262">
        <f>'Table along length'!V51</f>
        <v>-60.765886237654826</v>
      </c>
      <c r="G42" s="255"/>
      <c r="H42" s="255"/>
    </row>
    <row r="43" spans="2:8" s="228" customFormat="1" ht="24" customHeight="1">
      <c r="B43" s="255"/>
      <c r="D43" s="345" t="str">
        <f>'Table along length'!A32</f>
        <v>I-001 3rd sizing</v>
      </c>
      <c r="E43" s="262">
        <f>'Table along length'!V52</f>
        <v>-75.96109309865678</v>
      </c>
      <c r="F43" s="262">
        <f>'Table along length'!V53</f>
        <v>-74.1681483362967</v>
      </c>
      <c r="G43" s="255"/>
      <c r="H43" s="255"/>
    </row>
    <row r="44" spans="2:8" s="228" customFormat="1" ht="24" customHeight="1">
      <c r="B44" s="255"/>
      <c r="D44" s="345" t="str">
        <f>'Table along length'!A33</f>
        <v>I-001 4th sizing</v>
      </c>
      <c r="E44" s="262">
        <f>'Table along length'!V54</f>
        <v>-70.92590655769547</v>
      </c>
      <c r="F44" s="262">
        <f>'Table along length'!V55</f>
        <v>-73.89920662194267</v>
      </c>
      <c r="G44" s="255"/>
      <c r="H44" s="255"/>
    </row>
    <row r="45" spans="2:8" s="228" customFormat="1" ht="24" customHeight="1">
      <c r="B45" s="255"/>
      <c r="D45" s="345" t="str">
        <f>'Table along length'!A30</f>
        <v>I-001 5th sizing</v>
      </c>
      <c r="E45" s="262">
        <f>'Table along length'!V48</f>
        <v>-103.45636075887536</v>
      </c>
      <c r="F45" s="262">
        <f>'Table along length'!V49</f>
        <v>-98.93319786639574</v>
      </c>
      <c r="G45" s="255"/>
      <c r="H45" s="255"/>
    </row>
    <row r="46" spans="2:8" s="228" customFormat="1" ht="24" customHeight="1">
      <c r="B46" s="255"/>
      <c r="D46" s="346" t="str">
        <f>'Table along length'!A34</f>
        <v>Average</v>
      </c>
      <c r="E46" s="263">
        <f>AVERAGE(E42:E44)</f>
        <v>-69.29731506521837</v>
      </c>
      <c r="F46" s="263">
        <f>AVERAGE(F42:F44)</f>
        <v>-69.61108039863139</v>
      </c>
      <c r="G46" s="255"/>
      <c r="H46" s="255"/>
    </row>
    <row r="47" spans="3:7" s="238" customFormat="1" ht="12.75" customHeight="1">
      <c r="C47" s="240"/>
      <c r="D47" s="241"/>
      <c r="E47" s="239"/>
      <c r="F47" s="241"/>
      <c r="G47" s="239"/>
    </row>
    <row r="48" spans="6:9" ht="12.75">
      <c r="F48" s="50"/>
      <c r="G48" s="139"/>
      <c r="I48" s="139"/>
    </row>
    <row r="49" ht="12.75">
      <c r="F49" s="50"/>
    </row>
    <row r="86" spans="1:10" s="228" customFormat="1" ht="24" customHeight="1">
      <c r="A86" s="616" t="s">
        <v>146</v>
      </c>
      <c r="B86" s="616"/>
      <c r="C86" s="616"/>
      <c r="D86" s="616"/>
      <c r="E86" s="616"/>
      <c r="F86" s="616"/>
      <c r="G86" s="616"/>
      <c r="H86" s="616"/>
      <c r="I86" s="616"/>
      <c r="J86" s="616"/>
    </row>
    <row r="87" s="228" customFormat="1" ht="24" customHeight="1"/>
    <row r="88" spans="4:6" s="228" customFormat="1" ht="24" customHeight="1">
      <c r="D88" s="257" t="s">
        <v>127</v>
      </c>
      <c r="E88" s="264" t="s">
        <v>129</v>
      </c>
      <c r="F88" s="265"/>
    </row>
    <row r="89" spans="4:6" s="228" customFormat="1" ht="24" customHeight="1">
      <c r="D89" s="261"/>
      <c r="E89" s="360" t="s">
        <v>9</v>
      </c>
      <c r="F89" s="360" t="s">
        <v>7</v>
      </c>
    </row>
    <row r="90" spans="4:6" s="231" customFormat="1" ht="24" customHeight="1">
      <c r="D90" s="347" t="str">
        <f>'Table along length'!A36</f>
        <v>O-004 1st sizing</v>
      </c>
      <c r="E90" s="266">
        <f>'Table along length'!V63</f>
        <v>298.8382818870901</v>
      </c>
      <c r="F90" s="266">
        <f>'Table along length'!V64</f>
        <v>302.79534243279016</v>
      </c>
    </row>
    <row r="91" spans="4:6" s="231" customFormat="1" ht="24" customHeight="1">
      <c r="D91" s="348" t="str">
        <f>'Table along length'!A37</f>
        <v>O-004 2nd sizing</v>
      </c>
      <c r="E91" s="262">
        <f>'Table along length'!V65</f>
        <v>300.2687058005694</v>
      </c>
      <c r="F91" s="262">
        <f>'Table along length'!V66</f>
        <v>319.77327112548966</v>
      </c>
    </row>
    <row r="92" spans="4:6" s="231" customFormat="1" ht="24" customHeight="1">
      <c r="D92" s="348" t="str">
        <f>'Table along length'!A38</f>
        <v>O-004 3rd sizing</v>
      </c>
      <c r="E92" s="262">
        <f>'Table along length'!V67</f>
        <v>303.0359744930016</v>
      </c>
      <c r="F92" s="262">
        <f>'Table along length'!V68</f>
        <v>323.52980495434684</v>
      </c>
    </row>
    <row r="93" spans="4:6" s="231" customFormat="1" ht="24" customHeight="1">
      <c r="D93" s="348" t="str">
        <f>'Table along length'!A39</f>
        <v>O-004 4th sizing</v>
      </c>
      <c r="E93" s="262">
        <f>'Table along length'!V69</f>
        <v>293.87858775717547</v>
      </c>
      <c r="F93" s="262">
        <f>'Table along length'!V70</f>
        <v>325.247650495301</v>
      </c>
    </row>
    <row r="94" spans="4:6" s="231" customFormat="1" ht="24" customHeight="1">
      <c r="D94" s="349" t="str">
        <f>'Table along length'!A40</f>
        <v>Average</v>
      </c>
      <c r="E94" s="263">
        <f>AVERAGE(E90:E93)</f>
        <v>299.00538748445916</v>
      </c>
      <c r="F94" s="263">
        <f>AVERAGE(F90:F93)</f>
        <v>317.83651725198195</v>
      </c>
    </row>
    <row r="95" spans="3:6" s="231" customFormat="1" ht="15" customHeight="1">
      <c r="C95" s="226"/>
      <c r="D95" s="230"/>
      <c r="F95" s="230"/>
    </row>
    <row r="96" spans="3:6" ht="12.75">
      <c r="C96" s="50"/>
      <c r="D96" s="139"/>
      <c r="F96" s="139"/>
    </row>
  </sheetData>
  <mergeCells count="5">
    <mergeCell ref="A1:J1"/>
    <mergeCell ref="A37:J37"/>
    <mergeCell ref="A86:J86"/>
    <mergeCell ref="B3:D3"/>
    <mergeCell ref="G3:I3"/>
  </mergeCells>
  <printOptions horizontalCentered="1" verticalCentered="1"/>
  <pageMargins left="0.25" right="0.25" top="0.75" bottom="0.75" header="0.5" footer="0.5"/>
  <pageSetup fitToHeight="3" horizontalDpi="600" verticalDpi="600" orientation="portrait" scale="86" r:id="rId2"/>
  <headerFooter alignWithMargins="0">
    <oddFooter>&amp;L &amp;C&amp;F&amp;R&amp;D</oddFooter>
  </headerFooter>
  <rowBreaks count="2" manualBreakCount="2">
    <brk id="36" max="9" man="1"/>
    <brk id="85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1"/>
  <sheetViews>
    <sheetView view="pageBreakPreview" zoomScale="60" workbookViewId="0" topLeftCell="A1">
      <selection activeCell="V34" sqref="V34"/>
    </sheetView>
  </sheetViews>
  <sheetFormatPr defaultColWidth="9.00390625" defaultRowHeight="12.75"/>
  <cols>
    <col min="1" max="1" width="19.875" style="0" customWidth="1"/>
    <col min="2" max="2" width="11.625" style="0" customWidth="1"/>
    <col min="3" max="5" width="6.125" style="0" customWidth="1"/>
    <col min="6" max="6" width="7.625" style="0" customWidth="1"/>
    <col min="7" max="21" width="6.125" style="0" customWidth="1"/>
    <col min="22" max="22" width="8.75390625" style="0" customWidth="1"/>
    <col min="23" max="23" width="11.375" style="0" customWidth="1"/>
    <col min="24" max="16384" width="6.125" style="0" customWidth="1"/>
  </cols>
  <sheetData>
    <row r="1" spans="1:24" ht="18">
      <c r="A1" s="267" t="s">
        <v>152</v>
      </c>
      <c r="X1" s="256" t="s">
        <v>133</v>
      </c>
    </row>
    <row r="2" spans="1:23" s="256" customFormat="1" ht="18">
      <c r="A2" s="258"/>
      <c r="B2" s="279"/>
      <c r="C2" s="739" t="s">
        <v>125</v>
      </c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1"/>
      <c r="V2" s="331"/>
      <c r="W2" s="332"/>
    </row>
    <row r="3" spans="1:23" s="268" customFormat="1" ht="18">
      <c r="A3" s="299" t="s">
        <v>67</v>
      </c>
      <c r="B3" s="300" t="s">
        <v>35</v>
      </c>
      <c r="C3" s="367">
        <v>1</v>
      </c>
      <c r="D3" s="368">
        <f aca="true" t="shared" si="0" ref="D3:U3">C3+1</f>
        <v>2</v>
      </c>
      <c r="E3" s="368">
        <f t="shared" si="0"/>
        <v>3</v>
      </c>
      <c r="F3" s="368">
        <f t="shared" si="0"/>
        <v>4</v>
      </c>
      <c r="G3" s="368">
        <f t="shared" si="0"/>
        <v>5</v>
      </c>
      <c r="H3" s="368">
        <f t="shared" si="0"/>
        <v>6</v>
      </c>
      <c r="I3" s="368">
        <f t="shared" si="0"/>
        <v>7</v>
      </c>
      <c r="J3" s="368">
        <f t="shared" si="0"/>
        <v>8</v>
      </c>
      <c r="K3" s="368">
        <f t="shared" si="0"/>
        <v>9</v>
      </c>
      <c r="L3" s="368">
        <f t="shared" si="0"/>
        <v>10</v>
      </c>
      <c r="M3" s="368">
        <f t="shared" si="0"/>
        <v>11</v>
      </c>
      <c r="N3" s="368">
        <f t="shared" si="0"/>
        <v>12</v>
      </c>
      <c r="O3" s="368">
        <f t="shared" si="0"/>
        <v>13</v>
      </c>
      <c r="P3" s="368">
        <f t="shared" si="0"/>
        <v>14</v>
      </c>
      <c r="Q3" s="368">
        <f t="shared" si="0"/>
        <v>15</v>
      </c>
      <c r="R3" s="368">
        <f t="shared" si="0"/>
        <v>16</v>
      </c>
      <c r="S3" s="368">
        <f t="shared" si="0"/>
        <v>17</v>
      </c>
      <c r="T3" s="368">
        <f t="shared" si="0"/>
        <v>18</v>
      </c>
      <c r="U3" s="369">
        <f t="shared" si="0"/>
        <v>19</v>
      </c>
      <c r="V3" s="367" t="s">
        <v>70</v>
      </c>
      <c r="W3" s="369" t="s">
        <v>68</v>
      </c>
    </row>
    <row r="4" spans="1:23" ht="12.75">
      <c r="A4" s="323"/>
      <c r="B4" s="364"/>
      <c r="C4" s="323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5"/>
      <c r="V4" s="323"/>
      <c r="W4" s="325"/>
    </row>
    <row r="5" spans="1:23" s="271" customFormat="1" ht="15">
      <c r="A5" s="302" t="str">
        <f>'I-001 5th sizing'!$C$3</f>
        <v>I-001 5th sizing</v>
      </c>
      <c r="B5" s="365" t="s">
        <v>6</v>
      </c>
      <c r="C5" s="311">
        <f>'I-001 5th sizing'!D98</f>
        <v>7.354579442227824</v>
      </c>
      <c r="D5" s="312">
        <f>'I-001 5th sizing'!E98</f>
        <v>7.238759293531324</v>
      </c>
      <c r="E5" s="312">
        <f>'I-001 5th sizing'!F98</f>
        <v>7.433874099286884</v>
      </c>
      <c r="F5" s="312">
        <f>'I-001 5th sizing'!G98</f>
        <v>7.433874099286885</v>
      </c>
      <c r="G5" s="312">
        <f>'I-001 5th sizing'!H98</f>
        <v>0</v>
      </c>
      <c r="H5" s="312">
        <f>'I-001 5th sizing'!I98</f>
        <v>6.843591292395616</v>
      </c>
      <c r="I5" s="312">
        <f>'I-001 5th sizing'!J98</f>
        <v>6.912198723898331</v>
      </c>
      <c r="J5" s="312">
        <f>'I-001 5th sizing'!K98</f>
        <v>7.163551404767362</v>
      </c>
      <c r="K5" s="312">
        <f>'I-001 5th sizing'!L98</f>
        <v>0</v>
      </c>
      <c r="L5" s="312">
        <f>'I-001 5th sizing'!M98</f>
        <v>6.776332409915071</v>
      </c>
      <c r="M5" s="312">
        <f>'I-001 5th sizing'!N98</f>
        <v>6.877723917295345</v>
      </c>
      <c r="N5" s="312">
        <f>'I-001 5th sizing'!O98</f>
        <v>7.126530467275024</v>
      </c>
      <c r="O5" s="312">
        <f>'I-001 5th sizing'!P98</f>
        <v>0</v>
      </c>
      <c r="P5" s="312">
        <f>'I-001 5th sizing'!Q98</f>
        <v>0</v>
      </c>
      <c r="Q5" s="312">
        <f>'I-001 5th sizing'!R98</f>
        <v>6.282385628326728</v>
      </c>
      <c r="R5" s="312">
        <f>'I-001 5th sizing'!S98</f>
        <v>6.311137965298475</v>
      </c>
      <c r="S5" s="312">
        <f>'I-001 5th sizing'!T98</f>
        <v>7.2769585510169765</v>
      </c>
      <c r="T5" s="312">
        <f>'I-001 5th sizing'!U98</f>
        <v>0</v>
      </c>
      <c r="U5" s="313">
        <f>'I-001 5th sizing'!V98</f>
        <v>0</v>
      </c>
      <c r="V5" s="311">
        <f>'I-001 5th sizing'!W98</f>
        <v>7.002422868809373</v>
      </c>
      <c r="W5" s="313">
        <f>'I-001 5th sizing'!X98</f>
        <v>0.3835435073019806</v>
      </c>
    </row>
    <row r="6" spans="1:23" s="271" customFormat="1" ht="15">
      <c r="A6" s="302" t="str">
        <f>'I-001 5th sizing'!$C$3</f>
        <v>I-001 5th sizing</v>
      </c>
      <c r="B6" s="365" t="s">
        <v>8</v>
      </c>
      <c r="C6" s="311">
        <f>'I-001 5th sizing'!D99</f>
        <v>7.089890207803173</v>
      </c>
      <c r="D6" s="312">
        <f>'I-001 5th sizing'!E99</f>
        <v>7.08989020780317</v>
      </c>
      <c r="E6" s="312">
        <f>'I-001 5th sizing'!F99</f>
        <v>7.238759293531321</v>
      </c>
      <c r="F6" s="312">
        <f>'I-001 5th sizing'!G99</f>
        <v>0</v>
      </c>
      <c r="G6" s="312">
        <f>'I-001 5th sizing'!H99</f>
        <v>0</v>
      </c>
      <c r="H6" s="312">
        <f>'I-001 5th sizing'!I99</f>
        <v>7.053624784745353</v>
      </c>
      <c r="I6" s="312">
        <f>'I-001 5th sizing'!J99</f>
        <v>7.200958983904526</v>
      </c>
      <c r="J6" s="312">
        <f>'I-001 5th sizing'!K99</f>
        <v>7.238759293531321</v>
      </c>
      <c r="K6" s="312">
        <f>'I-001 5th sizing'!L99</f>
        <v>0</v>
      </c>
      <c r="L6" s="312">
        <f>'I-001 5th sizing'!M99</f>
        <v>7.089890207803172</v>
      </c>
      <c r="M6" s="312">
        <f>'I-001 5th sizing'!N99</f>
        <v>6.982195673001099</v>
      </c>
      <c r="N6" s="312">
        <f>'I-001 5th sizing'!O99</f>
        <v>7.238759293531324</v>
      </c>
      <c r="O6" s="312">
        <f>'I-001 5th sizing'!P99</f>
        <v>0</v>
      </c>
      <c r="P6" s="312">
        <f>'I-001 5th sizing'!Q99</f>
        <v>0</v>
      </c>
      <c r="Q6" s="312">
        <f>'I-001 5th sizing'!R99</f>
        <v>6.982195673001098</v>
      </c>
      <c r="R6" s="312">
        <f>'I-001 5th sizing'!S99</f>
        <v>7.12653046727502</v>
      </c>
      <c r="S6" s="312">
        <f>'I-001 5th sizing'!T99</f>
        <v>7.126530467275024</v>
      </c>
      <c r="T6" s="312">
        <f>'I-001 5th sizing'!U99</f>
        <v>0</v>
      </c>
      <c r="U6" s="313">
        <f>'I-001 5th sizing'!V99</f>
        <v>0</v>
      </c>
      <c r="V6" s="311">
        <f>'I-001 5th sizing'!W99</f>
        <v>7.121498712767131</v>
      </c>
      <c r="W6" s="313">
        <f>'I-001 5th sizing'!X99</f>
        <v>0.09245615169043314</v>
      </c>
    </row>
    <row r="7" spans="1:23" s="271" customFormat="1" ht="15">
      <c r="A7" s="302" t="str">
        <f>'I-001 2nd sizing'!$C$3</f>
        <v>I-001 2nd sizing</v>
      </c>
      <c r="B7" s="365" t="s">
        <v>6</v>
      </c>
      <c r="C7" s="311">
        <f>'I-001 2nd sizing'!D98</f>
        <v>6.0614665732646875</v>
      </c>
      <c r="D7" s="312">
        <f>'I-001 2nd sizing'!E98</f>
        <v>6.282385628326728</v>
      </c>
      <c r="E7" s="312">
        <f>'I-001 2nd sizing'!F98</f>
        <v>6.00864333515345</v>
      </c>
      <c r="F7" s="312">
        <f>'I-001 2nd sizing'!G98</f>
        <v>6.225659798725583</v>
      </c>
      <c r="G7" s="312">
        <f>'I-001 2nd sizing'!H98</f>
        <v>5.8062469280745965</v>
      </c>
      <c r="H7" s="312">
        <f>'I-001 2nd sizing'!I98</f>
        <v>5.526988558788443</v>
      </c>
      <c r="I7" s="312">
        <f>'I-001 2nd sizing'!J98</f>
        <v>5.5049247322064545</v>
      </c>
      <c r="J7" s="312">
        <f>'I-001 2nd sizing'!K98</f>
        <v>5.461321367990958</v>
      </c>
      <c r="K7" s="312">
        <f>'I-001 2nd sizing'!L98</f>
        <v>5.334559556741651</v>
      </c>
      <c r="L7" s="312">
        <f>'I-001 2nd sizing'!M98</f>
        <v>5.461321367990957</v>
      </c>
      <c r="M7" s="312">
        <f>'I-001 2nd sizing'!N98</f>
        <v>5.461321367990958</v>
      </c>
      <c r="N7" s="312">
        <f>'I-001 2nd sizing'!O98</f>
        <v>5.663177188573784</v>
      </c>
      <c r="O7" s="312">
        <f>'I-001 2nd sizing'!P98</f>
        <v>5.526988558788443</v>
      </c>
      <c r="P7" s="312">
        <f>'I-001 2nd sizing'!Q98</f>
        <v>5.418403321877078</v>
      </c>
      <c r="Q7" s="312">
        <f>'I-001 2nd sizing'!R98</f>
        <v>5.483036363489926</v>
      </c>
      <c r="R7" s="312">
        <f>'I-001 2nd sizing'!S98</f>
        <v>5.640014909683912</v>
      </c>
      <c r="S7" s="312">
        <f>'I-001 2nd sizing'!T98</f>
        <v>5.355276292884337</v>
      </c>
      <c r="T7" s="312">
        <f>'I-001 2nd sizing'!U98</f>
        <v>0</v>
      </c>
      <c r="U7" s="313">
        <f>'I-001 2nd sizing'!V98</f>
        <v>0</v>
      </c>
      <c r="V7" s="311">
        <f>'I-001 2nd sizing'!W98</f>
        <v>5.660102108855998</v>
      </c>
      <c r="W7" s="313">
        <f>'I-001 2nd sizing'!X98</f>
        <v>0.30394953048954976</v>
      </c>
    </row>
    <row r="8" spans="1:23" s="271" customFormat="1" ht="15">
      <c r="A8" s="302" t="str">
        <f>'I-001 2nd sizing'!$C$3</f>
        <v>I-001 2nd sizing</v>
      </c>
      <c r="B8" s="365" t="s">
        <v>8</v>
      </c>
      <c r="C8" s="311">
        <f>'I-001 2nd sizing'!D99</f>
        <v>5.918384744282046</v>
      </c>
      <c r="D8" s="312">
        <f>'I-001 2nd sizing'!E99</f>
        <v>5.538086929388421</v>
      </c>
      <c r="E8" s="312">
        <f>'I-001 2nd sizing'!F99</f>
        <v>5.674829816533813</v>
      </c>
      <c r="F8" s="312">
        <f>'I-001 2nd sizing'!G99</f>
        <v>5.868015512415816</v>
      </c>
      <c r="G8" s="312">
        <f>'I-001 2nd sizing'!H99</f>
        <v>5.7219238399075385</v>
      </c>
      <c r="H8" s="312">
        <f>'I-001 2nd sizing'!I99</f>
        <v>5.651572317285726</v>
      </c>
      <c r="I8" s="312">
        <f>'I-001 2nd sizing'!J99</f>
        <v>5.628504675174354</v>
      </c>
      <c r="J8" s="312">
        <f>'I-001 2nd sizing'!K99</f>
        <v>5.582929738533265</v>
      </c>
      <c r="K8" s="312">
        <f>'I-001 2nd sizing'!L99</f>
        <v>5.560417925071438</v>
      </c>
      <c r="L8" s="312">
        <f>'I-001 2nd sizing'!M99</f>
        <v>5.745765189240489</v>
      </c>
      <c r="M8" s="312">
        <f>'I-001 2nd sizing'!N99</f>
        <v>5.628504675174354</v>
      </c>
      <c r="N8" s="312">
        <f>'I-001 2nd sizing'!O99</f>
        <v>5.674829816533814</v>
      </c>
      <c r="O8" s="312">
        <f>'I-001 2nd sizing'!P99</f>
        <v>5.79404893032654</v>
      </c>
      <c r="P8" s="312">
        <f>'I-001 2nd sizing'!Q99</f>
        <v>5.628504675174354</v>
      </c>
      <c r="Q8" s="312">
        <f>'I-001 2nd sizing'!R99</f>
        <v>5.582929738533266</v>
      </c>
      <c r="R8" s="312">
        <f>'I-001 2nd sizing'!S99</f>
        <v>5.745765189240488</v>
      </c>
      <c r="S8" s="312">
        <f>'I-001 2nd sizing'!T99</f>
        <v>5.472157323086177</v>
      </c>
      <c r="T8" s="312">
        <f>'I-001 2nd sizing'!U99</f>
        <v>0</v>
      </c>
      <c r="U8" s="313">
        <f>'I-001 2nd sizing'!V99</f>
        <v>0</v>
      </c>
      <c r="V8" s="311">
        <f>'I-001 2nd sizing'!W99</f>
        <v>5.671598296229523</v>
      </c>
      <c r="W8" s="313">
        <f>'I-001 2nd sizing'!X99</f>
        <v>0.1171782674393324</v>
      </c>
    </row>
    <row r="9" spans="1:23" s="271" customFormat="1" ht="15">
      <c r="A9" s="302" t="str">
        <f>'I-001 3rd sizing'!$C$3</f>
        <v>I-001 3rd sizing</v>
      </c>
      <c r="B9" s="365" t="s">
        <v>6</v>
      </c>
      <c r="C9" s="311">
        <f>'I-001 3rd sizing'!D98</f>
        <v>6.645704315266103</v>
      </c>
      <c r="D9" s="312">
        <f>'I-001 3rd sizing'!E98</f>
        <v>6.776332409915069</v>
      </c>
      <c r="E9" s="312">
        <f>'I-001 3rd sizing'!F98</f>
        <v>6.489334801965724</v>
      </c>
      <c r="F9" s="312">
        <f>'I-001 3rd sizing'!G98</f>
        <v>6.613830433658114</v>
      </c>
      <c r="G9" s="312">
        <f>'I-001 3rd sizing'!H98</f>
        <v>6.458939791183684</v>
      </c>
      <c r="H9" s="312">
        <f>'I-001 3rd sizing'!I98</f>
        <v>6.115226808947744</v>
      </c>
      <c r="I9" s="312">
        <f>'I-001 3rd sizing'!J98</f>
        <v>6.1424661265822555</v>
      </c>
      <c r="J9" s="312">
        <f>'I-001 3rd sizing'!K98</f>
        <v>5.905711543544824</v>
      </c>
      <c r="K9" s="312">
        <f>'I-001 3rd sizing'!L98</f>
        <v>6.00864333515345</v>
      </c>
      <c r="L9" s="312">
        <f>'I-001 3rd sizing'!M98</f>
        <v>6.253894083527059</v>
      </c>
      <c r="M9" s="312">
        <f>'I-001 3rd sizing'!N98</f>
        <v>6.061466573264687</v>
      </c>
      <c r="N9" s="312">
        <f>'I-001 3rd sizing'!O98</f>
        <v>6.115226808947747</v>
      </c>
      <c r="O9" s="312">
        <f>'I-001 3rd sizing'!P98</f>
        <v>6.169949196499851</v>
      </c>
      <c r="P9" s="312">
        <f>'I-001 3rd sizing'!Q98</f>
        <v>6.169949196499849</v>
      </c>
      <c r="Q9" s="312">
        <f>'I-001 3rd sizing'!R98</f>
        <v>6.088228015089256</v>
      </c>
      <c r="R9" s="312">
        <f>'I-001 3rd sizing'!S98</f>
        <v>6.282385628326725</v>
      </c>
      <c r="S9" s="312">
        <f>'I-001 3rd sizing'!T98</f>
        <v>6.061466573264688</v>
      </c>
      <c r="T9" s="312">
        <f>'I-001 3rd sizing'!U98</f>
        <v>0</v>
      </c>
      <c r="U9" s="313">
        <f>'I-001 3rd sizing'!V98</f>
        <v>0</v>
      </c>
      <c r="V9" s="311">
        <f>'I-001 3rd sizing'!W98</f>
        <v>6.256397390684518</v>
      </c>
      <c r="W9" s="313">
        <f>'I-001 3rd sizing'!X98</f>
        <v>0.2502549205099833</v>
      </c>
    </row>
    <row r="10" spans="1:23" s="271" customFormat="1" ht="15">
      <c r="A10" s="302" t="str">
        <f>'I-001 3rd sizing'!$C$3</f>
        <v>I-001 3rd sizing</v>
      </c>
      <c r="B10" s="365" t="s">
        <v>8</v>
      </c>
      <c r="C10" s="311">
        <f>'I-001 3rd sizing'!D99</f>
        <v>6.239745001890121</v>
      </c>
      <c r="D10" s="312">
        <f>'I-001 3rd sizing'!E99</f>
        <v>5.969626170639465</v>
      </c>
      <c r="E10" s="312">
        <f>'I-001 3rd sizing'!F99</f>
        <v>6.156176988471951</v>
      </c>
      <c r="F10" s="312">
        <f>'I-001 3rd sizing'!G99</f>
        <v>6.325613052374847</v>
      </c>
      <c r="G10" s="312">
        <f>'I-001 3rd sizing'!H99</f>
        <v>5.843151039905579</v>
      </c>
      <c r="H10" s="312">
        <f>'I-001 3rd sizing'!I99</f>
        <v>6.239745001890121</v>
      </c>
      <c r="I10" s="312">
        <f>'I-001 3rd sizing'!J99</f>
        <v>6.048173883411039</v>
      </c>
      <c r="J10" s="312">
        <f>'I-001 3rd sizing'!K99</f>
        <v>5.79404893032654</v>
      </c>
      <c r="K10" s="312">
        <f>'I-001 3rd sizing'!L99</f>
        <v>5.969626170639465</v>
      </c>
      <c r="L10" s="312">
        <f>'I-001 3rd sizing'!M99</f>
        <v>6.074817821223422</v>
      </c>
      <c r="M10" s="312">
        <f>'I-001 3rd sizing'!N99</f>
        <v>5.995581067033552</v>
      </c>
      <c r="N10" s="312">
        <f>'I-001 3rd sizing'!O99</f>
        <v>6.074817821223422</v>
      </c>
      <c r="O10" s="312">
        <f>'I-001 3rd sizing'!P99</f>
        <v>6.101697546096091</v>
      </c>
      <c r="P10" s="312">
        <f>'I-001 3rd sizing'!Q99</f>
        <v>5.818496394167582</v>
      </c>
      <c r="Q10" s="312">
        <f>'I-001 3rd sizing'!R99</f>
        <v>5.769806047772874</v>
      </c>
      <c r="R10" s="312">
        <f>'I-001 3rd sizing'!S99</f>
        <v>6.10169754609609</v>
      </c>
      <c r="S10" s="312">
        <f>'I-001 3rd sizing'!T99</f>
        <v>5.769806047772872</v>
      </c>
      <c r="T10" s="312">
        <f>'I-001 3rd sizing'!U99</f>
        <v>0</v>
      </c>
      <c r="U10" s="313">
        <f>'I-001 3rd sizing'!V99</f>
        <v>0</v>
      </c>
      <c r="V10" s="311">
        <f>'I-001 3rd sizing'!W99</f>
        <v>6.01721332534912</v>
      </c>
      <c r="W10" s="313">
        <f>'I-001 3rd sizing'!X99</f>
        <v>0.17362647784139904</v>
      </c>
    </row>
    <row r="11" spans="1:23" s="271" customFormat="1" ht="15">
      <c r="A11" s="302" t="str">
        <f>'I-001 4th sizing'!$C$3</f>
        <v>I-001 4th sizing</v>
      </c>
      <c r="B11" s="365" t="s">
        <v>6</v>
      </c>
      <c r="C11" s="311">
        <f>'I-001 4th sizing'!D98</f>
        <v>6.340154691575708</v>
      </c>
      <c r="D11" s="312">
        <f>'I-001 4th sizing'!E98</f>
        <v>6.3401546915757105</v>
      </c>
      <c r="E11" s="312">
        <f>'I-001 4th sizing'!F98</f>
        <v>6.282385628326728</v>
      </c>
      <c r="F11" s="312">
        <f>'I-001 4th sizing'!G98</f>
        <v>6.282385628326727</v>
      </c>
      <c r="G11" s="312">
        <f>'I-001 4th sizing'!H98</f>
        <v>6.169949196499851</v>
      </c>
      <c r="H11" s="312">
        <f>'I-001 4th sizing'!I98</f>
        <v>6.061466573264688</v>
      </c>
      <c r="I11" s="312">
        <f>'I-001 4th sizing'!J98</f>
        <v>6.00864333515345</v>
      </c>
      <c r="J11" s="312">
        <f>'I-001 4th sizing'!K98</f>
        <v>6.142466126582256</v>
      </c>
      <c r="K11" s="312">
        <f>'I-001 4th sizing'!L98</f>
        <v>6.0349393672547755</v>
      </c>
      <c r="L11" s="312">
        <f>'I-001 4th sizing'!M98</f>
        <v>6.034939367254778</v>
      </c>
      <c r="M11" s="312">
        <f>'I-001 4th sizing'!N98</f>
        <v>6.088228015089258</v>
      </c>
      <c r="N11" s="312">
        <f>'I-001 4th sizing'!O98</f>
        <v>6.088228015089256</v>
      </c>
      <c r="O11" s="312">
        <f>'I-001 4th sizing'!P98</f>
        <v>6.142466126582258</v>
      </c>
      <c r="P11" s="312">
        <f>'I-001 4th sizing'!Q98</f>
        <v>6.115226808947747</v>
      </c>
      <c r="Q11" s="312">
        <f>'I-001 4th sizing'!R98</f>
        <v>5.781902077223131</v>
      </c>
      <c r="R11" s="312">
        <f>'I-001 4th sizing'!S98</f>
        <v>6.0349393672547755</v>
      </c>
      <c r="S11" s="312">
        <f>'I-001 4th sizing'!T98</f>
        <v>6.088228015089256</v>
      </c>
      <c r="T11" s="312">
        <f>'I-001 4th sizing'!U98</f>
        <v>0</v>
      </c>
      <c r="U11" s="313">
        <f>'I-001 4th sizing'!V98</f>
        <v>0</v>
      </c>
      <c r="V11" s="311">
        <f>'I-001 4th sizing'!W98</f>
        <v>6.1198060606523725</v>
      </c>
      <c r="W11" s="313">
        <f>'I-001 4th sizing'!X98</f>
        <v>0.1387605549860724</v>
      </c>
    </row>
    <row r="12" spans="1:23" s="271" customFormat="1" ht="15">
      <c r="A12" s="302" t="str">
        <f>'I-001 4th sizing'!$C$3</f>
        <v>I-001 4th sizing</v>
      </c>
      <c r="B12" s="365" t="s">
        <v>8</v>
      </c>
      <c r="C12" s="311">
        <f>'I-001 4th sizing'!D99</f>
        <v>6.211638042422148</v>
      </c>
      <c r="D12" s="312">
        <f>'I-001 4th sizing'!E99</f>
        <v>6.3841835436005425</v>
      </c>
      <c r="E12" s="312">
        <f>'I-001 4th sizing'!F99</f>
        <v>6.268107479171438</v>
      </c>
      <c r="F12" s="312">
        <f>'I-001 4th sizing'!G99</f>
        <v>6.413877420547519</v>
      </c>
      <c r="G12" s="312">
        <f>'I-001 4th sizing'!H99</f>
        <v>6.239745001890121</v>
      </c>
      <c r="H12" s="312">
        <f>'I-001 4th sizing'!I99</f>
        <v>6.239745001890121</v>
      </c>
      <c r="I12" s="312">
        <f>'I-001 4th sizing'!J99</f>
        <v>6.183783163308148</v>
      </c>
      <c r="J12" s="312">
        <f>'I-001 4th sizing'!K99</f>
        <v>6.211638042422148</v>
      </c>
      <c r="K12" s="312">
        <f>'I-001 4th sizing'!L99</f>
        <v>6.183783163308147</v>
      </c>
      <c r="L12" s="312">
        <f>'I-001 4th sizing'!M99</f>
        <v>6.128816201856519</v>
      </c>
      <c r="M12" s="312">
        <f>'I-001 4th sizing'!N99</f>
        <v>6.239745001890122</v>
      </c>
      <c r="N12" s="312">
        <f>'I-001 4th sizing'!O99</f>
        <v>6.183783163308148</v>
      </c>
      <c r="O12" s="312">
        <f>'I-001 4th sizing'!P99</f>
        <v>6.128816201856519</v>
      </c>
      <c r="P12" s="312">
        <f>'I-001 4th sizing'!Q99</f>
        <v>6.15617698847195</v>
      </c>
      <c r="Q12" s="312">
        <f>'I-001 4th sizing'!R99</f>
        <v>6.211638042422148</v>
      </c>
      <c r="R12" s="312">
        <f>'I-001 4th sizing'!S99</f>
        <v>6.1016975460960925</v>
      </c>
      <c r="S12" s="312">
        <f>'I-001 4th sizing'!T99</f>
        <v>5.943895023352227</v>
      </c>
      <c r="T12" s="312">
        <f>'I-001 4th sizing'!U99</f>
        <v>0</v>
      </c>
      <c r="U12" s="313">
        <f>'I-001 4th sizing'!V99</f>
        <v>0</v>
      </c>
      <c r="V12" s="311">
        <f>'I-001 4th sizing'!W99</f>
        <v>6.201827589871415</v>
      </c>
      <c r="W12" s="313">
        <f>'I-001 4th sizing'!X99</f>
        <v>0.10532423602607081</v>
      </c>
    </row>
    <row r="13" spans="1:23" s="271" customFormat="1" ht="15">
      <c r="A13" s="304" t="s">
        <v>0</v>
      </c>
      <c r="B13" s="366"/>
      <c r="C13" s="314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6"/>
      <c r="V13" s="314">
        <f>AVERAGE(V5:V12)</f>
        <v>6.256358294152431</v>
      </c>
      <c r="W13" s="316">
        <f>AVERAGE(W5:W12)</f>
        <v>0.1956367057856027</v>
      </c>
    </row>
    <row r="14" spans="1:23" s="271" customFormat="1" ht="15">
      <c r="A14" s="306"/>
      <c r="B14" s="562"/>
      <c r="C14" s="317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9"/>
      <c r="V14" s="317"/>
      <c r="W14" s="319"/>
    </row>
    <row r="15" spans="1:23" s="271" customFormat="1" ht="15">
      <c r="A15" s="302" t="str">
        <f>'O-004 1st sizing'!$C$3</f>
        <v>O-004 1st sizing</v>
      </c>
      <c r="B15" s="365" t="s">
        <v>6</v>
      </c>
      <c r="C15" s="311">
        <f>'O-004 1st sizing'!D98</f>
        <v>10.093355427694426</v>
      </c>
      <c r="D15" s="312">
        <f>'O-004 1st sizing'!E98</f>
        <v>10.01968130048498</v>
      </c>
      <c r="E15" s="312">
        <f>'O-004 1st sizing'!F98</f>
        <v>10.244002523630172</v>
      </c>
      <c r="F15" s="312">
        <f>'O-004 1st sizing'!G98</f>
        <v>10.168121023455129</v>
      </c>
      <c r="G15" s="312">
        <f>'O-004 1st sizing'!H98</f>
        <v>10.321025098995808</v>
      </c>
      <c r="H15" s="312">
        <f>'O-004 1st sizing'!I98</f>
        <v>10.244002523630172</v>
      </c>
      <c r="I15" s="312">
        <f>'O-004 1st sizing'!J98</f>
        <v>10.559202601280324</v>
      </c>
      <c r="J15" s="312">
        <f>'O-004 1st sizing'!K98</f>
        <v>10.55920260128033</v>
      </c>
      <c r="K15" s="312">
        <f>'O-004 1st sizing'!L98</f>
        <v>10.244002523630172</v>
      </c>
      <c r="L15" s="312">
        <f>'O-004 1st sizing'!M98</f>
        <v>10.321025098995808</v>
      </c>
      <c r="M15" s="312">
        <f>'O-004 1st sizing'!N98</f>
        <v>10.321025098995808</v>
      </c>
      <c r="N15" s="312">
        <f>'O-004 1st sizing'!O98</f>
        <v>10.244002523630163</v>
      </c>
      <c r="O15" s="312">
        <f>'O-004 1st sizing'!P98</f>
        <v>10.321025098995808</v>
      </c>
      <c r="P15" s="312">
        <f>'O-004 1st sizing'!Q98</f>
        <v>10.894415382273351</v>
      </c>
      <c r="Q15" s="312">
        <f>'O-004 1st sizing'!R98</f>
        <v>10.981570705331542</v>
      </c>
      <c r="R15" s="312">
        <f>'O-004 1st sizing'!S98</f>
        <v>10.168121023455129</v>
      </c>
      <c r="S15" s="312">
        <f>'O-004 1st sizing'!T98</f>
        <v>9.94707491424958</v>
      </c>
      <c r="T15" s="312">
        <f>'O-004 1st sizing'!U98</f>
        <v>10.093355427694432</v>
      </c>
      <c r="U15" s="313">
        <f>'O-004 1st sizing'!V98</f>
        <v>9.735435022457036</v>
      </c>
      <c r="V15" s="311">
        <f>'O-004 1st sizing'!W98</f>
        <v>10.288402416850534</v>
      </c>
      <c r="W15" s="313">
        <f>'O-004 1st sizing'!X98</f>
        <v>0.298705740994129</v>
      </c>
    </row>
    <row r="16" spans="1:23" s="271" customFormat="1" ht="15">
      <c r="A16" s="302" t="str">
        <f>'O-004 1st sizing'!$C$3</f>
        <v>O-004 1st sizing</v>
      </c>
      <c r="B16" s="365" t="s">
        <v>8</v>
      </c>
      <c r="C16" s="311">
        <f>'O-004 1st sizing'!D99</f>
        <v>11.344597836086312</v>
      </c>
      <c r="D16" s="312">
        <f>'O-004 1st sizing'!E99</f>
        <v>10.981570705331542</v>
      </c>
      <c r="E16" s="312">
        <f>'O-004 1st sizing'!F99</f>
        <v>10.894415382273364</v>
      </c>
      <c r="F16" s="312">
        <f>'O-004 1st sizing'!G99</f>
        <v>10.808632583987745</v>
      </c>
      <c r="G16" s="312">
        <f>'O-004 1st sizing'!H99</f>
        <v>11.251609329233142</v>
      </c>
      <c r="H16" s="312">
        <f>'O-004 1st sizing'!I99</f>
        <v>11.160132830621484</v>
      </c>
      <c r="I16" s="312">
        <f>'O-004 1st sizing'!J99</f>
        <v>11.535263345936494</v>
      </c>
      <c r="J16" s="312">
        <f>'O-004 1st sizing'!K99</f>
        <v>11.251609329233142</v>
      </c>
      <c r="K16" s="312">
        <f>'O-004 1st sizing'!L99</f>
        <v>10.559202601280338</v>
      </c>
      <c r="L16" s="312">
        <f>'O-004 1st sizing'!M99</f>
        <v>10.724190141925344</v>
      </c>
      <c r="M16" s="312">
        <f>'O-004 1st sizing'!N99</f>
        <v>10.724190141925337</v>
      </c>
      <c r="N16" s="312">
        <f>'O-004 1st sizing'!O99</f>
        <v>10.981570705331542</v>
      </c>
      <c r="O16" s="312">
        <f>'O-004 1st sizing'!P99</f>
        <v>10.724190141925337</v>
      </c>
      <c r="P16" s="312">
        <f>'O-004 1st sizing'!Q99</f>
        <v>10.98157070533155</v>
      </c>
      <c r="Q16" s="312">
        <f>'O-004 1st sizing'!R99</f>
        <v>11.160132830621484</v>
      </c>
      <c r="R16" s="312">
        <f>'O-004 1st sizing'!S99</f>
        <v>10.98157070533155</v>
      </c>
      <c r="S16" s="312">
        <f>'O-004 1st sizing'!T99</f>
        <v>10.808632583987738</v>
      </c>
      <c r="T16" s="312">
        <f>'O-004 1st sizing'!U99</f>
        <v>11.439136151387027</v>
      </c>
      <c r="U16" s="313">
        <f>'O-004 1st sizing'!V99</f>
        <v>11.439136151387018</v>
      </c>
      <c r="V16" s="311">
        <f>'O-004 1st sizing'!W99</f>
        <v>11.039544958059867</v>
      </c>
      <c r="W16" s="313">
        <f>'O-004 1st sizing'!X99</f>
        <v>0.28356736860542897</v>
      </c>
    </row>
    <row r="17" spans="1:23" s="271" customFormat="1" ht="15">
      <c r="A17" s="302" t="str">
        <f>'O-004 2nd sizing'!$C$3</f>
        <v>O-004 2nd sizing</v>
      </c>
      <c r="B17" s="365" t="s">
        <v>6</v>
      </c>
      <c r="C17" s="311">
        <f>'O-004 2nd sizing'!D98</f>
        <v>10.20592072986203</v>
      </c>
      <c r="D17" s="312">
        <f>'O-004 2nd sizing'!E98</f>
        <v>9.983246095755952</v>
      </c>
      <c r="E17" s="312">
        <f>'O-004 2nd sizing'!F98</f>
        <v>10.20592072986203</v>
      </c>
      <c r="F17" s="312">
        <f>'O-004 2nd sizing'!G98</f>
        <v>10.056383429790792</v>
      </c>
      <c r="G17" s="312">
        <f>'O-004 2nd sizing'!H98</f>
        <v>10.359972363520326</v>
      </c>
      <c r="H17" s="312">
        <f>'O-004 2nd sizing'!I98</f>
        <v>10.363883262864807</v>
      </c>
      <c r="I17" s="312">
        <f>'O-004 2nd sizing'!J98</f>
        <v>10.130600281671164</v>
      </c>
      <c r="J17" s="312">
        <f>'O-004 2nd sizing'!K98</f>
        <v>10.056383429790792</v>
      </c>
      <c r="K17" s="312">
        <f>'O-004 2nd sizing'!L98</f>
        <v>10.5187458863329</v>
      </c>
      <c r="L17" s="312">
        <f>'O-004 2nd sizing'!M98</f>
        <v>10.359972363520326</v>
      </c>
      <c r="M17" s="312">
        <f>'O-004 2nd sizing'!N98</f>
        <v>10.205920729862036</v>
      </c>
      <c r="N17" s="312">
        <f>'O-004 2nd sizing'!O98</f>
        <v>10.20592072986203</v>
      </c>
      <c r="O17" s="312">
        <f>'O-004 2nd sizing'!P98</f>
        <v>10.682461775614344</v>
      </c>
      <c r="P17" s="312">
        <f>'O-004 2nd sizing'!Q98</f>
        <v>11.205684393195458</v>
      </c>
      <c r="Q17" s="312">
        <f>'O-004 2nd sizing'!R98</f>
        <v>11.39167085615305</v>
      </c>
      <c r="R17" s="312">
        <f>'O-004 2nd sizing'!S98</f>
        <v>10.438755423318955</v>
      </c>
      <c r="S17" s="312">
        <f>'O-004 2nd sizing'!T98</f>
        <v>9.840117119472707</v>
      </c>
      <c r="T17" s="312">
        <f>'O-004 2nd sizing'!U98</f>
        <v>9.983246095755952</v>
      </c>
      <c r="U17" s="313">
        <f>'O-004 2nd sizing'!V98</f>
        <v>9.983246095755952</v>
      </c>
      <c r="V17" s="311">
        <f>'O-004 2nd sizing'!W98</f>
        <v>10.325160620629559</v>
      </c>
      <c r="W17" s="313">
        <f>'O-004 2nd sizing'!X98</f>
        <v>0.402763027748903</v>
      </c>
    </row>
    <row r="18" spans="1:23" s="271" customFormat="1" ht="15">
      <c r="A18" s="302" t="str">
        <f>'O-004 2nd sizing'!$C$3</f>
        <v>O-004 2nd sizing</v>
      </c>
      <c r="B18" s="365" t="s">
        <v>8</v>
      </c>
      <c r="C18" s="311">
        <f>'O-004 2nd sizing'!D99</f>
        <v>10.599971723293</v>
      </c>
      <c r="D18" s="312">
        <f>'O-004 2nd sizing'!E99</f>
        <v>10.438755423318955</v>
      </c>
      <c r="E18" s="312">
        <f>'O-004 2nd sizing'!F99</f>
        <v>10.28236957428047</v>
      </c>
      <c r="F18" s="312">
        <f>'O-004 2nd sizing'!G99</f>
        <v>10.5187458863329</v>
      </c>
      <c r="G18" s="312">
        <f>'O-004 2nd sizing'!H99</f>
        <v>10.359972363520326</v>
      </c>
      <c r="H18" s="312">
        <f>'O-004 2nd sizing'!I99</f>
        <v>10.359972363520326</v>
      </c>
      <c r="I18" s="312">
        <f>'O-004 2nd sizing'!J99</f>
        <v>10.682461775614335</v>
      </c>
      <c r="J18" s="312">
        <f>'O-004 2nd sizing'!K99</f>
        <v>10.599971723293</v>
      </c>
      <c r="K18" s="312">
        <f>'O-004 2nd sizing'!L99</f>
        <v>13.262766552332788</v>
      </c>
      <c r="L18" s="312">
        <f>'O-004 2nd sizing'!M99</f>
        <v>10.851354451908643</v>
      </c>
      <c r="M18" s="312">
        <f>'O-004 2nd sizing'!N99</f>
        <v>10.359972363520326</v>
      </c>
      <c r="N18" s="312">
        <f>'O-004 2nd sizing'!O99</f>
        <v>10.937819427621058</v>
      </c>
      <c r="O18" s="312">
        <f>'O-004 2nd sizing'!P99</f>
        <v>10.682461775614344</v>
      </c>
      <c r="P18" s="312">
        <f>'O-004 2nd sizing'!Q99</f>
        <v>11.114950106610873</v>
      </c>
      <c r="Q18" s="312">
        <f>'O-004 2nd sizing'!R99</f>
        <v>11.205684393195458</v>
      </c>
      <c r="R18" s="312">
        <f>'O-004 2nd sizing'!S99</f>
        <v>10.5187458863329</v>
      </c>
      <c r="S18" s="312">
        <f>'O-004 2nd sizing'!T99</f>
        <v>10.682461775614335</v>
      </c>
      <c r="T18" s="312">
        <f>'O-004 2nd sizing'!U99</f>
        <v>10.93781942762105</v>
      </c>
      <c r="U18" s="313">
        <f>'O-004 2nd sizing'!V99</f>
        <v>10.359972363520326</v>
      </c>
      <c r="V18" s="311">
        <f>'O-004 2nd sizing'!W99</f>
        <v>10.776643650371865</v>
      </c>
      <c r="W18" s="313">
        <f>'O-004 2nd sizing'!X99</f>
        <v>0.6587810949122987</v>
      </c>
    </row>
    <row r="19" spans="1:23" s="271" customFormat="1" ht="15">
      <c r="A19" s="308" t="str">
        <f>'O-004 3rd sizing'!$C$3</f>
        <v>O-004 3rd sizing</v>
      </c>
      <c r="B19" s="312" t="s">
        <v>6</v>
      </c>
      <c r="C19" s="308">
        <f>'O-004 3rd sizing'!D98</f>
        <v>9.804973844046017</v>
      </c>
      <c r="D19" s="326">
        <f>'O-004 3rd sizing'!E98</f>
        <v>9.735435022457043</v>
      </c>
      <c r="E19" s="326">
        <f>'O-004 3rd sizing'!F98</f>
        <v>10.244002523630172</v>
      </c>
      <c r="F19" s="563">
        <f>'O-004 3rd sizing'!G98</f>
        <v>-49.02486922023012</v>
      </c>
      <c r="G19" s="326">
        <f>'O-004 3rd sizing'!H98</f>
        <v>9.599275092073029</v>
      </c>
      <c r="H19" s="326">
        <f>'O-004 3rd sizing'!I98</f>
        <v>9.532613459489191</v>
      </c>
      <c r="I19" s="326">
        <f>'O-004 3rd sizing'!J98</f>
        <v>9.40202971346879</v>
      </c>
      <c r="J19" s="326">
        <f>'O-004 3rd sizing'!K98</f>
        <v>10.168121023455136</v>
      </c>
      <c r="K19" s="326">
        <f>'O-004 3rd sizing'!L98</f>
        <v>10.093355427694432</v>
      </c>
      <c r="L19" s="326">
        <f>'O-004 3rd sizing'!M98</f>
        <v>9.804973844046017</v>
      </c>
      <c r="M19" s="326">
        <f>'O-004 3rd sizing'!N98</f>
        <v>9.875513224219016</v>
      </c>
      <c r="N19" s="326">
        <f>'O-004 3rd sizing'!O98</f>
        <v>9.875513224219016</v>
      </c>
      <c r="O19" s="326">
        <f>'O-004 3rd sizing'!P98</f>
        <v>10.168121023455136</v>
      </c>
      <c r="P19" s="326">
        <f>'O-004 3rd sizing'!Q98</f>
        <v>10.724190141925337</v>
      </c>
      <c r="Q19" s="326">
        <f>'O-004 3rd sizing'!R98</f>
        <v>10.98157070533155</v>
      </c>
      <c r="R19" s="326">
        <f>'O-004 3rd sizing'!S98</f>
        <v>10.244002523630172</v>
      </c>
      <c r="S19" s="326">
        <f>'O-004 3rd sizing'!T98</f>
        <v>9.666875620890442</v>
      </c>
      <c r="T19" s="326">
        <f>'O-004 3rd sizing'!U98</f>
        <v>9.40202971346879</v>
      </c>
      <c r="U19" s="327">
        <f>'O-004 3rd sizing'!V98</f>
        <v>9.599275092073029</v>
      </c>
      <c r="V19" s="308">
        <f>'O-004 3rd sizing'!W98</f>
        <v>9.940103956642908</v>
      </c>
      <c r="W19" s="327">
        <f>'O-004 3rd sizing'!X98</f>
        <v>0.4304890942887882</v>
      </c>
    </row>
    <row r="20" spans="1:23" s="271" customFormat="1" ht="15">
      <c r="A20" s="308" t="str">
        <f>'O-004 3rd sizing'!$C$3</f>
        <v>O-004 3rd sizing</v>
      </c>
      <c r="B20" s="312" t="s">
        <v>8</v>
      </c>
      <c r="C20" s="308">
        <f>'O-004 3rd sizing'!D99</f>
        <v>10.130600281671164</v>
      </c>
      <c r="D20" s="326">
        <f>'O-004 3rd sizing'!E99</f>
        <v>9.306415851975887</v>
      </c>
      <c r="E20" s="326">
        <f>'O-004 3rd sizing'!F99</f>
        <v>10.282369574280462</v>
      </c>
      <c r="F20" s="326">
        <f>'O-004 3rd sizing'!G99</f>
        <v>9.98324609575594</v>
      </c>
      <c r="G20" s="326">
        <f>'O-004 3rd sizing'!H99</f>
        <v>9.983246095755952</v>
      </c>
      <c r="H20" s="326">
        <f>'O-004 3rd sizing'!I99</f>
        <v>10.28236957428047</v>
      </c>
      <c r="I20" s="326">
        <f>'O-004 3rd sizing'!J99</f>
        <v>10.20592072986203</v>
      </c>
      <c r="J20" s="326">
        <f>'O-004 3rd sizing'!K99</f>
        <v>9.840117119472707</v>
      </c>
      <c r="K20" s="326">
        <f>'O-004 3rd sizing'!L99</f>
        <v>10.28236957428047</v>
      </c>
      <c r="L20" s="326">
        <f>'O-004 3rd sizing'!M99</f>
        <v>9.983246095755952</v>
      </c>
      <c r="M20" s="326">
        <f>'O-004 3rd sizing'!N99</f>
        <v>10.130600281671164</v>
      </c>
      <c r="N20" s="326">
        <f>'O-004 3rd sizing'!O99</f>
        <v>10.359972363520319</v>
      </c>
      <c r="O20" s="326">
        <f>'O-004 3rd sizing'!P99</f>
        <v>12.949965454400402</v>
      </c>
      <c r="P20" s="326">
        <f>'O-004 3rd sizing'!Q99</f>
        <v>10.438755423318955</v>
      </c>
      <c r="Q20" s="326">
        <f>'O-004 3rd sizing'!R99</f>
        <v>10.056383429790792</v>
      </c>
      <c r="R20" s="326">
        <f>'O-004 3rd sizing'!S99</f>
        <v>10.28236957428047</v>
      </c>
      <c r="S20" s="326">
        <f>'O-004 3rd sizing'!T99</f>
        <v>10.205920729862036</v>
      </c>
      <c r="T20" s="326">
        <f>'O-004 3rd sizing'!U99</f>
        <v>10.205920729862036</v>
      </c>
      <c r="U20" s="327">
        <f>'O-004 3rd sizing'!V99</f>
        <v>10.130600281671164</v>
      </c>
      <c r="V20" s="308">
        <f>'O-004 3rd sizing'!W99</f>
        <v>10.26528364534044</v>
      </c>
      <c r="W20" s="327">
        <f>'O-004 3rd sizing'!X99</f>
        <v>0.695030059041321</v>
      </c>
    </row>
    <row r="21" spans="1:23" s="271" customFormat="1" ht="15">
      <c r="A21" s="302" t="str">
        <f>'O-004 4th sizing'!$C$3</f>
        <v>O-004 4th sizing</v>
      </c>
      <c r="B21" s="312" t="s">
        <v>6</v>
      </c>
      <c r="C21" s="311">
        <f>'O-004 4th sizing'!D98</f>
        <v>11.0701317594068</v>
      </c>
      <c r="D21" s="312">
        <f>'O-004 4th sizing'!E98</f>
        <v>11.160132830621484</v>
      </c>
      <c r="E21" s="312">
        <f>'O-004 4th sizing'!F98</f>
        <v>11.344597836086312</v>
      </c>
      <c r="F21" s="312">
        <f>'O-004 4th sizing'!G98</f>
        <v>10.98157070533155</v>
      </c>
      <c r="G21" s="312">
        <f>'O-004 4th sizing'!H98</f>
        <v>0</v>
      </c>
      <c r="H21" s="312">
        <f>'O-004 4th sizing'!I98</f>
        <v>11.160132830621484</v>
      </c>
      <c r="I21" s="312">
        <f>'O-004 4th sizing'!J98</f>
        <v>11.439136151387018</v>
      </c>
      <c r="J21" s="312">
        <f>'O-004 4th sizing'!K98</f>
        <v>11.732447334755921</v>
      </c>
      <c r="K21" s="312">
        <f>'O-004 4th sizing'!L98</f>
        <v>11.160132830621501</v>
      </c>
      <c r="L21" s="312">
        <f>'O-004 4th sizing'!M98</f>
        <v>0</v>
      </c>
      <c r="M21" s="312">
        <f>'O-004 4th sizing'!N98</f>
        <v>10.894415382273356</v>
      </c>
      <c r="N21" s="312">
        <f>'O-004 4th sizing'!O98</f>
        <v>11.160132830621484</v>
      </c>
      <c r="O21" s="312">
        <f>'O-004 4th sizing'!P98</f>
        <v>11.936489897099504</v>
      </c>
      <c r="P21" s="312">
        <f>'O-004 4th sizing'!Q98</f>
        <v>12.710151279318925</v>
      </c>
      <c r="Q21" s="312">
        <f>'O-004 4th sizing'!R98</f>
        <v>0</v>
      </c>
      <c r="R21" s="312">
        <f>'O-004 4th sizing'!S98</f>
        <v>11.633019814969867</v>
      </c>
      <c r="S21" s="312">
        <f>'O-004 4th sizing'!T98</f>
        <v>11.160132830621484</v>
      </c>
      <c r="T21" s="312">
        <f>'O-004 4th sizing'!U98</f>
        <v>11.070131759406808</v>
      </c>
      <c r="U21" s="313">
        <f>'O-004 4th sizing'!V98</f>
        <v>11.344597836086312</v>
      </c>
      <c r="V21" s="311">
        <f>'O-004 4th sizing'!W98</f>
        <v>11.372334619326866</v>
      </c>
      <c r="W21" s="313">
        <f>'O-004 4th sizing'!X98</f>
        <v>0.45464770255435805</v>
      </c>
    </row>
    <row r="22" spans="1:23" s="271" customFormat="1" ht="15">
      <c r="A22" s="302" t="str">
        <f>'O-004 4th sizing'!$C$3</f>
        <v>O-004 4th sizing</v>
      </c>
      <c r="B22" s="312" t="s">
        <v>8</v>
      </c>
      <c r="C22" s="311">
        <f>'O-004 4th sizing'!D99</f>
        <v>10.168121023455129</v>
      </c>
      <c r="D22" s="312">
        <f>'O-004 4th sizing'!E99</f>
        <v>10.321025098995808</v>
      </c>
      <c r="E22" s="312">
        <f>'O-004 4th sizing'!F99</f>
        <v>10.321025098995808</v>
      </c>
      <c r="F22" s="312">
        <f>'O-004 4th sizing'!G99</f>
        <v>10.478598001270553</v>
      </c>
      <c r="G22" s="312">
        <f>'O-004 4th sizing'!H99</f>
        <v>0</v>
      </c>
      <c r="H22" s="312">
        <f>'O-004 4th sizing'!I99</f>
        <v>10.478598001270553</v>
      </c>
      <c r="I22" s="312">
        <f>'O-004 4th sizing'!J99</f>
        <v>10.559202601280324</v>
      </c>
      <c r="J22" s="312">
        <f>'O-004 4th sizing'!K99</f>
        <v>10.55920260128033</v>
      </c>
      <c r="K22" s="312">
        <f>'O-004 4th sizing'!L99</f>
        <v>10.321025098995808</v>
      </c>
      <c r="L22" s="312">
        <f>'O-004 4th sizing'!M99</f>
        <v>0</v>
      </c>
      <c r="M22" s="312">
        <f>'O-004 4th sizing'!N99</f>
        <v>9.947074914249585</v>
      </c>
      <c r="N22" s="312">
        <f>'O-004 4th sizing'!O99</f>
        <v>10.321025098995808</v>
      </c>
      <c r="O22" s="312">
        <f>'O-004 4th sizing'!P99</f>
        <v>10.168121023455129</v>
      </c>
      <c r="P22" s="312">
        <f>'O-004 4th sizing'!Q99</f>
        <v>10.321025098995808</v>
      </c>
      <c r="Q22" s="312">
        <f>'O-004 4th sizing'!R99</f>
        <v>0</v>
      </c>
      <c r="R22" s="312">
        <f>'O-004 4th sizing'!S99</f>
        <v>10.808632583987738</v>
      </c>
      <c r="S22" s="312">
        <f>'O-004 4th sizing'!T99</f>
        <v>10.72419014192533</v>
      </c>
      <c r="T22" s="312">
        <f>'O-004 4th sizing'!U99</f>
        <v>10.01968130048498</v>
      </c>
      <c r="U22" s="313">
        <f>'O-004 4th sizing'!V99</f>
        <v>10.01968130048498</v>
      </c>
      <c r="V22" s="311">
        <f>'O-004 4th sizing'!W99</f>
        <v>10.346014311757731</v>
      </c>
      <c r="W22" s="313">
        <f>'O-004 4th sizing'!X99</f>
        <v>0.24787650776778927</v>
      </c>
    </row>
    <row r="23" spans="1:23" s="271" customFormat="1" ht="15">
      <c r="A23" s="304" t="s">
        <v>0</v>
      </c>
      <c r="B23" s="366"/>
      <c r="C23" s="328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30"/>
      <c r="V23" s="314">
        <f>AVERAGE(V15:V22)</f>
        <v>10.544186022372472</v>
      </c>
      <c r="W23" s="316">
        <f>AVERAGE(W15:W22)</f>
        <v>0.433982574489127</v>
      </c>
    </row>
    <row r="24" spans="1:23" ht="12.75">
      <c r="A24" s="269"/>
      <c r="B24" s="218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18"/>
    </row>
    <row r="26" spans="1:24" ht="18">
      <c r="A26" s="267" t="str">
        <f>A1</f>
        <v>Short Mechanical Model - Coil Modulus (69-97 MPa)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20"/>
      <c r="X26" s="256" t="s">
        <v>133</v>
      </c>
    </row>
    <row r="27" spans="1:23" s="256" customFormat="1" ht="18">
      <c r="A27" s="258"/>
      <c r="B27" s="279"/>
      <c r="C27" s="739" t="s">
        <v>125</v>
      </c>
      <c r="D27" s="740"/>
      <c r="E27" s="740"/>
      <c r="F27" s="740"/>
      <c r="G27" s="740"/>
      <c r="H27" s="740"/>
      <c r="I27" s="740"/>
      <c r="J27" s="740"/>
      <c r="K27" s="740"/>
      <c r="L27" s="740"/>
      <c r="M27" s="740"/>
      <c r="N27" s="740"/>
      <c r="O27" s="740"/>
      <c r="P27" s="740"/>
      <c r="Q27" s="740"/>
      <c r="R27" s="740"/>
      <c r="S27" s="740"/>
      <c r="T27" s="740"/>
      <c r="U27" s="741"/>
      <c r="V27" s="320"/>
      <c r="W27" s="321"/>
    </row>
    <row r="28" spans="1:23" s="256" customFormat="1" ht="18">
      <c r="A28" s="299" t="s">
        <v>67</v>
      </c>
      <c r="B28" s="300" t="s">
        <v>35</v>
      </c>
      <c r="C28" s="367">
        <v>1</v>
      </c>
      <c r="D28" s="368">
        <f aca="true" t="shared" si="1" ref="D28:U28">C28+1</f>
        <v>2</v>
      </c>
      <c r="E28" s="368">
        <f t="shared" si="1"/>
        <v>3</v>
      </c>
      <c r="F28" s="368">
        <f t="shared" si="1"/>
        <v>4</v>
      </c>
      <c r="G28" s="368">
        <f t="shared" si="1"/>
        <v>5</v>
      </c>
      <c r="H28" s="368">
        <f t="shared" si="1"/>
        <v>6</v>
      </c>
      <c r="I28" s="368">
        <f t="shared" si="1"/>
        <v>7</v>
      </c>
      <c r="J28" s="368">
        <f t="shared" si="1"/>
        <v>8</v>
      </c>
      <c r="K28" s="368">
        <f t="shared" si="1"/>
        <v>9</v>
      </c>
      <c r="L28" s="368">
        <f t="shared" si="1"/>
        <v>10</v>
      </c>
      <c r="M28" s="368">
        <f t="shared" si="1"/>
        <v>11</v>
      </c>
      <c r="N28" s="368">
        <f t="shared" si="1"/>
        <v>12</v>
      </c>
      <c r="O28" s="368">
        <f t="shared" si="1"/>
        <v>13</v>
      </c>
      <c r="P28" s="368">
        <f t="shared" si="1"/>
        <v>14</v>
      </c>
      <c r="Q28" s="368">
        <f t="shared" si="1"/>
        <v>15</v>
      </c>
      <c r="R28" s="368">
        <f t="shared" si="1"/>
        <v>16</v>
      </c>
      <c r="S28" s="368">
        <f t="shared" si="1"/>
        <v>17</v>
      </c>
      <c r="T28" s="368">
        <f t="shared" si="1"/>
        <v>18</v>
      </c>
      <c r="U28" s="369">
        <f t="shared" si="1"/>
        <v>19</v>
      </c>
      <c r="V28" s="367" t="s">
        <v>70</v>
      </c>
      <c r="W28" s="565" t="s">
        <v>68</v>
      </c>
    </row>
    <row r="29" spans="1:23" ht="12.75">
      <c r="A29" s="301"/>
      <c r="B29" s="564"/>
      <c r="C29" s="309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567"/>
      <c r="V29" s="309"/>
      <c r="W29" s="322"/>
    </row>
    <row r="30" spans="1:23" s="270" customFormat="1" ht="15">
      <c r="A30" s="302" t="str">
        <f>'I-001 5th sizing'!$C$3</f>
        <v>I-001 5th sizing</v>
      </c>
      <c r="B30" s="365" t="s">
        <v>132</v>
      </c>
      <c r="C30" s="311">
        <f>AVERAGE(C5:C6)</f>
        <v>7.222234825015499</v>
      </c>
      <c r="D30" s="312">
        <f aca="true" t="shared" si="2" ref="D30:W30">AVERAGE(D5:D6)</f>
        <v>7.164324750667246</v>
      </c>
      <c r="E30" s="312">
        <f t="shared" si="2"/>
        <v>7.336316696409103</v>
      </c>
      <c r="F30" s="312">
        <f t="shared" si="2"/>
        <v>3.7169370496434424</v>
      </c>
      <c r="G30" s="312">
        <f t="shared" si="2"/>
        <v>0</v>
      </c>
      <c r="H30" s="312">
        <f t="shared" si="2"/>
        <v>6.948608038570485</v>
      </c>
      <c r="I30" s="312">
        <f t="shared" si="2"/>
        <v>7.056578853901428</v>
      </c>
      <c r="J30" s="312">
        <f t="shared" si="2"/>
        <v>7.201155349149341</v>
      </c>
      <c r="K30" s="312">
        <f t="shared" si="2"/>
        <v>0</v>
      </c>
      <c r="L30" s="312">
        <f t="shared" si="2"/>
        <v>6.933111308859122</v>
      </c>
      <c r="M30" s="312">
        <f t="shared" si="2"/>
        <v>6.929959795148222</v>
      </c>
      <c r="N30" s="312">
        <f t="shared" si="2"/>
        <v>7.182644880403174</v>
      </c>
      <c r="O30" s="312">
        <f t="shared" si="2"/>
        <v>0</v>
      </c>
      <c r="P30" s="312">
        <f t="shared" si="2"/>
        <v>0</v>
      </c>
      <c r="Q30" s="312">
        <f t="shared" si="2"/>
        <v>6.632290650663913</v>
      </c>
      <c r="R30" s="312">
        <f t="shared" si="2"/>
        <v>6.718834216286748</v>
      </c>
      <c r="S30" s="312">
        <f t="shared" si="2"/>
        <v>7.201744509146</v>
      </c>
      <c r="T30" s="312">
        <f t="shared" si="2"/>
        <v>0</v>
      </c>
      <c r="U30" s="313">
        <f t="shared" si="2"/>
        <v>0</v>
      </c>
      <c r="V30" s="311">
        <f t="shared" si="2"/>
        <v>7.061960790788252</v>
      </c>
      <c r="W30" s="313">
        <f t="shared" si="2"/>
        <v>0.23799982949620688</v>
      </c>
    </row>
    <row r="31" spans="1:23" s="270" customFormat="1" ht="15">
      <c r="A31" s="302" t="str">
        <f>'I-001 2nd sizing'!$C$3</f>
        <v>I-001 2nd sizing</v>
      </c>
      <c r="B31" s="365" t="s">
        <v>132</v>
      </c>
      <c r="C31" s="311">
        <f>AVERAGE(C7:C8)</f>
        <v>5.989925658773367</v>
      </c>
      <c r="D31" s="312">
        <f aca="true" t="shared" si="3" ref="D31:W31">AVERAGE(D7:D8)</f>
        <v>5.910236278857575</v>
      </c>
      <c r="E31" s="312">
        <f t="shared" si="3"/>
        <v>5.8417365758436315</v>
      </c>
      <c r="F31" s="312">
        <f t="shared" si="3"/>
        <v>6.0468376555707</v>
      </c>
      <c r="G31" s="312">
        <f t="shared" si="3"/>
        <v>5.764085383991068</v>
      </c>
      <c r="H31" s="312">
        <f t="shared" si="3"/>
        <v>5.589280438037084</v>
      </c>
      <c r="I31" s="312">
        <f t="shared" si="3"/>
        <v>5.566714703690405</v>
      </c>
      <c r="J31" s="312">
        <f t="shared" si="3"/>
        <v>5.522125553262111</v>
      </c>
      <c r="K31" s="312">
        <f t="shared" si="3"/>
        <v>5.447488740906545</v>
      </c>
      <c r="L31" s="312">
        <f t="shared" si="3"/>
        <v>5.603543278615723</v>
      </c>
      <c r="M31" s="312">
        <f t="shared" si="3"/>
        <v>5.544913021582656</v>
      </c>
      <c r="N31" s="312">
        <f t="shared" si="3"/>
        <v>5.6690035025537995</v>
      </c>
      <c r="O31" s="312">
        <f t="shared" si="3"/>
        <v>5.660518744557492</v>
      </c>
      <c r="P31" s="312">
        <f t="shared" si="3"/>
        <v>5.523453998525716</v>
      </c>
      <c r="Q31" s="312">
        <f t="shared" si="3"/>
        <v>5.5329830510115965</v>
      </c>
      <c r="R31" s="312">
        <f t="shared" si="3"/>
        <v>5.6928900494622</v>
      </c>
      <c r="S31" s="312">
        <f t="shared" si="3"/>
        <v>5.4137168079852565</v>
      </c>
      <c r="T31" s="312">
        <f t="shared" si="3"/>
        <v>0</v>
      </c>
      <c r="U31" s="313">
        <f t="shared" si="3"/>
        <v>0</v>
      </c>
      <c r="V31" s="311">
        <f t="shared" si="3"/>
        <v>5.66585020254276</v>
      </c>
      <c r="W31" s="303">
        <f t="shared" si="3"/>
        <v>0.21056389896444108</v>
      </c>
    </row>
    <row r="32" spans="1:23" s="270" customFormat="1" ht="15">
      <c r="A32" s="302" t="str">
        <f>'I-001 3rd sizing'!$C$3</f>
        <v>I-001 3rd sizing</v>
      </c>
      <c r="B32" s="365" t="s">
        <v>132</v>
      </c>
      <c r="C32" s="311">
        <f aca="true" t="shared" si="4" ref="C32:W33">AVERAGE(C9:C10)</f>
        <v>6.442724658578112</v>
      </c>
      <c r="D32" s="312">
        <f t="shared" si="4"/>
        <v>6.372979290277267</v>
      </c>
      <c r="E32" s="312">
        <f t="shared" si="4"/>
        <v>6.322755895218838</v>
      </c>
      <c r="F32" s="312">
        <f t="shared" si="4"/>
        <v>6.46972174301648</v>
      </c>
      <c r="G32" s="312">
        <f t="shared" si="4"/>
        <v>6.1510454155446315</v>
      </c>
      <c r="H32" s="312">
        <f t="shared" si="4"/>
        <v>6.177485905418933</v>
      </c>
      <c r="I32" s="312">
        <f t="shared" si="4"/>
        <v>6.095320004996648</v>
      </c>
      <c r="J32" s="312">
        <f t="shared" si="4"/>
        <v>5.849880236935682</v>
      </c>
      <c r="K32" s="312">
        <f t="shared" si="4"/>
        <v>5.989134752896458</v>
      </c>
      <c r="L32" s="312">
        <f t="shared" si="4"/>
        <v>6.1643559523752405</v>
      </c>
      <c r="M32" s="312">
        <f t="shared" si="4"/>
        <v>6.028523820149119</v>
      </c>
      <c r="N32" s="312">
        <f t="shared" si="4"/>
        <v>6.0950223150855845</v>
      </c>
      <c r="O32" s="312">
        <f t="shared" si="4"/>
        <v>6.13582337129797</v>
      </c>
      <c r="P32" s="312">
        <f t="shared" si="4"/>
        <v>5.994222795333716</v>
      </c>
      <c r="Q32" s="312">
        <f t="shared" si="4"/>
        <v>5.929017031431065</v>
      </c>
      <c r="R32" s="312">
        <f t="shared" si="4"/>
        <v>6.192041587211408</v>
      </c>
      <c r="S32" s="312">
        <f t="shared" si="4"/>
        <v>5.91563631051878</v>
      </c>
      <c r="T32" s="312">
        <f t="shared" si="4"/>
        <v>0</v>
      </c>
      <c r="U32" s="313">
        <f t="shared" si="4"/>
        <v>0</v>
      </c>
      <c r="V32" s="311">
        <f t="shared" si="4"/>
        <v>6.136805358016819</v>
      </c>
      <c r="W32" s="303">
        <f t="shared" si="4"/>
        <v>0.2119406991756912</v>
      </c>
    </row>
    <row r="33" spans="1:23" s="270" customFormat="1" ht="15">
      <c r="A33" s="302" t="str">
        <f>'I-001 4th sizing'!$C$3</f>
        <v>I-001 4th sizing</v>
      </c>
      <c r="B33" s="365" t="s">
        <v>132</v>
      </c>
      <c r="C33" s="311">
        <f t="shared" si="4"/>
        <v>6.289949846732915</v>
      </c>
      <c r="D33" s="312">
        <f t="shared" si="4"/>
        <v>6.154890431107588</v>
      </c>
      <c r="E33" s="312">
        <f>AVERAGE(E11:E12)</f>
        <v>6.275246553749083</v>
      </c>
      <c r="F33" s="312">
        <f aca="true" t="shared" si="5" ref="F33:W33">AVERAGE(F11:F12)</f>
        <v>6.3481315244371235</v>
      </c>
      <c r="G33" s="312">
        <f t="shared" si="5"/>
        <v>6.204847099194986</v>
      </c>
      <c r="H33" s="312">
        <f t="shared" si="5"/>
        <v>6.150605787577405</v>
      </c>
      <c r="I33" s="312">
        <f t="shared" si="5"/>
        <v>6.096213249230799</v>
      </c>
      <c r="J33" s="312">
        <f t="shared" si="5"/>
        <v>6.177052084502202</v>
      </c>
      <c r="K33" s="312">
        <f t="shared" si="5"/>
        <v>6.109361265281461</v>
      </c>
      <c r="L33" s="312">
        <f t="shared" si="5"/>
        <v>6.081877784555648</v>
      </c>
      <c r="M33" s="312">
        <f t="shared" si="5"/>
        <v>6.16398650848969</v>
      </c>
      <c r="N33" s="312">
        <f t="shared" si="5"/>
        <v>6.136005589198702</v>
      </c>
      <c r="O33" s="312">
        <f t="shared" si="5"/>
        <v>6.135641164219388</v>
      </c>
      <c r="P33" s="312">
        <f t="shared" si="5"/>
        <v>6.135701898709849</v>
      </c>
      <c r="Q33" s="312">
        <f t="shared" si="5"/>
        <v>5.996770059822639</v>
      </c>
      <c r="R33" s="312">
        <f t="shared" si="5"/>
        <v>6.068318456675434</v>
      </c>
      <c r="S33" s="312">
        <f t="shared" si="5"/>
        <v>6.016061519220742</v>
      </c>
      <c r="T33" s="312">
        <f t="shared" si="5"/>
        <v>0</v>
      </c>
      <c r="U33" s="313">
        <f t="shared" si="5"/>
        <v>0</v>
      </c>
      <c r="V33" s="311">
        <f t="shared" si="5"/>
        <v>6.160816825261893</v>
      </c>
      <c r="W33" s="313">
        <f t="shared" si="5"/>
        <v>0.1220423955060716</v>
      </c>
    </row>
    <row r="34" spans="1:23" s="270" customFormat="1" ht="15">
      <c r="A34" s="304" t="s">
        <v>0</v>
      </c>
      <c r="B34" s="366"/>
      <c r="C34" s="314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6"/>
      <c r="V34" s="314">
        <f>AVERAGE(V30:V33)</f>
        <v>6.256358294152431</v>
      </c>
      <c r="W34" s="305">
        <f>AVERAGE(W30:W33)</f>
        <v>0.19563670578560272</v>
      </c>
    </row>
    <row r="35" spans="1:23" s="270" customFormat="1" ht="15">
      <c r="A35" s="306"/>
      <c r="B35" s="562"/>
      <c r="C35" s="317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9"/>
      <c r="V35" s="317"/>
      <c r="W35" s="307"/>
    </row>
    <row r="36" spans="1:23" s="270" customFormat="1" ht="15">
      <c r="A36" s="302" t="str">
        <f>'O-004 1st sizing'!$C$3</f>
        <v>O-004 1st sizing</v>
      </c>
      <c r="B36" s="365" t="s">
        <v>132</v>
      </c>
      <c r="C36" s="311">
        <f aca="true" t="shared" si="6" ref="C36:W36">AVERAGE(C15:C16)</f>
        <v>10.718976631890369</v>
      </c>
      <c r="D36" s="312">
        <f t="shared" si="6"/>
        <v>10.50062600290826</v>
      </c>
      <c r="E36" s="312">
        <f t="shared" si="6"/>
        <v>10.569208952951769</v>
      </c>
      <c r="F36" s="312">
        <f t="shared" si="6"/>
        <v>10.488376803721437</v>
      </c>
      <c r="G36" s="312">
        <f t="shared" si="6"/>
        <v>10.786317214114476</v>
      </c>
      <c r="H36" s="312">
        <f t="shared" si="6"/>
        <v>10.702067677125829</v>
      </c>
      <c r="I36" s="312">
        <f t="shared" si="6"/>
        <v>11.04723297360841</v>
      </c>
      <c r="J36" s="312">
        <f t="shared" si="6"/>
        <v>10.905405965256737</v>
      </c>
      <c r="K36" s="312">
        <f t="shared" si="6"/>
        <v>10.401602562455256</v>
      </c>
      <c r="L36" s="312">
        <f t="shared" si="6"/>
        <v>10.522607620460576</v>
      </c>
      <c r="M36" s="312">
        <f t="shared" si="6"/>
        <v>10.522607620460573</v>
      </c>
      <c r="N36" s="312">
        <f t="shared" si="6"/>
        <v>10.612786614480854</v>
      </c>
      <c r="O36" s="312">
        <f t="shared" si="6"/>
        <v>10.522607620460573</v>
      </c>
      <c r="P36" s="312">
        <f t="shared" si="6"/>
        <v>10.93799304380245</v>
      </c>
      <c r="Q36" s="312">
        <f t="shared" si="6"/>
        <v>11.070851767976514</v>
      </c>
      <c r="R36" s="312">
        <f t="shared" si="6"/>
        <v>10.574845864393339</v>
      </c>
      <c r="S36" s="312">
        <f t="shared" si="6"/>
        <v>10.377853749118659</v>
      </c>
      <c r="T36" s="312">
        <f t="shared" si="6"/>
        <v>10.76624578954073</v>
      </c>
      <c r="U36" s="313">
        <f t="shared" si="6"/>
        <v>10.587285586922027</v>
      </c>
      <c r="V36" s="311">
        <f t="shared" si="6"/>
        <v>10.6639736874552</v>
      </c>
      <c r="W36" s="303">
        <f t="shared" si="6"/>
        <v>0.29113655479977896</v>
      </c>
    </row>
    <row r="37" spans="1:23" s="270" customFormat="1" ht="15">
      <c r="A37" s="302" t="str">
        <f>'O-004 2nd sizing'!$C$3</f>
        <v>O-004 2nd sizing</v>
      </c>
      <c r="B37" s="365" t="s">
        <v>132</v>
      </c>
      <c r="C37" s="311">
        <f aca="true" t="shared" si="7" ref="C37:W37">AVERAGE(C17:C18)</f>
        <v>10.402946226577516</v>
      </c>
      <c r="D37" s="312">
        <f t="shared" si="7"/>
        <v>10.211000759537454</v>
      </c>
      <c r="E37" s="312">
        <f t="shared" si="7"/>
        <v>10.24414515207125</v>
      </c>
      <c r="F37" s="312">
        <f t="shared" si="7"/>
        <v>10.287564658061847</v>
      </c>
      <c r="G37" s="312">
        <f t="shared" si="7"/>
        <v>10.359972363520326</v>
      </c>
      <c r="H37" s="312">
        <f t="shared" si="7"/>
        <v>10.361927813192565</v>
      </c>
      <c r="I37" s="312">
        <f t="shared" si="7"/>
        <v>10.40653102864275</v>
      </c>
      <c r="J37" s="312">
        <f t="shared" si="7"/>
        <v>10.328177576541897</v>
      </c>
      <c r="K37" s="312">
        <f t="shared" si="7"/>
        <v>11.890756219332843</v>
      </c>
      <c r="L37" s="312">
        <f t="shared" si="7"/>
        <v>10.605663407714484</v>
      </c>
      <c r="M37" s="312">
        <f t="shared" si="7"/>
        <v>10.282946546691182</v>
      </c>
      <c r="N37" s="312">
        <f t="shared" si="7"/>
        <v>10.571870078741544</v>
      </c>
      <c r="O37" s="312">
        <f t="shared" si="7"/>
        <v>10.682461775614344</v>
      </c>
      <c r="P37" s="312">
        <f t="shared" si="7"/>
        <v>11.160317249903166</v>
      </c>
      <c r="Q37" s="312">
        <f t="shared" si="7"/>
        <v>11.298677624674255</v>
      </c>
      <c r="R37" s="312">
        <f t="shared" si="7"/>
        <v>10.478750654825927</v>
      </c>
      <c r="S37" s="312">
        <f t="shared" si="7"/>
        <v>10.261289447543522</v>
      </c>
      <c r="T37" s="312">
        <f t="shared" si="7"/>
        <v>10.460532761688501</v>
      </c>
      <c r="U37" s="313">
        <f t="shared" si="7"/>
        <v>10.17160922963814</v>
      </c>
      <c r="V37" s="311">
        <f t="shared" si="7"/>
        <v>10.550902135500712</v>
      </c>
      <c r="W37" s="303">
        <f t="shared" si="7"/>
        <v>0.5307720613306008</v>
      </c>
    </row>
    <row r="38" spans="1:23" s="270" customFormat="1" ht="15">
      <c r="A38" s="308" t="str">
        <f>'O-004 3rd sizing'!$C$3</f>
        <v>O-004 3rd sizing</v>
      </c>
      <c r="B38" s="365" t="s">
        <v>132</v>
      </c>
      <c r="C38" s="311">
        <f aca="true" t="shared" si="8" ref="C38:W38">AVERAGE(C19:C20)</f>
        <v>9.96778706285859</v>
      </c>
      <c r="D38" s="312">
        <f t="shared" si="8"/>
        <v>9.520925437216466</v>
      </c>
      <c r="E38" s="312">
        <f t="shared" si="8"/>
        <v>10.263186048955317</v>
      </c>
      <c r="F38" s="566">
        <f t="shared" si="8"/>
        <v>-19.520811562237093</v>
      </c>
      <c r="G38" s="312">
        <f t="shared" si="8"/>
        <v>9.79126059391449</v>
      </c>
      <c r="H38" s="312">
        <f t="shared" si="8"/>
        <v>9.90749151688483</v>
      </c>
      <c r="I38" s="312">
        <f t="shared" si="8"/>
        <v>9.80397522166541</v>
      </c>
      <c r="J38" s="312">
        <f t="shared" si="8"/>
        <v>10.004119071463922</v>
      </c>
      <c r="K38" s="312">
        <f t="shared" si="8"/>
        <v>10.18786250098745</v>
      </c>
      <c r="L38" s="312">
        <f t="shared" si="8"/>
        <v>9.894109969900985</v>
      </c>
      <c r="M38" s="312">
        <f t="shared" si="8"/>
        <v>10.00305675294509</v>
      </c>
      <c r="N38" s="312">
        <f t="shared" si="8"/>
        <v>10.117742793869667</v>
      </c>
      <c r="O38" s="312">
        <f t="shared" si="8"/>
        <v>11.559043238927769</v>
      </c>
      <c r="P38" s="312">
        <f t="shared" si="8"/>
        <v>10.581472782622146</v>
      </c>
      <c r="Q38" s="312">
        <f t="shared" si="8"/>
        <v>10.51897706756117</v>
      </c>
      <c r="R38" s="312">
        <f t="shared" si="8"/>
        <v>10.26318604895532</v>
      </c>
      <c r="S38" s="312">
        <f t="shared" si="8"/>
        <v>9.93639817537624</v>
      </c>
      <c r="T38" s="312">
        <f t="shared" si="8"/>
        <v>9.803975221665414</v>
      </c>
      <c r="U38" s="313">
        <f t="shared" si="8"/>
        <v>9.864937686872096</v>
      </c>
      <c r="V38" s="311">
        <f t="shared" si="8"/>
        <v>10.102693800991673</v>
      </c>
      <c r="W38" s="303">
        <f t="shared" si="8"/>
        <v>0.5627595766650546</v>
      </c>
    </row>
    <row r="39" spans="1:23" s="270" customFormat="1" ht="15">
      <c r="A39" s="302" t="str">
        <f>'O-004 4th sizing'!$C$3</f>
        <v>O-004 4th sizing</v>
      </c>
      <c r="B39" s="365" t="s">
        <v>132</v>
      </c>
      <c r="C39" s="311">
        <f>AVERAGE(C21:C22)</f>
        <v>10.619126391430964</v>
      </c>
      <c r="D39" s="312">
        <f aca="true" t="shared" si="9" ref="D39:W39">AVERAGE(D21:D22)</f>
        <v>10.740578964808645</v>
      </c>
      <c r="E39" s="312">
        <f t="shared" si="9"/>
        <v>10.83281146754106</v>
      </c>
      <c r="F39" s="312">
        <f t="shared" si="9"/>
        <v>10.730084353301052</v>
      </c>
      <c r="G39" s="312">
        <f t="shared" si="9"/>
        <v>0</v>
      </c>
      <c r="H39" s="312">
        <f t="shared" si="9"/>
        <v>10.819365415946018</v>
      </c>
      <c r="I39" s="312">
        <f t="shared" si="9"/>
        <v>10.999169376333672</v>
      </c>
      <c r="J39" s="312">
        <f t="shared" si="9"/>
        <v>11.145824968018125</v>
      </c>
      <c r="K39" s="312">
        <f t="shared" si="9"/>
        <v>10.740578964808655</v>
      </c>
      <c r="L39" s="312">
        <f t="shared" si="9"/>
        <v>0</v>
      </c>
      <c r="M39" s="312">
        <f t="shared" si="9"/>
        <v>10.42074514826147</v>
      </c>
      <c r="N39" s="312">
        <f t="shared" si="9"/>
        <v>10.740578964808645</v>
      </c>
      <c r="O39" s="312">
        <f t="shared" si="9"/>
        <v>11.052305460277317</v>
      </c>
      <c r="P39" s="312">
        <f t="shared" si="9"/>
        <v>11.515588189157366</v>
      </c>
      <c r="Q39" s="312">
        <f t="shared" si="9"/>
        <v>0</v>
      </c>
      <c r="R39" s="312">
        <f t="shared" si="9"/>
        <v>11.220826199478802</v>
      </c>
      <c r="S39" s="312">
        <f t="shared" si="9"/>
        <v>10.942161486273406</v>
      </c>
      <c r="T39" s="312">
        <f t="shared" si="9"/>
        <v>10.544906529945894</v>
      </c>
      <c r="U39" s="313">
        <f t="shared" si="9"/>
        <v>10.682139568285645</v>
      </c>
      <c r="V39" s="311">
        <f t="shared" si="9"/>
        <v>10.8591744655423</v>
      </c>
      <c r="W39" s="313">
        <f t="shared" si="9"/>
        <v>0.35126210516107365</v>
      </c>
    </row>
    <row r="40" spans="1:23" s="270" customFormat="1" ht="15">
      <c r="A40" s="304" t="s">
        <v>0</v>
      </c>
      <c r="B40" s="366"/>
      <c r="C40" s="314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6"/>
      <c r="V40" s="314">
        <f>AVERAGE(V36:V39)</f>
        <v>10.544186022372472</v>
      </c>
      <c r="W40" s="305">
        <f>AVERAGE(W36:W39)</f>
        <v>0.43398257448912697</v>
      </c>
    </row>
    <row r="41" spans="3:23" ht="12.75"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</row>
    <row r="42" spans="1:23" ht="24" customHeight="1">
      <c r="A42" s="616" t="s">
        <v>144</v>
      </c>
      <c r="B42" s="616"/>
      <c r="C42" s="616"/>
      <c r="D42" s="616"/>
      <c r="E42" s="616"/>
      <c r="F42" s="616"/>
      <c r="G42" s="616"/>
      <c r="H42" s="616"/>
      <c r="I42" s="616"/>
      <c r="J42" s="616"/>
      <c r="K42" s="616"/>
      <c r="L42" s="616"/>
      <c r="M42" s="616"/>
      <c r="N42" s="616"/>
      <c r="O42" s="616"/>
      <c r="P42" s="616"/>
      <c r="Q42" s="616"/>
      <c r="R42" s="616"/>
      <c r="S42" s="616"/>
      <c r="T42" s="616"/>
      <c r="U42" s="616"/>
      <c r="V42" s="616"/>
      <c r="W42" s="616"/>
    </row>
    <row r="43" spans="1:23" ht="16.5" customHeight="1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</row>
    <row r="44" spans="1:23" ht="18">
      <c r="A44" s="256" t="s">
        <v>130</v>
      </c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</row>
    <row r="45" spans="1:23" s="256" customFormat="1" ht="18.75">
      <c r="A45" s="258"/>
      <c r="B45" s="279"/>
      <c r="C45" s="740" t="s">
        <v>125</v>
      </c>
      <c r="D45" s="740"/>
      <c r="E45" s="740"/>
      <c r="F45" s="740"/>
      <c r="G45" s="740"/>
      <c r="H45" s="740"/>
      <c r="I45" s="740"/>
      <c r="J45" s="740"/>
      <c r="K45" s="740"/>
      <c r="L45" s="740"/>
      <c r="M45" s="740"/>
      <c r="N45" s="740"/>
      <c r="O45" s="740"/>
      <c r="P45" s="740"/>
      <c r="Q45" s="740"/>
      <c r="R45" s="740"/>
      <c r="S45" s="740"/>
      <c r="T45" s="740"/>
      <c r="U45" s="741"/>
      <c r="V45" s="281"/>
      <c r="W45" s="272"/>
    </row>
    <row r="46" spans="1:24" s="256" customFormat="1" ht="18">
      <c r="A46" s="280" t="s">
        <v>67</v>
      </c>
      <c r="B46" s="298" t="s">
        <v>35</v>
      </c>
      <c r="C46" s="373">
        <v>1</v>
      </c>
      <c r="D46" s="373">
        <f aca="true" t="shared" si="10" ref="D46:U46">C46+1</f>
        <v>2</v>
      </c>
      <c r="E46" s="373">
        <f t="shared" si="10"/>
        <v>3</v>
      </c>
      <c r="F46" s="373">
        <f t="shared" si="10"/>
        <v>4</v>
      </c>
      <c r="G46" s="373">
        <f t="shared" si="10"/>
        <v>5</v>
      </c>
      <c r="H46" s="373">
        <f t="shared" si="10"/>
        <v>6</v>
      </c>
      <c r="I46" s="373">
        <f t="shared" si="10"/>
        <v>7</v>
      </c>
      <c r="J46" s="373">
        <f t="shared" si="10"/>
        <v>8</v>
      </c>
      <c r="K46" s="373">
        <f t="shared" si="10"/>
        <v>9</v>
      </c>
      <c r="L46" s="373">
        <f t="shared" si="10"/>
        <v>10</v>
      </c>
      <c r="M46" s="373">
        <f t="shared" si="10"/>
        <v>11</v>
      </c>
      <c r="N46" s="373">
        <f t="shared" si="10"/>
        <v>12</v>
      </c>
      <c r="O46" s="373">
        <f t="shared" si="10"/>
        <v>13</v>
      </c>
      <c r="P46" s="373">
        <f t="shared" si="10"/>
        <v>14</v>
      </c>
      <c r="Q46" s="373">
        <f t="shared" si="10"/>
        <v>15</v>
      </c>
      <c r="R46" s="373">
        <f t="shared" si="10"/>
        <v>16</v>
      </c>
      <c r="S46" s="373">
        <f t="shared" si="10"/>
        <v>17</v>
      </c>
      <c r="T46" s="373">
        <f t="shared" si="10"/>
        <v>18</v>
      </c>
      <c r="U46" s="374">
        <f t="shared" si="10"/>
        <v>19</v>
      </c>
      <c r="V46" s="372" t="s">
        <v>70</v>
      </c>
      <c r="W46" s="363" t="s">
        <v>68</v>
      </c>
      <c r="X46" s="256" t="s">
        <v>133</v>
      </c>
    </row>
    <row r="47" spans="1:23" ht="12.75">
      <c r="A47" s="273"/>
      <c r="B47" s="224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3"/>
      <c r="V47" s="282"/>
      <c r="W47" s="283"/>
    </row>
    <row r="48" spans="1:24" s="270" customFormat="1" ht="15">
      <c r="A48" s="295" t="str">
        <f>'I-001 5th sizing'!$C$3</f>
        <v>I-001 5th sizing</v>
      </c>
      <c r="B48" s="370" t="s">
        <v>6</v>
      </c>
      <c r="C48" s="409">
        <f>'I-001 5th sizing'!D103</f>
        <v>-99.82219964439932</v>
      </c>
      <c r="D48" s="410">
        <f>'I-001 5th sizing'!E103</f>
        <v>-97.79019558039118</v>
      </c>
      <c r="E48" s="410">
        <f>'I-001 5th sizing'!F103</f>
        <v>-68.32613665227332</v>
      </c>
      <c r="F48" s="410">
        <f>'I-001 5th sizing'!G103</f>
        <v>-129.28625857251717</v>
      </c>
      <c r="G48" s="410">
        <f>'I-001 5th sizing'!H103</f>
        <v>0</v>
      </c>
      <c r="H48" s="410">
        <f>'I-001 5th sizing'!I103</f>
        <v>-94.742189484379</v>
      </c>
      <c r="I48" s="410">
        <f>'I-001 5th sizing'!J103</f>
        <v>-107.95021590043181</v>
      </c>
      <c r="J48" s="410">
        <f>'I-001 5th sizing'!K103</f>
        <v>-108.45821691643387</v>
      </c>
      <c r="K48" s="410">
        <f>'I-001 5th sizing'!L103</f>
        <v>0</v>
      </c>
      <c r="L48" s="410">
        <f>'I-001 5th sizing'!M103</f>
        <v>-104.90220980441961</v>
      </c>
      <c r="M48" s="410">
        <f>'I-001 5th sizing'!N103</f>
        <v>-93.21818643637286</v>
      </c>
      <c r="N48" s="410">
        <f>'I-001 5th sizing'!O103</f>
        <v>-101.3462026924054</v>
      </c>
      <c r="O48" s="410">
        <f>'I-001 5th sizing'!P103</f>
        <v>0</v>
      </c>
      <c r="P48" s="410">
        <f>'I-001 5th sizing'!Q103</f>
        <v>0</v>
      </c>
      <c r="Q48" s="410">
        <f>'I-001 5th sizing'!R103</f>
        <v>-97.79019558039118</v>
      </c>
      <c r="R48" s="410">
        <f>'I-001 5th sizing'!S103</f>
        <v>-134.36626873253746</v>
      </c>
      <c r="S48" s="410">
        <f>'I-001 5th sizing'!T103</f>
        <v>-106.93421386842775</v>
      </c>
      <c r="T48" s="410">
        <f>'I-001 5th sizing'!U103</f>
        <v>0</v>
      </c>
      <c r="U48" s="411">
        <f>'I-001 5th sizing'!V103</f>
        <v>0</v>
      </c>
      <c r="V48" s="409">
        <f>'I-001 5th sizing'!W103</f>
        <v>-103.45636075887536</v>
      </c>
      <c r="W48" s="411">
        <f>'I-001 5th sizing'!X103</f>
        <v>16.275660925500205</v>
      </c>
      <c r="X48" s="432" t="str">
        <f>'I-001 5th sizing'!$B$3</f>
        <v>I-001 A 5th</v>
      </c>
    </row>
    <row r="49" spans="1:24" s="270" customFormat="1" ht="15">
      <c r="A49" s="295" t="str">
        <f>'I-001 5th sizing'!$C$3</f>
        <v>I-001 5th sizing</v>
      </c>
      <c r="B49" s="370" t="s">
        <v>8</v>
      </c>
      <c r="C49" s="409">
        <f>'I-001 5th sizing'!D104</f>
        <v>-97.28219456438913</v>
      </c>
      <c r="D49" s="410">
        <f>'I-001 5th sizing'!E104</f>
        <v>-89.1541783083566</v>
      </c>
      <c r="E49" s="410">
        <f>'I-001 5th sizing'!F104</f>
        <v>-118.11023622047243</v>
      </c>
      <c r="F49" s="410">
        <f>'I-001 5th sizing'!G104</f>
        <v>0</v>
      </c>
      <c r="G49" s="410">
        <f>'I-001 5th sizing'!H104</f>
        <v>0</v>
      </c>
      <c r="H49" s="410">
        <f>'I-001 5th sizing'!I104</f>
        <v>-91.6941833883668</v>
      </c>
      <c r="I49" s="410">
        <f>'I-001 5th sizing'!J104</f>
        <v>-101.85420370840743</v>
      </c>
      <c r="J49" s="410">
        <f>'I-001 5th sizing'!K104</f>
        <v>-104.3942087884176</v>
      </c>
      <c r="K49" s="410">
        <f>'I-001 5th sizing'!L104</f>
        <v>0</v>
      </c>
      <c r="L49" s="410">
        <f>'I-001 5th sizing'!M104</f>
        <v>-101.85420370840743</v>
      </c>
      <c r="M49" s="410">
        <f>'I-001 5th sizing'!N104</f>
        <v>-96.26619253238508</v>
      </c>
      <c r="N49" s="410">
        <f>'I-001 5th sizing'!O104</f>
        <v>-105.91821183642368</v>
      </c>
      <c r="O49" s="410">
        <f>'I-001 5th sizing'!P104</f>
        <v>0</v>
      </c>
      <c r="P49" s="410">
        <f>'I-001 5th sizing'!Q104</f>
        <v>0</v>
      </c>
      <c r="Q49" s="410">
        <f>'I-001 5th sizing'!R104</f>
        <v>-62.230124460248916</v>
      </c>
      <c r="R49" s="410">
        <f>'I-001 5th sizing'!S104</f>
        <v>-113.03022606045215</v>
      </c>
      <c r="S49" s="410">
        <f>'I-001 5th sizing'!T104</f>
        <v>-105.41021082042167</v>
      </c>
      <c r="T49" s="410">
        <f>'I-001 5th sizing'!U104</f>
        <v>0</v>
      </c>
      <c r="U49" s="411">
        <f>'I-001 5th sizing'!V104</f>
        <v>0</v>
      </c>
      <c r="V49" s="409">
        <f>'I-001 5th sizing'!W104</f>
        <v>-98.93319786639574</v>
      </c>
      <c r="W49" s="411">
        <f>'I-001 5th sizing'!X104</f>
        <v>14.171357772877723</v>
      </c>
      <c r="X49" s="432" t="str">
        <f>'I-001 5th sizing'!$B$4</f>
        <v>I-001 B 5th</v>
      </c>
    </row>
    <row r="50" spans="1:24" s="270" customFormat="1" ht="15">
      <c r="A50" s="295" t="str">
        <f>'I-001 2nd sizing'!$C$3</f>
        <v>I-001 2nd sizing</v>
      </c>
      <c r="B50" s="370" t="s">
        <v>6</v>
      </c>
      <c r="C50" s="285">
        <f>'I-001 2nd sizing'!D103</f>
        <v>-65.27813055626115</v>
      </c>
      <c r="D50" s="275">
        <f>'I-001 2nd sizing'!E103</f>
        <v>-79.50215900431803</v>
      </c>
      <c r="E50" s="275">
        <f>'I-001 2nd sizing'!F103</f>
        <v>-37.84607569215141</v>
      </c>
      <c r="F50" s="275">
        <f>'I-001 2nd sizing'!G103</f>
        <v>-88.13817627635257</v>
      </c>
      <c r="G50" s="275">
        <f>'I-001 2nd sizing'!H103</f>
        <v>-78.48615697231398</v>
      </c>
      <c r="H50" s="275">
        <f>'I-001 2nd sizing'!I103</f>
        <v>-60.70612141224284</v>
      </c>
      <c r="I50" s="275">
        <f>'I-001 2nd sizing'!J103</f>
        <v>-62.73812547625097</v>
      </c>
      <c r="J50" s="275">
        <f>'I-001 2nd sizing'!K103</f>
        <v>-53.08610617221237</v>
      </c>
      <c r="K50" s="275">
        <f>'I-001 2nd sizing'!L103</f>
        <v>-55.1181102362205</v>
      </c>
      <c r="L50" s="275">
        <f>'I-001 2nd sizing'!M103</f>
        <v>-64.77012954025912</v>
      </c>
      <c r="M50" s="275">
        <f>'I-001 2nd sizing'!N103</f>
        <v>-55.62611125222253</v>
      </c>
      <c r="N50" s="275">
        <f>'I-001 2nd sizing'!O103</f>
        <v>-61.722123444246904</v>
      </c>
      <c r="O50" s="275">
        <f>'I-001 2nd sizing'!P103</f>
        <v>-61.722123444246904</v>
      </c>
      <c r="P50" s="275">
        <f>'I-001 2nd sizing'!Q103</f>
        <v>-65.27813055626115</v>
      </c>
      <c r="Q50" s="275">
        <f>'I-001 2nd sizing'!R103</f>
        <v>-32.25806451612904</v>
      </c>
      <c r="R50" s="275">
        <f>'I-001 2nd sizing'!S103</f>
        <v>-60.19812039624081</v>
      </c>
      <c r="S50" s="275">
        <f>'I-001 2nd sizing'!T103</f>
        <v>-54.61010922021847</v>
      </c>
      <c r="T50" s="275">
        <f>'I-001 2nd sizing'!U103</f>
        <v>0</v>
      </c>
      <c r="U50" s="276">
        <f>'I-001 2nd sizing'!V103</f>
        <v>0</v>
      </c>
      <c r="V50" s="285">
        <f>'I-001 2nd sizing'!W103</f>
        <v>-61.004945539302874</v>
      </c>
      <c r="W50" s="276">
        <f>'I-001 2nd sizing'!X103</f>
        <v>13.622881995390088</v>
      </c>
      <c r="X50" s="432" t="str">
        <f>'I-001 2nd sizing'!$B$3</f>
        <v>I-001 A 2nd</v>
      </c>
    </row>
    <row r="51" spans="1:24" s="270" customFormat="1" ht="15">
      <c r="A51" s="295" t="str">
        <f>'I-001 2nd sizing'!$C$3</f>
        <v>I-001 2nd sizing</v>
      </c>
      <c r="B51" s="370" t="s">
        <v>8</v>
      </c>
      <c r="C51" s="285">
        <f>'I-001 2nd sizing'!D104</f>
        <v>-67.56413512827027</v>
      </c>
      <c r="D51" s="275">
        <f>'I-001 2nd sizing'!E104</f>
        <v>-67.05613411226823</v>
      </c>
      <c r="E51" s="275">
        <f>'I-001 2nd sizing'!F104</f>
        <v>-69.3421386842774</v>
      </c>
      <c r="F51" s="275">
        <f>'I-001 2nd sizing'!G104</f>
        <v>-71.62814325628653</v>
      </c>
      <c r="G51" s="275">
        <f>'I-001 2nd sizing'!H104</f>
        <v>-18.79603759207519</v>
      </c>
      <c r="H51" s="275">
        <f>'I-001 2nd sizing'!I104</f>
        <v>-66.04013208026416</v>
      </c>
      <c r="I51" s="275">
        <f>'I-001 2nd sizing'!J104</f>
        <v>-65.02413004826009</v>
      </c>
      <c r="J51" s="275">
        <f>'I-001 2nd sizing'!K104</f>
        <v>-59.94411988823979</v>
      </c>
      <c r="K51" s="275">
        <f>'I-001 2nd sizing'!L104</f>
        <v>-69.08813817627636</v>
      </c>
      <c r="L51" s="275">
        <f>'I-001 2nd sizing'!M104</f>
        <v>-73.66014732029464</v>
      </c>
      <c r="M51" s="275">
        <f>'I-001 2nd sizing'!N104</f>
        <v>-65.53213106426212</v>
      </c>
      <c r="N51" s="275">
        <f>'I-001 2nd sizing'!O104</f>
        <v>-62.992125984251985</v>
      </c>
      <c r="O51" s="275">
        <f>'I-001 2nd sizing'!P104</f>
        <v>-68.58013716027432</v>
      </c>
      <c r="P51" s="275">
        <f>'I-001 2nd sizing'!Q104</f>
        <v>-52.83210566421133</v>
      </c>
      <c r="Q51" s="275">
        <f>'I-001 2nd sizing'!R104</f>
        <v>-29.46405892811787</v>
      </c>
      <c r="R51" s="275">
        <f>'I-001 2nd sizing'!S104</f>
        <v>-74.16814833629668</v>
      </c>
      <c r="S51" s="275">
        <f>'I-001 2nd sizing'!T104</f>
        <v>-51.30810261620523</v>
      </c>
      <c r="T51" s="275">
        <f>'I-001 2nd sizing'!U104</f>
        <v>0</v>
      </c>
      <c r="U51" s="276">
        <f>'I-001 2nd sizing'!V104</f>
        <v>0</v>
      </c>
      <c r="V51" s="285">
        <f>'I-001 2nd sizing'!W104</f>
        <v>-60.765886237654826</v>
      </c>
      <c r="W51" s="276">
        <f>'I-001 2nd sizing'!X104</f>
        <v>15.251014533926073</v>
      </c>
      <c r="X51" s="432" t="str">
        <f>'I-001 2nd sizing'!$B$4</f>
        <v>I-001 B 2nd</v>
      </c>
    </row>
    <row r="52" spans="1:24" s="270" customFormat="1" ht="15">
      <c r="A52" s="295" t="str">
        <f>'I-001 3rd sizing'!$C$3</f>
        <v>I-001 3rd sizing</v>
      </c>
      <c r="B52" s="370" t="s">
        <v>6</v>
      </c>
      <c r="C52" s="285">
        <f>'I-001 3rd sizing'!D103</f>
        <v>-74.67614935229871</v>
      </c>
      <c r="D52" s="275">
        <f>'I-001 3rd sizing'!E103</f>
        <v>-84.83616967233937</v>
      </c>
      <c r="E52" s="275">
        <f>'I-001 3rd sizing'!F103</f>
        <v>-46.73609347218694</v>
      </c>
      <c r="F52" s="275">
        <f>'I-001 3rd sizing'!G103</f>
        <v>-98.55219710439424</v>
      </c>
      <c r="G52" s="275">
        <f>'I-001 3rd sizing'!H103</f>
        <v>-88.90017780035559</v>
      </c>
      <c r="H52" s="275">
        <f>'I-001 3rd sizing'!I103</f>
        <v>-78.23215646431294</v>
      </c>
      <c r="I52" s="275">
        <f>'I-001 3rd sizing'!J103</f>
        <v>-79.248158496317</v>
      </c>
      <c r="J52" s="275">
        <f>'I-001 3rd sizing'!K103</f>
        <v>-70.10414020828043</v>
      </c>
      <c r="K52" s="275">
        <f>'I-001 3rd sizing'!L103</f>
        <v>-74.67614935229871</v>
      </c>
      <c r="L52" s="275">
        <f>'I-001 3rd sizing'!M103</f>
        <v>-83.31216662433326</v>
      </c>
      <c r="M52" s="275">
        <f>'I-001 3rd sizing'!N103</f>
        <v>-73.66014732029464</v>
      </c>
      <c r="N52" s="275">
        <f>'I-001 3rd sizing'!O103</f>
        <v>-78.23215646431294</v>
      </c>
      <c r="O52" s="275">
        <f>'I-001 3rd sizing'!P103</f>
        <v>-78.23215646431294</v>
      </c>
      <c r="P52" s="275">
        <f>'I-001 3rd sizing'!Q103</f>
        <v>-82.29616459232918</v>
      </c>
      <c r="Q52" s="275">
        <f>'I-001 3rd sizing'!R103</f>
        <v>-48.26009652019304</v>
      </c>
      <c r="R52" s="275">
        <f>'I-001 3rd sizing'!S103</f>
        <v>-77.21615443230887</v>
      </c>
      <c r="S52" s="275">
        <f>'I-001 3rd sizing'!T103</f>
        <v>-74.16814833629668</v>
      </c>
      <c r="T52" s="275">
        <f>'I-001 3rd sizing'!U103</f>
        <v>0</v>
      </c>
      <c r="U52" s="276">
        <f>'I-001 3rd sizing'!V103</f>
        <v>0</v>
      </c>
      <c r="V52" s="285">
        <f>'I-001 3rd sizing'!W103</f>
        <v>-75.96109309865678</v>
      </c>
      <c r="W52" s="276">
        <f>'I-001 3rd sizing'!X103</f>
        <v>12.61479867420679</v>
      </c>
      <c r="X52" s="432" t="str">
        <f>'I-001 3rd sizing'!$B$3</f>
        <v>I-001 A 3rd</v>
      </c>
    </row>
    <row r="53" spans="1:24" s="270" customFormat="1" ht="15">
      <c r="A53" s="295" t="str">
        <f>'I-001 3rd sizing'!$C$3</f>
        <v>I-001 3rd sizing</v>
      </c>
      <c r="B53" s="370" t="s">
        <v>8</v>
      </c>
      <c r="C53" s="285">
        <f>'I-001 3rd sizing'!D104</f>
        <v>-77.7241554483109</v>
      </c>
      <c r="D53" s="275">
        <f>'I-001 3rd sizing'!E104</f>
        <v>-72.13614427228856</v>
      </c>
      <c r="E53" s="275">
        <f>'I-001 3rd sizing'!F104</f>
        <v>-82.80416560833123</v>
      </c>
      <c r="F53" s="275">
        <f>'I-001 3rd sizing'!G104</f>
        <v>-87.88417576835155</v>
      </c>
      <c r="G53" s="275">
        <f>'I-001 3rd sizing'!H104</f>
        <v>-37.08407416814835</v>
      </c>
      <c r="H53" s="275">
        <f>'I-001 3rd sizing'!I104</f>
        <v>-81.28016256032514</v>
      </c>
      <c r="I53" s="275">
        <f>'I-001 3rd sizing'!J104</f>
        <v>-78.23215646431294</v>
      </c>
      <c r="J53" s="275">
        <f>'I-001 3rd sizing'!K104</f>
        <v>-76.70815341630684</v>
      </c>
      <c r="K53" s="275">
        <f>'I-001 3rd sizing'!L104</f>
        <v>-84.83616967233937</v>
      </c>
      <c r="L53" s="275">
        <f>'I-001 3rd sizing'!M104</f>
        <v>-87.37617475234953</v>
      </c>
      <c r="M53" s="275">
        <f>'I-001 3rd sizing'!N104</f>
        <v>-80.77216154432311</v>
      </c>
      <c r="N53" s="275">
        <f>'I-001 3rd sizing'!O104</f>
        <v>-76.2001524003048</v>
      </c>
      <c r="O53" s="275">
        <f>'I-001 3rd sizing'!P104</f>
        <v>-78.23215646431294</v>
      </c>
      <c r="P53" s="275">
        <f>'I-001 3rd sizing'!Q104</f>
        <v>-66.04013208026417</v>
      </c>
      <c r="Q53" s="275">
        <f>'I-001 3rd sizing'!R104</f>
        <v>-45.21209042418086</v>
      </c>
      <c r="R53" s="275">
        <f>'I-001 3rd sizing'!S104</f>
        <v>-84.32816865633731</v>
      </c>
      <c r="S53" s="275">
        <f>'I-001 3rd sizing'!T104</f>
        <v>-64.00812801625605</v>
      </c>
      <c r="T53" s="275">
        <f>'I-001 3rd sizing'!U104</f>
        <v>0</v>
      </c>
      <c r="U53" s="276">
        <f>'I-001 3rd sizing'!V104</f>
        <v>0</v>
      </c>
      <c r="V53" s="285">
        <f>'I-001 3rd sizing'!W104</f>
        <v>-74.1681483362967</v>
      </c>
      <c r="W53" s="276">
        <f>'I-001 3rd sizing'!X104</f>
        <v>14.123890042629224</v>
      </c>
      <c r="X53" s="432" t="str">
        <f>'I-001 3rd sizing'!$B$4</f>
        <v>I-001 B 3rd</v>
      </c>
    </row>
    <row r="54" spans="1:24" s="270" customFormat="1" ht="15">
      <c r="A54" s="408" t="str">
        <f>'I-001 4th sizing'!$C$3</f>
        <v>I-001 4th sizing</v>
      </c>
      <c r="B54" s="370" t="s">
        <v>6</v>
      </c>
      <c r="C54" s="409">
        <f>'I-001 4th sizing'!D103</f>
        <v>-72.39014478028956</v>
      </c>
      <c r="D54" s="410">
        <f>'I-001 4th sizing'!E103</f>
        <v>-80.01016002032007</v>
      </c>
      <c r="E54" s="410">
        <f>'I-001 4th sizing'!F103</f>
        <v>-40.386080772161556</v>
      </c>
      <c r="F54" s="410">
        <f>'I-001 4th sizing'!G103</f>
        <v>-92.20218440436885</v>
      </c>
      <c r="G54" s="410">
        <f>'I-001 4th sizing'!H103</f>
        <v>-82.04216408432819</v>
      </c>
      <c r="H54" s="410">
        <f>'I-001 4th sizing'!I103</f>
        <v>-72.39014478028956</v>
      </c>
      <c r="I54" s="410">
        <f>'I-001 4th sizing'!J103</f>
        <v>-73.91414782829567</v>
      </c>
      <c r="J54" s="410">
        <f>'I-001 4th sizing'!K103</f>
        <v>-67.31013462026925</v>
      </c>
      <c r="K54" s="410">
        <f>'I-001 4th sizing'!L103</f>
        <v>-70.35814071628145</v>
      </c>
      <c r="L54" s="410">
        <f>'I-001 4th sizing'!M103</f>
        <v>-73.91414782829567</v>
      </c>
      <c r="M54" s="410">
        <f>'I-001 4th sizing'!N103</f>
        <v>-65.78613157226316</v>
      </c>
      <c r="N54" s="410">
        <f>'I-001 4th sizing'!O103</f>
        <v>-71.88214376428756</v>
      </c>
      <c r="O54" s="410">
        <f>'I-001 4th sizing'!P103</f>
        <v>-75.43815087630176</v>
      </c>
      <c r="P54" s="410">
        <f>'I-001 4th sizing'!Q103</f>
        <v>-76.45415290830583</v>
      </c>
      <c r="Q54" s="410">
        <f>'I-001 4th sizing'!R103</f>
        <v>-46.48209296418595</v>
      </c>
      <c r="R54" s="410">
        <f>'I-001 4th sizing'!S103</f>
        <v>-76.96215392430787</v>
      </c>
      <c r="S54" s="410">
        <f>'I-001 4th sizing'!T103</f>
        <v>-67.8181356362713</v>
      </c>
      <c r="T54" s="410">
        <f>'I-001 4th sizing'!U103</f>
        <v>0</v>
      </c>
      <c r="U54" s="411">
        <f>'I-001 4th sizing'!V103</f>
        <v>0</v>
      </c>
      <c r="V54" s="409">
        <f>'I-001 4th sizing'!W103</f>
        <v>-70.92590655769547</v>
      </c>
      <c r="W54" s="411">
        <f>'I-001 4th sizing'!X103</f>
        <v>12.116226729159152</v>
      </c>
      <c r="X54" s="432" t="str">
        <f>'I-001 4th sizing'!$B$3</f>
        <v>I-001 A 4th</v>
      </c>
    </row>
    <row r="55" spans="1:24" s="270" customFormat="1" ht="15">
      <c r="A55" s="408" t="str">
        <f>'I-001 4th sizing'!$C$3</f>
        <v>I-001 4th sizing</v>
      </c>
      <c r="B55" s="370" t="s">
        <v>8</v>
      </c>
      <c r="C55" s="409">
        <f>'I-001 4th sizing'!D104</f>
        <v>-78.74015748031498</v>
      </c>
      <c r="D55" s="410">
        <f>'I-001 4th sizing'!E104</f>
        <v>-79.75615951231904</v>
      </c>
      <c r="E55" s="410">
        <f>'I-001 4th sizing'!F104</f>
        <v>-82.2961645923292</v>
      </c>
      <c r="F55" s="410">
        <f>'I-001 4th sizing'!G104</f>
        <v>-86.36017272034546</v>
      </c>
      <c r="G55" s="410">
        <f>'I-001 4th sizing'!H104</f>
        <v>-38.100076200152415</v>
      </c>
      <c r="H55" s="410">
        <f>'I-001 4th sizing'!I104</f>
        <v>-74.1681483362967</v>
      </c>
      <c r="I55" s="410">
        <f>'I-001 4th sizing'!J104</f>
        <v>-77.7241554483109</v>
      </c>
      <c r="J55" s="410">
        <f>'I-001 4th sizing'!K104</f>
        <v>-74.1681483362967</v>
      </c>
      <c r="K55" s="410">
        <f>'I-001 4th sizing'!L104</f>
        <v>-80.26416052832107</v>
      </c>
      <c r="L55" s="410">
        <f>'I-001 4th sizing'!M104</f>
        <v>-85.34417068834139</v>
      </c>
      <c r="M55" s="410">
        <f>'I-001 4th sizing'!N104</f>
        <v>-77.7241554483109</v>
      </c>
      <c r="N55" s="410">
        <f>'I-001 4th sizing'!O104</f>
        <v>-75.69215138430278</v>
      </c>
      <c r="O55" s="410">
        <f>'I-001 4th sizing'!P104</f>
        <v>-80.26416052832107</v>
      </c>
      <c r="P55" s="410">
        <f>'I-001 4th sizing'!Q104</f>
        <v>-67.56413512827027</v>
      </c>
      <c r="Q55" s="410">
        <f>'I-001 4th sizing'!R104</f>
        <v>-47.752095504191026</v>
      </c>
      <c r="R55" s="410">
        <f>'I-001 4th sizing'!S104</f>
        <v>-88.39217678435358</v>
      </c>
      <c r="S55" s="410">
        <f>'I-001 4th sizing'!T104</f>
        <v>-61.97612395224792</v>
      </c>
      <c r="T55" s="410">
        <f>'I-001 4th sizing'!U104</f>
        <v>0</v>
      </c>
      <c r="U55" s="411">
        <f>'I-001 4th sizing'!V104</f>
        <v>0</v>
      </c>
      <c r="V55" s="409">
        <f>'I-001 4th sizing'!W104</f>
        <v>-73.89920662194267</v>
      </c>
      <c r="W55" s="411">
        <f>'I-001 4th sizing'!X104</f>
        <v>13.429780135731177</v>
      </c>
      <c r="X55" s="432" t="str">
        <f>'I-001 4th sizing'!$B$4</f>
        <v>I-001 B 4th</v>
      </c>
    </row>
    <row r="56" spans="1:23" ht="12.75">
      <c r="A56" s="296"/>
      <c r="B56" s="371"/>
      <c r="C56" s="286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8"/>
      <c r="V56" s="286"/>
      <c r="W56" s="278"/>
    </row>
    <row r="57" spans="1:23" ht="12.75">
      <c r="A57" s="216"/>
      <c r="B57" s="123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</row>
    <row r="58" spans="1:23" ht="12.75">
      <c r="A58" s="216"/>
      <c r="B58" s="123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</row>
    <row r="59" spans="1:23" ht="18">
      <c r="A59" s="256" t="s">
        <v>131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</row>
    <row r="60" spans="1:23" s="256" customFormat="1" ht="18">
      <c r="A60" s="258"/>
      <c r="B60" s="279"/>
      <c r="C60" s="740" t="s">
        <v>125</v>
      </c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740"/>
      <c r="Q60" s="740"/>
      <c r="R60" s="740"/>
      <c r="S60" s="740"/>
      <c r="T60" s="740"/>
      <c r="U60" s="741"/>
      <c r="V60" s="293"/>
      <c r="W60" s="294"/>
    </row>
    <row r="61" spans="1:23" s="256" customFormat="1" ht="18">
      <c r="A61" s="280" t="s">
        <v>67</v>
      </c>
      <c r="B61" s="298" t="s">
        <v>35</v>
      </c>
      <c r="C61" s="373">
        <v>1</v>
      </c>
      <c r="D61" s="373">
        <f aca="true" t="shared" si="11" ref="D61:U61">C61+1</f>
        <v>2</v>
      </c>
      <c r="E61" s="373">
        <f t="shared" si="11"/>
        <v>3</v>
      </c>
      <c r="F61" s="373">
        <f t="shared" si="11"/>
        <v>4</v>
      </c>
      <c r="G61" s="373">
        <f t="shared" si="11"/>
        <v>5</v>
      </c>
      <c r="H61" s="373">
        <f t="shared" si="11"/>
        <v>6</v>
      </c>
      <c r="I61" s="373">
        <f t="shared" si="11"/>
        <v>7</v>
      </c>
      <c r="J61" s="373">
        <f t="shared" si="11"/>
        <v>8</v>
      </c>
      <c r="K61" s="373">
        <f t="shared" si="11"/>
        <v>9</v>
      </c>
      <c r="L61" s="373">
        <f t="shared" si="11"/>
        <v>10</v>
      </c>
      <c r="M61" s="373">
        <f t="shared" si="11"/>
        <v>11</v>
      </c>
      <c r="N61" s="373">
        <f t="shared" si="11"/>
        <v>12</v>
      </c>
      <c r="O61" s="373">
        <f t="shared" si="11"/>
        <v>13</v>
      </c>
      <c r="P61" s="373">
        <f t="shared" si="11"/>
        <v>14</v>
      </c>
      <c r="Q61" s="373">
        <f t="shared" si="11"/>
        <v>15</v>
      </c>
      <c r="R61" s="373">
        <f t="shared" si="11"/>
        <v>16</v>
      </c>
      <c r="S61" s="373">
        <f t="shared" si="11"/>
        <v>17</v>
      </c>
      <c r="T61" s="373">
        <f t="shared" si="11"/>
        <v>18</v>
      </c>
      <c r="U61" s="374">
        <f t="shared" si="11"/>
        <v>19</v>
      </c>
      <c r="V61" s="372" t="s">
        <v>70</v>
      </c>
      <c r="W61" s="363" t="s">
        <v>68</v>
      </c>
    </row>
    <row r="62" spans="1:23" ht="12.75">
      <c r="A62" s="297"/>
      <c r="B62" s="560"/>
      <c r="C62" s="289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1"/>
      <c r="V62" s="289"/>
      <c r="W62" s="291"/>
    </row>
    <row r="63" spans="1:24" s="270" customFormat="1" ht="15">
      <c r="A63" s="295" t="str">
        <f>'O-004 1st sizing'!$C$3</f>
        <v>O-004 1st sizing</v>
      </c>
      <c r="B63" s="370" t="s">
        <v>6</v>
      </c>
      <c r="C63" s="285">
        <f>'O-004 1st sizing'!D103</f>
        <v>299.7205994411989</v>
      </c>
      <c r="D63" s="275">
        <f>'O-004 1st sizing'!E103</f>
        <v>300.2286004572009</v>
      </c>
      <c r="E63" s="275">
        <f>'O-004 1st sizing'!F103</f>
        <v>303.2766065532132</v>
      </c>
      <c r="F63" s="275">
        <f>'O-004 1st sizing'!G103</f>
        <v>302.2606045212091</v>
      </c>
      <c r="G63" s="275">
        <f>'O-004 1st sizing'!H103</f>
        <v>303.78460756921515</v>
      </c>
      <c r="H63" s="275">
        <f>'O-004 1st sizing'!I103</f>
        <v>301.75260350520705</v>
      </c>
      <c r="I63" s="275">
        <f>'O-004 1st sizing'!J103</f>
        <v>291.5925831851664</v>
      </c>
      <c r="J63" s="275">
        <f>'O-004 1st sizing'!K103</f>
        <v>290.57658115316235</v>
      </c>
      <c r="K63" s="275">
        <f>'O-004 1st sizing'!L103</f>
        <v>303.78460756921515</v>
      </c>
      <c r="L63" s="275">
        <f>'O-004 1st sizing'!M103</f>
        <v>298.1965963931928</v>
      </c>
      <c r="M63" s="275">
        <f>'O-004 1st sizing'!N103</f>
        <v>316.992633985268</v>
      </c>
      <c r="N63" s="275">
        <f>'O-004 1st sizing'!O103</f>
        <v>304.2926085852172</v>
      </c>
      <c r="O63" s="275">
        <f>'O-004 1st sizing'!P103</f>
        <v>292.6085852171705</v>
      </c>
      <c r="P63" s="275">
        <f>'O-004 1st sizing'!Q103</f>
        <v>277.36855473710955</v>
      </c>
      <c r="Q63" s="275">
        <f>'O-004 1st sizing'!R103</f>
        <v>271.2725425450851</v>
      </c>
      <c r="R63" s="275">
        <f>'O-004 1st sizing'!S103</f>
        <v>297.6885953771908</v>
      </c>
      <c r="S63" s="275">
        <f>'O-004 1st sizing'!T103</f>
        <v>312.92862585725175</v>
      </c>
      <c r="T63" s="275">
        <f>'O-004 1st sizing'!U103</f>
        <v>314.9606299212599</v>
      </c>
      <c r="U63" s="276">
        <f>'O-004 1st sizing'!V103</f>
        <v>294.6405892811786</v>
      </c>
      <c r="V63" s="285">
        <f>'O-004 1st sizing'!W103</f>
        <v>298.8382818870901</v>
      </c>
      <c r="W63" s="276">
        <f>'O-004 1st sizing'!X103</f>
        <v>11.326185035948564</v>
      </c>
      <c r="X63" s="561" t="str">
        <f>'O-004 1st sizing'!$B$3</f>
        <v>O-004 A 1st</v>
      </c>
    </row>
    <row r="64" spans="1:24" s="270" customFormat="1" ht="15">
      <c r="A64" s="295" t="str">
        <f>'O-004 1st sizing'!$C$3</f>
        <v>O-004 1st sizing</v>
      </c>
      <c r="B64" s="370" t="s">
        <v>8</v>
      </c>
      <c r="C64" s="285">
        <f>'O-004 1st sizing'!D51*25400</f>
        <v>283.972</v>
      </c>
      <c r="D64" s="275">
        <f>'O-004 1st sizing'!E51*25400</f>
        <v>282.956</v>
      </c>
      <c r="E64" s="275">
        <f>'O-004 1st sizing'!F51*25400</f>
        <v>288.544</v>
      </c>
      <c r="F64" s="275">
        <f>'O-004 1st sizing'!G51*25400</f>
        <v>286.00399999999996</v>
      </c>
      <c r="G64" s="275">
        <f>'O-004 1st sizing'!H51*25400</f>
        <v>281.432</v>
      </c>
      <c r="H64" s="275">
        <f>'O-004 1st sizing'!I51*25400</f>
        <v>282.44800000000004</v>
      </c>
      <c r="I64" s="275">
        <f>'O-004 1st sizing'!J51*25400</f>
        <v>275.84400000000005</v>
      </c>
      <c r="J64" s="275">
        <f>'O-004 1st sizing'!K51*25400</f>
        <v>280.92400000000004</v>
      </c>
      <c r="K64" s="275">
        <f>'O-004 1st sizing'!L51*25400</f>
        <v>316.484</v>
      </c>
      <c r="L64" s="275">
        <f>'O-004 1st sizing'!M51*25400</f>
        <v>303.78399999999993</v>
      </c>
      <c r="M64" s="275">
        <f>'O-004 1st sizing'!N51*25400</f>
        <v>315.468</v>
      </c>
      <c r="N64" s="275">
        <f>'O-004 1st sizing'!O51*25400</f>
        <v>326.136</v>
      </c>
      <c r="O64" s="275">
        <f>'O-004 1st sizing'!P51*25400</f>
        <v>332.232</v>
      </c>
      <c r="P64" s="275">
        <f>'O-004 1st sizing'!Q51*25400</f>
        <v>322.072</v>
      </c>
      <c r="Q64" s="275">
        <f>'O-004 1st sizing'!R51*25400</f>
        <v>317.5</v>
      </c>
      <c r="R64" s="275">
        <f>'O-004 1st sizing'!S51*25400</f>
        <v>296.67199999999997</v>
      </c>
      <c r="S64" s="275">
        <f>'O-004 1st sizing'!T51*25400</f>
        <v>306.324</v>
      </c>
      <c r="T64" s="275">
        <f>'O-004 1st sizing'!U51*25400</f>
        <v>324.104</v>
      </c>
      <c r="U64" s="276">
        <f>'O-004 1st sizing'!V51*25400</f>
        <v>330.20000000000005</v>
      </c>
      <c r="V64" s="285">
        <f>'O-004 1st sizing'!W104</f>
        <v>302.79534243279016</v>
      </c>
      <c r="W64" s="276">
        <f>'O-004 1st sizing'!X104</f>
        <v>19.59482081027285</v>
      </c>
      <c r="X64" s="561" t="str">
        <f>'O-004 1st sizing'!$B$4</f>
        <v>O-004 B 1st</v>
      </c>
    </row>
    <row r="65" spans="1:24" s="270" customFormat="1" ht="15">
      <c r="A65" s="295" t="str">
        <f>'O-004 2nd sizing'!$C$3</f>
        <v>O-004 2nd sizing</v>
      </c>
      <c r="B65" s="370" t="s">
        <v>6</v>
      </c>
      <c r="C65" s="285">
        <f>'O-004 2nd sizing'!D103</f>
        <v>302.006604013208</v>
      </c>
      <c r="D65" s="275">
        <f>'O-004 2nd sizing'!E103</f>
        <v>303.0226060452121</v>
      </c>
      <c r="E65" s="275">
        <f>'O-004 2nd sizing'!F103</f>
        <v>308.6106172212344</v>
      </c>
      <c r="F65" s="275">
        <f>'O-004 2nd sizing'!G103</f>
        <v>306.07061214122433</v>
      </c>
      <c r="G65" s="275">
        <f>'O-004 2nd sizing'!H103</f>
        <v>307.0866141732284</v>
      </c>
      <c r="H65" s="275">
        <f>'O-004 2nd sizing'!I103</f>
        <v>303.0226060452121</v>
      </c>
      <c r="I65" s="275">
        <f>'O-004 2nd sizing'!J103</f>
        <v>296.4185928371857</v>
      </c>
      <c r="J65" s="275">
        <f>'O-004 2nd sizing'!K103</f>
        <v>297.4345948691897</v>
      </c>
      <c r="K65" s="275">
        <f>'O-004 2nd sizing'!L103</f>
        <v>305.0546101092202</v>
      </c>
      <c r="L65" s="275">
        <f>'O-004 2nd sizing'!M103</f>
        <v>297.94259588519174</v>
      </c>
      <c r="M65" s="275">
        <f>'O-004 2nd sizing'!N103</f>
        <v>318.77063754127505</v>
      </c>
      <c r="N65" s="275">
        <f>'O-004 2nd sizing'!O103</f>
        <v>303.0226060452121</v>
      </c>
      <c r="O65" s="275">
        <f>'O-004 2nd sizing'!P103</f>
        <v>292.86258572517147</v>
      </c>
      <c r="P65" s="275">
        <f>'O-004 2nd sizing'!Q103</f>
        <v>278.13055626111253</v>
      </c>
      <c r="Q65" s="275">
        <f>'O-004 2nd sizing'!R103</f>
        <v>269.494538989078</v>
      </c>
      <c r="R65" s="275">
        <f>'O-004 2nd sizing'!S103</f>
        <v>294.38658877317755</v>
      </c>
      <c r="S65" s="275">
        <f>'O-004 2nd sizing'!T103</f>
        <v>313.6906273812548</v>
      </c>
      <c r="T65" s="275">
        <f>'O-004 2nd sizing'!U103</f>
        <v>315.2146304292608</v>
      </c>
      <c r="U65" s="276">
        <f>'O-004 2nd sizing'!V103</f>
        <v>292.86258572517147</v>
      </c>
      <c r="V65" s="285">
        <f>'O-004 2nd sizing'!W103</f>
        <v>300.2687058005694</v>
      </c>
      <c r="W65" s="276">
        <f>'O-004 2nd sizing'!X103</f>
        <v>11.911652902555478</v>
      </c>
      <c r="X65" s="561" t="str">
        <f>'O-004 2nd sizing'!$B$3</f>
        <v>O-004 A 2nd</v>
      </c>
    </row>
    <row r="66" spans="1:24" s="270" customFormat="1" ht="15">
      <c r="A66" s="295" t="str">
        <f>'O-004 2nd sizing'!$C$3</f>
        <v>O-004 2nd sizing</v>
      </c>
      <c r="B66" s="370" t="s">
        <v>8</v>
      </c>
      <c r="C66" s="285">
        <f>'O-004 2nd sizing'!D104</f>
        <v>301.244602489205</v>
      </c>
      <c r="D66" s="275">
        <f>'O-004 2nd sizing'!E104</f>
        <v>302.7686055372111</v>
      </c>
      <c r="E66" s="275">
        <f>'O-004 2nd sizing'!F104</f>
        <v>308.8646177292355</v>
      </c>
      <c r="F66" s="275">
        <f>'O-004 2nd sizing'!G104</f>
        <v>304.2926085852171</v>
      </c>
      <c r="G66" s="275">
        <f>'O-004 2nd sizing'!H104</f>
        <v>301.244602489205</v>
      </c>
      <c r="H66" s="275">
        <f>'O-004 2nd sizing'!I104</f>
        <v>302.7686055372111</v>
      </c>
      <c r="I66" s="275">
        <f>'O-004 2nd sizing'!J104</f>
        <v>295.14859029718065</v>
      </c>
      <c r="J66" s="275">
        <f>'O-004 2nd sizing'!K104</f>
        <v>296.6725933451867</v>
      </c>
      <c r="K66" s="275">
        <f>'O-004 2nd sizing'!L104</f>
        <v>318.00863601727207</v>
      </c>
      <c r="L66" s="275">
        <f>'O-004 2nd sizing'!M104</f>
        <v>318.5166370332741</v>
      </c>
      <c r="M66" s="275">
        <f>'O-004 2nd sizing'!N104</f>
        <v>335.7886715773431</v>
      </c>
      <c r="N66" s="275">
        <f>'O-004 2nd sizing'!O104</f>
        <v>342.39268478536957</v>
      </c>
      <c r="O66" s="275">
        <f>'O-004 2nd sizing'!P104</f>
        <v>345.94869189738387</v>
      </c>
      <c r="P66" s="275">
        <f>'O-004 2nd sizing'!Q104</f>
        <v>337.8206756413513</v>
      </c>
      <c r="Q66" s="275">
        <f>'O-004 2nd sizing'!R104</f>
        <v>334.7726695453391</v>
      </c>
      <c r="R66" s="275">
        <f>'O-004 2nd sizing'!S104</f>
        <v>314.4526289052578</v>
      </c>
      <c r="S66" s="275">
        <f>'O-004 2nd sizing'!T104</f>
        <v>323.0886461772924</v>
      </c>
      <c r="T66" s="275">
        <f>'O-004 2nd sizing'!U104</f>
        <v>341.37668275336557</v>
      </c>
      <c r="U66" s="276">
        <f>'O-004 2nd sizing'!V104</f>
        <v>350.52070104140205</v>
      </c>
      <c r="V66" s="285">
        <f>'O-004 2nd sizing'!W104</f>
        <v>319.77327112548966</v>
      </c>
      <c r="W66" s="276">
        <f>'O-004 2nd sizing'!X104</f>
        <v>18.59463254565269</v>
      </c>
      <c r="X66" s="561" t="str">
        <f>'O-004 2nd sizing'!$B$4</f>
        <v>O-004 B 2nd</v>
      </c>
    </row>
    <row r="67" spans="1:24" s="270" customFormat="1" ht="15">
      <c r="A67" s="295" t="str">
        <f>'O-004 3rd sizing'!$C$3</f>
        <v>O-004 3rd sizing</v>
      </c>
      <c r="B67" s="370" t="s">
        <v>6</v>
      </c>
      <c r="C67" s="285">
        <f>'O-004 3rd sizing'!D103</f>
        <v>306.83261366522737</v>
      </c>
      <c r="D67" s="275">
        <f>'O-004 3rd sizing'!E103</f>
        <v>305.8166116332233</v>
      </c>
      <c r="E67" s="275">
        <f>'O-004 3rd sizing'!F103</f>
        <v>310.38862077724156</v>
      </c>
      <c r="F67" s="275">
        <f>'O-004 3rd sizing'!G103</f>
        <v>307.8486156972315</v>
      </c>
      <c r="G67" s="275">
        <f>'O-004 3rd sizing'!H103</f>
        <v>311.40462280924567</v>
      </c>
      <c r="H67" s="275">
        <f>'O-004 3rd sizing'!I103</f>
        <v>308.35661671323345</v>
      </c>
      <c r="I67" s="275">
        <f>'O-004 3rd sizing'!J103</f>
        <v>301.244602489205</v>
      </c>
      <c r="J67" s="275">
        <f>'O-004 3rd sizing'!K103</f>
        <v>295.6565913131826</v>
      </c>
      <c r="K67" s="275">
        <f>'O-004 3rd sizing'!L103</f>
        <v>306.83261366522737</v>
      </c>
      <c r="L67" s="275">
        <f>'O-004 3rd sizing'!M103</f>
        <v>304.8006096012192</v>
      </c>
      <c r="M67" s="275">
        <f>'O-004 3rd sizing'!N103</f>
        <v>321.0566421132842</v>
      </c>
      <c r="N67" s="275">
        <f>'O-004 3rd sizing'!O103</f>
        <v>306.3246126492253</v>
      </c>
      <c r="O67" s="275">
        <f>'O-004 3rd sizing'!P103</f>
        <v>294.13258826517654</v>
      </c>
      <c r="P67" s="275">
        <f>'O-004 3rd sizing'!Q103</f>
        <v>279.9085598171197</v>
      </c>
      <c r="Q67" s="275">
        <f>'O-004 3rd sizing'!R103</f>
        <v>272.7965455930912</v>
      </c>
      <c r="R67" s="275">
        <f>'O-004 3rd sizing'!S103</f>
        <v>296.1645923291847</v>
      </c>
      <c r="S67" s="275">
        <f>'O-004 3rd sizing'!T103</f>
        <v>316.992633985268</v>
      </c>
      <c r="T67" s="275">
        <f>'O-004 3rd sizing'!U103</f>
        <v>315.9766319532639</v>
      </c>
      <c r="U67" s="276">
        <f>'O-004 3rd sizing'!V103</f>
        <v>295.14859029718065</v>
      </c>
      <c r="V67" s="285">
        <f>'O-004 3rd sizing'!W103</f>
        <v>303.0359744930016</v>
      </c>
      <c r="W67" s="276">
        <f>'O-004 3rd sizing'!X103</f>
        <v>12.038621874008507</v>
      </c>
      <c r="X67" s="561" t="str">
        <f>'O-004 3rd sizing'!$B$3</f>
        <v>O-004 A 3rd</v>
      </c>
    </row>
    <row r="68" spans="1:24" s="270" customFormat="1" ht="15">
      <c r="A68" s="295" t="str">
        <f>'O-004 3rd sizing'!$C$3</f>
        <v>O-004 3rd sizing</v>
      </c>
      <c r="B68" s="370" t="s">
        <v>8</v>
      </c>
      <c r="C68" s="285">
        <f>'O-004 3rd sizing'!D104</f>
        <v>306.83261366522737</v>
      </c>
      <c r="D68" s="275">
        <f>'O-004 3rd sizing'!E104</f>
        <v>311.9126238252477</v>
      </c>
      <c r="E68" s="275">
        <f>'O-004 3rd sizing'!F104</f>
        <v>310.3886207772416</v>
      </c>
      <c r="F68" s="275">
        <f>'O-004 3rd sizing'!G104</f>
        <v>310.3886207772416</v>
      </c>
      <c r="G68" s="275">
        <f>'O-004 3rd sizing'!H104</f>
        <v>307.3406146812294</v>
      </c>
      <c r="H68" s="275">
        <f>'O-004 3rd sizing'!I104</f>
        <v>306.83261366522737</v>
      </c>
      <c r="I68" s="275">
        <f>'O-004 3rd sizing'!J104</f>
        <v>300.73660147320294</v>
      </c>
      <c r="J68" s="275">
        <f>'O-004 3rd sizing'!K104</f>
        <v>306.32461264922534</v>
      </c>
      <c r="K68" s="275">
        <f>'O-004 3rd sizing'!L104</f>
        <v>334.77266954533917</v>
      </c>
      <c r="L68" s="275">
        <f>'O-004 3rd sizing'!M104</f>
        <v>323.08864617729233</v>
      </c>
      <c r="M68" s="275">
        <f>'O-004 3rd sizing'!N104</f>
        <v>336.8046736093473</v>
      </c>
      <c r="N68" s="275">
        <f>'O-004 3rd sizing'!O104</f>
        <v>345.44069088138184</v>
      </c>
      <c r="O68" s="275">
        <f>'O-004 3rd sizing'!P104</f>
        <v>335.0266700533401</v>
      </c>
      <c r="P68" s="275">
        <f>'O-004 3rd sizing'!Q104</f>
        <v>339.8526797053594</v>
      </c>
      <c r="Q68" s="275">
        <f>'O-004 3rd sizing'!R104</f>
        <v>339.8526797053594</v>
      </c>
      <c r="R68" s="275">
        <f>'O-004 3rd sizing'!S104</f>
        <v>315.4686309372619</v>
      </c>
      <c r="S68" s="275">
        <f>'O-004 3rd sizing'!T104</f>
        <v>325.12065024130044</v>
      </c>
      <c r="T68" s="275">
        <f>'O-004 3rd sizing'!U104</f>
        <v>342.39268478536957</v>
      </c>
      <c r="U68" s="276">
        <f>'O-004 3rd sizing'!V104</f>
        <v>348.48869697739394</v>
      </c>
      <c r="V68" s="285">
        <f>'O-004 3rd sizing'!W104</f>
        <v>323.52980495434684</v>
      </c>
      <c r="W68" s="276">
        <f>'O-004 3rd sizing'!X104</f>
        <v>16.003116532741164</v>
      </c>
      <c r="X68" s="561" t="str">
        <f>'O-004 3rd sizing'!$B$4</f>
        <v>O-004 B 3rd</v>
      </c>
    </row>
    <row r="69" spans="1:24" s="270" customFormat="1" ht="15">
      <c r="A69" s="295" t="str">
        <f>'O-004 4th sizing'!$C$3</f>
        <v>O-004 4th sizing</v>
      </c>
      <c r="B69" s="370" t="s">
        <v>6</v>
      </c>
      <c r="C69" s="409">
        <f>'O-004 4th sizing'!D103</f>
        <v>296.1645923291847</v>
      </c>
      <c r="D69" s="410">
        <f>'O-004 4th sizing'!E103</f>
        <v>296.1645923291847</v>
      </c>
      <c r="E69" s="410">
        <f>'O-004 4th sizing'!F103</f>
        <v>307.3406146812294</v>
      </c>
      <c r="F69" s="410">
        <f>'O-004 4th sizing'!G103</f>
        <v>299.21259842519686</v>
      </c>
      <c r="G69" s="410">
        <f>'O-004 4th sizing'!H103</f>
        <v>0</v>
      </c>
      <c r="H69" s="410">
        <f>'O-004 4th sizing'!I103</f>
        <v>302.2606045212091</v>
      </c>
      <c r="I69" s="410">
        <f>'O-004 4th sizing'!J103</f>
        <v>289.0525781051562</v>
      </c>
      <c r="J69" s="410">
        <f>'O-004 4th sizing'!K103</f>
        <v>284.98856997713995</v>
      </c>
      <c r="K69" s="410">
        <f>'O-004 4th sizing'!L103</f>
        <v>295.1485902971806</v>
      </c>
      <c r="L69" s="410">
        <f>'O-004 4th sizing'!M103</f>
        <v>0</v>
      </c>
      <c r="M69" s="410">
        <f>'O-004 4th sizing'!N103</f>
        <v>311.40462280924567</v>
      </c>
      <c r="N69" s="410">
        <f>'O-004 4th sizing'!O103</f>
        <v>301.75260350520705</v>
      </c>
      <c r="O69" s="410">
        <f>'O-004 4th sizing'!P103</f>
        <v>282.95656591313184</v>
      </c>
      <c r="P69" s="410">
        <f>'O-004 4th sizing'!Q103</f>
        <v>272.7965455930912</v>
      </c>
      <c r="Q69" s="410">
        <f>'O-004 4th sizing'!R103</f>
        <v>0</v>
      </c>
      <c r="R69" s="410">
        <f>'O-004 4th sizing'!S103</f>
        <v>286.00457200914406</v>
      </c>
      <c r="S69" s="410">
        <f>'O-004 4th sizing'!T103</f>
        <v>299.7205994411989</v>
      </c>
      <c r="T69" s="410">
        <f>'O-004 4th sizing'!U103</f>
        <v>295.1485902971806</v>
      </c>
      <c r="U69" s="411">
        <f>'O-004 4th sizing'!V103</f>
        <v>281.94056388112773</v>
      </c>
      <c r="V69" s="409">
        <f>'O-004 4th sizing'!W103</f>
        <v>293.87858775717547</v>
      </c>
      <c r="W69" s="411">
        <f>'O-004 4th sizing'!X103</f>
        <v>10.222481779366326</v>
      </c>
      <c r="X69" s="561" t="str">
        <f>'O-004 4th sizing'!$B$3</f>
        <v>O-004 A 4th</v>
      </c>
    </row>
    <row r="70" spans="1:24" s="270" customFormat="1" ht="15">
      <c r="A70" s="295" t="str">
        <f>'O-004 4th sizing'!$C$3</f>
        <v>O-004 4th sizing</v>
      </c>
      <c r="B70" s="370" t="s">
        <v>8</v>
      </c>
      <c r="C70" s="409">
        <f>'O-004 4th sizing'!D104</f>
        <v>324.86664973329954</v>
      </c>
      <c r="D70" s="410">
        <f>'O-004 4th sizing'!E104</f>
        <v>322.8346456692914</v>
      </c>
      <c r="E70" s="410">
        <f>'O-004 4th sizing'!F104</f>
        <v>321.31064262128524</v>
      </c>
      <c r="F70" s="410">
        <f>'O-004 4th sizing'!G104</f>
        <v>319.2786385572772</v>
      </c>
      <c r="G70" s="410">
        <f>'O-004 4th sizing'!H104</f>
        <v>0</v>
      </c>
      <c r="H70" s="410">
        <f>'O-004 4th sizing'!I104</f>
        <v>324.35864871729746</v>
      </c>
      <c r="I70" s="410">
        <f>'O-004 4th sizing'!J104</f>
        <v>319.78663957327916</v>
      </c>
      <c r="J70" s="410">
        <f>'O-004 4th sizing'!K104</f>
        <v>316.738633477267</v>
      </c>
      <c r="K70" s="410">
        <f>'O-004 4th sizing'!L104</f>
        <v>327.4066548133097</v>
      </c>
      <c r="L70" s="410">
        <f>'O-004 4th sizing'!M104</f>
        <v>0</v>
      </c>
      <c r="M70" s="410">
        <f>'O-004 4th sizing'!N104</f>
        <v>330.96266192532386</v>
      </c>
      <c r="N70" s="410">
        <f>'O-004 4th sizing'!O104</f>
        <v>333.50266700533405</v>
      </c>
      <c r="O70" s="410">
        <f>'O-004 4th sizing'!P104</f>
        <v>328.93065786131575</v>
      </c>
      <c r="P70" s="410">
        <f>'O-004 4th sizing'!Q104</f>
        <v>327.4066548133097</v>
      </c>
      <c r="Q70" s="410">
        <f>'O-004 4th sizing'!R104</f>
        <v>0</v>
      </c>
      <c r="R70" s="410">
        <f>'O-004 4th sizing'!S104</f>
        <v>315.21463042926086</v>
      </c>
      <c r="S70" s="410">
        <f>'O-004 4th sizing'!T104</f>
        <v>317.246634493269</v>
      </c>
      <c r="T70" s="410">
        <f>'O-004 4th sizing'!U104</f>
        <v>341.12268224536456</v>
      </c>
      <c r="U70" s="411">
        <f>'O-004 4th sizing'!V104</f>
        <v>332.994665989332</v>
      </c>
      <c r="V70" s="409">
        <f>'O-004 4th sizing'!W104</f>
        <v>325.247650495301</v>
      </c>
      <c r="W70" s="411">
        <f>'O-004 4th sizing'!X104</f>
        <v>7.12047587392645</v>
      </c>
      <c r="X70" s="561" t="str">
        <f>'O-004 4th sizing'!$B$4</f>
        <v>O-004 B 4th</v>
      </c>
    </row>
    <row r="71" spans="1:23" ht="12.75">
      <c r="A71" s="287"/>
      <c r="B71" s="292"/>
      <c r="C71" s="287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88"/>
      <c r="V71" s="287"/>
      <c r="W71" s="288"/>
    </row>
  </sheetData>
  <mergeCells count="5">
    <mergeCell ref="C2:U2"/>
    <mergeCell ref="C27:U27"/>
    <mergeCell ref="C45:U45"/>
    <mergeCell ref="C60:U60"/>
    <mergeCell ref="A42:W42"/>
  </mergeCells>
  <printOptions horizontalCentered="1" verticalCentered="1"/>
  <pageMargins left="0.25" right="0.25" top="0.75" bottom="0.75" header="0.5" footer="0.5"/>
  <pageSetup fitToHeight="2" horizontalDpi="300" verticalDpi="300" orientation="landscape" scale="90" r:id="rId1"/>
  <headerFooter alignWithMargins="0">
    <oddFooter>&amp;C&amp;F</oddFooter>
  </headerFooter>
  <rowBreaks count="2" manualBreakCount="2">
    <brk id="25" max="22" man="1"/>
    <brk id="41" max="2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view="pageBreakPreview" zoomScale="60" workbookViewId="0" topLeftCell="A1">
      <selection activeCell="O14" sqref="O14"/>
    </sheetView>
  </sheetViews>
  <sheetFormatPr defaultColWidth="9.00390625" defaultRowHeight="12.75"/>
  <cols>
    <col min="1" max="1" width="11.25390625" style="0" customWidth="1"/>
    <col min="2" max="2" width="18.75390625" style="0" customWidth="1"/>
    <col min="4" max="11" width="9.75390625" style="0" customWidth="1"/>
    <col min="12" max="19" width="10.375" style="0" customWidth="1"/>
    <col min="20" max="16384" width="6.625" style="0" customWidth="1"/>
  </cols>
  <sheetData>
    <row r="1" ht="15.75">
      <c r="A1" s="191" t="s">
        <v>69</v>
      </c>
    </row>
    <row r="2" spans="2:19" ht="12.75">
      <c r="B2" s="186"/>
      <c r="C2" s="186"/>
      <c r="N2" t="s">
        <v>124</v>
      </c>
      <c r="P2" s="186"/>
      <c r="Q2" s="186"/>
      <c r="R2" s="186"/>
      <c r="S2" s="186"/>
    </row>
    <row r="3" spans="1:19" ht="15.75">
      <c r="A3" s="282"/>
      <c r="B3" s="397"/>
      <c r="C3" s="398"/>
      <c r="D3" s="748" t="s">
        <v>153</v>
      </c>
      <c r="E3" s="749"/>
      <c r="F3" s="749"/>
      <c r="G3" s="749"/>
      <c r="H3" s="749"/>
      <c r="I3" s="749"/>
      <c r="J3" s="749"/>
      <c r="K3" s="750"/>
      <c r="L3" s="748" t="s">
        <v>42</v>
      </c>
      <c r="M3" s="749"/>
      <c r="N3" s="749"/>
      <c r="O3" s="749"/>
      <c r="P3" s="749"/>
      <c r="Q3" s="749"/>
      <c r="R3" s="749"/>
      <c r="S3" s="750"/>
    </row>
    <row r="4" spans="1:19" s="375" customFormat="1" ht="15.75">
      <c r="A4" s="399"/>
      <c r="B4" s="394"/>
      <c r="C4" s="400"/>
      <c r="D4" s="401" t="str">
        <f>'I-001 5th sizing'!AD88</f>
        <v>I-001 5th sizing</v>
      </c>
      <c r="E4" s="395"/>
      <c r="F4" s="395" t="str">
        <f>'I-001 2nd sizing'!AD88</f>
        <v>I-001 2nd sizing</v>
      </c>
      <c r="G4" s="395"/>
      <c r="H4" s="395" t="str">
        <f>'I-001 3rd sizing'!AD88</f>
        <v>I-001 3rd sizing</v>
      </c>
      <c r="I4" s="395"/>
      <c r="J4" s="751" t="str">
        <f>'I-001 4th sizing'!AD88</f>
        <v>I-001 4th sizing</v>
      </c>
      <c r="K4" s="752"/>
      <c r="L4" s="405" t="str">
        <f>'O-004 1st sizing'!AD88</f>
        <v>O-004 1st sizing</v>
      </c>
      <c r="M4" s="396"/>
      <c r="N4" s="396" t="str">
        <f>'O-004 2nd sizing'!AD88</f>
        <v>O-004 2nd sizing</v>
      </c>
      <c r="O4" s="396"/>
      <c r="P4" s="751" t="str">
        <f>'O-004 3rd sizing'!AD88</f>
        <v>O-004 3rd sizing</v>
      </c>
      <c r="Q4" s="751"/>
      <c r="R4" s="751" t="str">
        <f>'O-004 4th sizing'!AD88</f>
        <v>O-004 4th sizing</v>
      </c>
      <c r="S4" s="752"/>
    </row>
    <row r="5" spans="1:19" s="375" customFormat="1" ht="15">
      <c r="A5" s="384"/>
      <c r="B5" s="385"/>
      <c r="C5" s="386"/>
      <c r="D5" s="402" t="s">
        <v>70</v>
      </c>
      <c r="E5" s="403" t="s">
        <v>71</v>
      </c>
      <c r="F5" s="385" t="s">
        <v>70</v>
      </c>
      <c r="G5" s="403" t="s">
        <v>71</v>
      </c>
      <c r="H5" s="385" t="s">
        <v>70</v>
      </c>
      <c r="I5" s="403" t="s">
        <v>71</v>
      </c>
      <c r="J5" s="385" t="s">
        <v>70</v>
      </c>
      <c r="K5" s="404" t="s">
        <v>71</v>
      </c>
      <c r="L5" s="402" t="s">
        <v>70</v>
      </c>
      <c r="M5" s="403" t="s">
        <v>71</v>
      </c>
      <c r="N5" s="385" t="s">
        <v>70</v>
      </c>
      <c r="O5" s="403" t="s">
        <v>71</v>
      </c>
      <c r="P5" s="406" t="s">
        <v>70</v>
      </c>
      <c r="Q5" s="407" t="s">
        <v>71</v>
      </c>
      <c r="R5" s="406" t="s">
        <v>70</v>
      </c>
      <c r="S5" s="549" t="s">
        <v>71</v>
      </c>
    </row>
    <row r="6" spans="1:19" s="192" customFormat="1" ht="15.75">
      <c r="A6" s="742" t="str">
        <f>'I-001 5th sizing'!AA90</f>
        <v>Coil modulus [GPa]</v>
      </c>
      <c r="B6" s="743"/>
      <c r="C6" s="744"/>
      <c r="D6" s="193"/>
      <c r="E6" s="193"/>
      <c r="F6" s="193"/>
      <c r="G6" s="193"/>
      <c r="H6" s="193"/>
      <c r="I6" s="193"/>
      <c r="J6" s="224"/>
      <c r="K6" s="274"/>
      <c r="L6" s="205"/>
      <c r="M6" s="205"/>
      <c r="N6" s="205"/>
      <c r="O6" s="205"/>
      <c r="P6" s="57"/>
      <c r="Q6" s="57"/>
      <c r="R6" s="224"/>
      <c r="S6" s="274"/>
    </row>
    <row r="7" spans="1:19" s="192" customFormat="1" ht="15.75">
      <c r="A7" s="376" t="str">
        <f>'I-001 5th sizing'!AA91</f>
        <v>Pressure range [MPa]</v>
      </c>
      <c r="B7" s="377"/>
      <c r="C7" s="489" t="s">
        <v>35</v>
      </c>
      <c r="D7" s="193"/>
      <c r="E7" s="193"/>
      <c r="F7" s="193"/>
      <c r="G7" s="193"/>
      <c r="H7" s="193"/>
      <c r="I7" s="193"/>
      <c r="J7" s="224"/>
      <c r="K7" s="274"/>
      <c r="L7" s="205"/>
      <c r="M7" s="205"/>
      <c r="N7" s="205"/>
      <c r="O7" s="205"/>
      <c r="P7" s="57"/>
      <c r="Q7" s="57"/>
      <c r="R7" s="224"/>
      <c r="S7" s="274"/>
    </row>
    <row r="8" spans="1:19" s="195" customFormat="1" ht="15.75">
      <c r="A8" s="206">
        <f>'I-001 5th sizing'!AA92</f>
        <v>55.16</v>
      </c>
      <c r="B8" s="193">
        <f>'I-001 5th sizing'!AB92</f>
        <v>68.94999999999999</v>
      </c>
      <c r="C8" s="490" t="s">
        <v>6</v>
      </c>
      <c r="D8" s="194">
        <f>'I-001 5th sizing'!AD92</f>
        <v>7.932663169831552</v>
      </c>
      <c r="E8" s="197">
        <f>'I-001 5th sizing'!AE92</f>
        <v>0.3904822985378627</v>
      </c>
      <c r="F8" s="194">
        <f>'I-001 2nd sizing'!AD92</f>
        <v>6.0770380037755825</v>
      </c>
      <c r="G8" s="197">
        <f>'I-001 2nd sizing'!AE92</f>
        <v>0.2991195651547072</v>
      </c>
      <c r="H8" s="194">
        <f>'I-001 3rd sizing'!AD92</f>
        <v>6.270404390374388</v>
      </c>
      <c r="I8" s="197">
        <f>'I-001 3rd sizing'!AE92</f>
        <v>0.27524622192373305</v>
      </c>
      <c r="J8" s="350">
        <f>'I-001 3rd sizing'!AD92</f>
        <v>6.270404390374388</v>
      </c>
      <c r="K8" s="379">
        <f>'I-001 3rd sizing'!AE92</f>
        <v>0.27524622192373305</v>
      </c>
      <c r="L8" s="202">
        <f>'O-004 1st sizing'!AD92</f>
        <v>9.740218282065783</v>
      </c>
      <c r="M8" s="201">
        <f>'O-004 1st sizing'!AE92</f>
        <v>0.39608757275759265</v>
      </c>
      <c r="N8" s="202">
        <f>'O-004 2nd sizing'!AD92</f>
        <v>8.99093693503755</v>
      </c>
      <c r="O8" s="201">
        <f>'O-004 2nd sizing'!AE92</f>
        <v>0.30550074389109955</v>
      </c>
      <c r="P8" s="350">
        <f>'O-004 3rd sizing'!AD92</f>
        <v>8.945563997961758</v>
      </c>
      <c r="Q8" s="355">
        <f>'O-004 3rd sizing'!AE92</f>
        <v>0.3596013430783127</v>
      </c>
      <c r="R8" s="350">
        <f>'O-004 4th sizing'!AD92</f>
        <v>8.957611502444042</v>
      </c>
      <c r="S8" s="379">
        <f>'O-004 4th sizing'!AE92</f>
        <v>0.3743989294008638</v>
      </c>
    </row>
    <row r="9" spans="1:19" s="195" customFormat="1" ht="15.75">
      <c r="A9" s="206">
        <f>'I-001 5th sizing'!AA93</f>
        <v>55.16</v>
      </c>
      <c r="B9" s="193">
        <f>'I-001 5th sizing'!AB93</f>
        <v>68.94999999999999</v>
      </c>
      <c r="C9" s="490" t="s">
        <v>8</v>
      </c>
      <c r="D9" s="194">
        <f>'I-001 5th sizing'!AD93</f>
        <v>7.921636743825284</v>
      </c>
      <c r="E9" s="197">
        <f>'I-001 5th sizing'!AE93</f>
        <v>0.1853209183010251</v>
      </c>
      <c r="F9" s="194">
        <f>'I-001 2nd sizing'!AD93</f>
        <v>6.339176462124193</v>
      </c>
      <c r="G9" s="197">
        <f>'I-001 2nd sizing'!AE93</f>
        <v>0.5729183825118694</v>
      </c>
      <c r="H9" s="194">
        <f>'I-001 3rd sizing'!AD93</f>
        <v>6.128799161057132</v>
      </c>
      <c r="I9" s="197">
        <f>'I-001 3rd sizing'!AE93</f>
        <v>0.14355354542891616</v>
      </c>
      <c r="J9" s="350">
        <f>'I-001 3rd sizing'!AD93</f>
        <v>6.128799161057132</v>
      </c>
      <c r="K9" s="379">
        <f>'I-001 3rd sizing'!AE93</f>
        <v>0.14355354542891616</v>
      </c>
      <c r="L9" s="202">
        <f>'O-004 1st sizing'!AD93</f>
        <v>10.347721441742873</v>
      </c>
      <c r="M9" s="203">
        <f>'O-004 1st sizing'!AE93</f>
        <v>0.6549662020912369</v>
      </c>
      <c r="N9" s="202">
        <f>'O-004 2nd sizing'!AD93</f>
        <v>8.91716007222237</v>
      </c>
      <c r="O9" s="201">
        <f>'O-004 2nd sizing'!AE93</f>
        <v>0.5332053189274945</v>
      </c>
      <c r="P9" s="350">
        <f>'O-004 3rd sizing'!AD93</f>
        <v>9.957253318200541</v>
      </c>
      <c r="Q9" s="355">
        <f>'O-004 3rd sizing'!AE93</f>
        <v>0.678820856753829</v>
      </c>
      <c r="R9" s="350">
        <f>'O-004 4th sizing'!AD93</f>
        <v>9.222861417499304</v>
      </c>
      <c r="S9" s="379">
        <f>'O-004 4th sizing'!AE93</f>
        <v>0.15405750694144787</v>
      </c>
    </row>
    <row r="10" spans="1:19" s="195" customFormat="1" ht="15.75">
      <c r="A10" s="206">
        <f>'I-001 5th sizing'!AA94</f>
        <v>68.94999999999999</v>
      </c>
      <c r="B10" s="193">
        <f>'I-001 5th sizing'!AB94</f>
        <v>82.74</v>
      </c>
      <c r="C10" s="490" t="s">
        <v>6</v>
      </c>
      <c r="D10" s="194">
        <f>'I-001 5th sizing'!AD94</f>
        <v>6.336763088511693</v>
      </c>
      <c r="E10" s="197">
        <f>'I-001 5th sizing'!AE94</f>
        <v>0.29785550448013615</v>
      </c>
      <c r="F10" s="194">
        <f>'I-001 2nd sizing'!AD94</f>
        <v>5.730860146536685</v>
      </c>
      <c r="G10" s="197">
        <f>'I-001 2nd sizing'!AE94</f>
        <v>0.27377298620068957</v>
      </c>
      <c r="H10" s="194">
        <f>'I-001 3rd sizing'!AD94</f>
        <v>6.14391280281819</v>
      </c>
      <c r="I10" s="197">
        <f>'I-001 3rd sizing'!AE94</f>
        <v>0.238030742597953</v>
      </c>
      <c r="J10" s="350">
        <f>'I-001 3rd sizing'!AD94</f>
        <v>6.14391280281819</v>
      </c>
      <c r="K10" s="379">
        <f>'I-001 3rd sizing'!AE94</f>
        <v>0.238030742597953</v>
      </c>
      <c r="L10" s="202">
        <f>'O-004 1st sizing'!AD94</f>
        <v>11.315065435684444</v>
      </c>
      <c r="M10" s="201">
        <f>'O-004 1st sizing'!AE94</f>
        <v>0.5501330494868976</v>
      </c>
      <c r="N10" s="202">
        <f>'O-004 2nd sizing'!AD94</f>
        <v>11.340606286618437</v>
      </c>
      <c r="O10" s="201">
        <f>'O-004 2nd sizing'!AE94</f>
        <v>0.743361211125118</v>
      </c>
      <c r="P10" s="350">
        <f>'O-004 3rd sizing'!AD94</f>
        <v>11.247371677561967</v>
      </c>
      <c r="Q10" s="355">
        <f>'O-004 3rd sizing'!AE94</f>
        <v>0.9053286116641969</v>
      </c>
      <c r="R10" s="350">
        <f>'O-004 4th sizing'!AD94</f>
        <v>11.732826145019818</v>
      </c>
      <c r="S10" s="379">
        <f>'O-004 4th sizing'!AE94</f>
        <v>0.5673330753787653</v>
      </c>
    </row>
    <row r="11" spans="1:19" s="195" customFormat="1" ht="15.75">
      <c r="A11" s="206">
        <f>'I-001 5th sizing'!AA95</f>
        <v>68.94999999999999</v>
      </c>
      <c r="B11" s="193">
        <f>'I-001 5th sizing'!AB95</f>
        <v>82.74</v>
      </c>
      <c r="C11" s="490" t="s">
        <v>8</v>
      </c>
      <c r="D11" s="194">
        <f>'I-001 5th sizing'!AD95</f>
        <v>6.279674399981023</v>
      </c>
      <c r="E11" s="197">
        <f>'I-001 5th sizing'!AE95</f>
        <v>0.11833098642375674</v>
      </c>
      <c r="F11" s="194">
        <f>'I-001 2nd sizing'!AD95</f>
        <v>5.684355965910198</v>
      </c>
      <c r="G11" s="197">
        <f>'I-001 2nd sizing'!AE95</f>
        <v>0.15415934223332683</v>
      </c>
      <c r="H11" s="194">
        <f>'I-001 3rd sizing'!AD95</f>
        <v>5.930494272671168</v>
      </c>
      <c r="I11" s="197">
        <f>'I-001 3rd sizing'!AE95</f>
        <v>0.2178888619177224</v>
      </c>
      <c r="J11" s="350">
        <f>'I-001 3rd sizing'!AD95</f>
        <v>5.930494272671168</v>
      </c>
      <c r="K11" s="379">
        <f>'I-001 3rd sizing'!AE95</f>
        <v>0.2178888619177224</v>
      </c>
      <c r="L11" s="202">
        <f>'O-004 1st sizing'!AD95</f>
        <v>12.206246458366767</v>
      </c>
      <c r="M11" s="203">
        <f>'O-004 1st sizing'!AE95</f>
        <v>0.7371042873933334</v>
      </c>
      <c r="N11" s="202">
        <f>'O-004 2nd sizing'!AD95</f>
        <v>11.778462758581236</v>
      </c>
      <c r="O11" s="203">
        <f>'O-004 2nd sizing'!AE95</f>
        <v>1.7901693028696</v>
      </c>
      <c r="P11" s="350">
        <f>'O-004 3rd sizing'!AD95</f>
        <v>11.628774464371189</v>
      </c>
      <c r="Q11" s="355">
        <f>'O-004 3rd sizing'!AE95</f>
        <v>2.107143209919584</v>
      </c>
      <c r="R11" s="350">
        <f>'O-004 4th sizing'!AD95</f>
        <v>10.067575763107138</v>
      </c>
      <c r="S11" s="379">
        <f>'O-004 4th sizing'!AE95</f>
        <v>0.576558608605078</v>
      </c>
    </row>
    <row r="12" spans="1:19" s="195" customFormat="1" ht="15.75">
      <c r="A12" s="206">
        <f>'I-001 5th sizing'!AA96</f>
        <v>82.74</v>
      </c>
      <c r="B12" s="193">
        <f>'I-001 5th sizing'!AB96</f>
        <v>96.53</v>
      </c>
      <c r="C12" s="490" t="s">
        <v>6</v>
      </c>
      <c r="D12" s="194">
        <f>'I-001 5th sizing'!AD96</f>
        <v>7.835537890841258</v>
      </c>
      <c r="E12" s="197">
        <f>'I-001 5th sizing'!AE96</f>
        <v>0.5886232068867385</v>
      </c>
      <c r="F12" s="194">
        <f>'I-001 2nd sizing'!AD96</f>
        <v>5.593648492176221</v>
      </c>
      <c r="G12" s="197">
        <f>'I-001 2nd sizing'!AE96</f>
        <v>0.3530554300429358</v>
      </c>
      <c r="H12" s="194">
        <f>'I-001 3rd sizing'!AD96</f>
        <v>6.377788856984219</v>
      </c>
      <c r="I12" s="197">
        <f>'I-001 3rd sizing'!AE96</f>
        <v>0.3165937534964759</v>
      </c>
      <c r="J12" s="350">
        <f>'I-001 3rd sizing'!AD96</f>
        <v>6.377788856984219</v>
      </c>
      <c r="K12" s="379">
        <f>'I-001 3rd sizing'!AE96</f>
        <v>0.3165937534964759</v>
      </c>
      <c r="L12" s="202">
        <f>'O-004 1st sizing'!AD96</f>
        <v>9.44348998526412</v>
      </c>
      <c r="M12" s="201">
        <f>'O-004 1st sizing'!AE96</f>
        <v>0.27197259270729446</v>
      </c>
      <c r="N12" s="202">
        <f>'O-004 2nd sizing'!AD96</f>
        <v>9.493624640955641</v>
      </c>
      <c r="O12" s="201">
        <f>'O-004 2nd sizing'!AE96</f>
        <v>0.35721942257479977</v>
      </c>
      <c r="P12" s="350">
        <f>'O-004 3rd sizing'!AD96</f>
        <v>8.916615566870083</v>
      </c>
      <c r="Q12" s="355">
        <f>'O-004 3rd sizing'!AE96</f>
        <v>0.3015047986242113</v>
      </c>
      <c r="R12" s="350">
        <f>'O-004 4th sizing'!AD96</f>
        <v>11.056526158063265</v>
      </c>
      <c r="S12" s="379">
        <f>'O-004 4th sizing'!AE96</f>
        <v>0.6267738661272999</v>
      </c>
    </row>
    <row r="13" spans="1:19" s="195" customFormat="1" ht="15.75">
      <c r="A13" s="206">
        <f>'I-001 5th sizing'!AA97</f>
        <v>82.74</v>
      </c>
      <c r="B13" s="193">
        <f>'I-001 5th sizing'!AB97</f>
        <v>96.53</v>
      </c>
      <c r="C13" s="490" t="s">
        <v>8</v>
      </c>
      <c r="D13" s="194">
        <f>'I-001 5th sizing'!AD97</f>
        <v>8.238769366360449</v>
      </c>
      <c r="E13" s="197">
        <f>'I-001 5th sizing'!AE97</f>
        <v>0.3591257602393918</v>
      </c>
      <c r="F13" s="194">
        <f>'I-001 2nd sizing'!AD97</f>
        <v>5.665439391776061</v>
      </c>
      <c r="G13" s="197">
        <f>'I-001 2nd sizing'!AE97</f>
        <v>0.2083282178577829</v>
      </c>
      <c r="H13" s="194">
        <f>'I-001 3rd sizing'!AD97</f>
        <v>6.111325104013858</v>
      </c>
      <c r="I13" s="197">
        <f>'I-001 3rd sizing'!AE97</f>
        <v>0.20560274117206698</v>
      </c>
      <c r="J13" s="350">
        <f>'I-001 3rd sizing'!AD97</f>
        <v>6.111325104013858</v>
      </c>
      <c r="K13" s="379">
        <f>'I-001 3rd sizing'!AE97</f>
        <v>0.20560274117206698</v>
      </c>
      <c r="L13" s="202">
        <f>'O-004 1st sizing'!AD97</f>
        <v>10.113958513607802</v>
      </c>
      <c r="M13" s="201">
        <f>'O-004 1st sizing'!AE97</f>
        <v>0.4821742343344634</v>
      </c>
      <c r="N13" s="202">
        <f>'O-004 2nd sizing'!AD97</f>
        <v>10.013679954532556</v>
      </c>
      <c r="O13" s="201">
        <f>'O-004 2nd sizing'!AE97</f>
        <v>0.42745237024352734</v>
      </c>
      <c r="P13" s="350">
        <f>'O-004 3rd sizing'!AD97</f>
        <v>9.273768651163255</v>
      </c>
      <c r="Q13" s="355">
        <f>'O-004 3rd sizing'!AE97</f>
        <v>0.22527089299641198</v>
      </c>
      <c r="R13" s="350">
        <f>'O-004 4th sizing'!AD97</f>
        <v>10.671993693380722</v>
      </c>
      <c r="S13" s="379">
        <f>'O-004 4th sizing'!AE97</f>
        <v>0.3424377749867063</v>
      </c>
    </row>
    <row r="14" spans="1:19" s="195" customFormat="1" ht="15.75">
      <c r="A14" s="206"/>
      <c r="B14" s="193"/>
      <c r="C14" s="490"/>
      <c r="D14" s="194"/>
      <c r="E14" s="197"/>
      <c r="F14" s="197"/>
      <c r="G14" s="197"/>
      <c r="H14" s="197"/>
      <c r="I14" s="197"/>
      <c r="J14" s="350"/>
      <c r="K14" s="380"/>
      <c r="L14" s="197"/>
      <c r="M14" s="197"/>
      <c r="N14" s="197"/>
      <c r="O14" s="197"/>
      <c r="P14" s="351"/>
      <c r="Q14" s="352"/>
      <c r="R14" s="224"/>
      <c r="S14" s="274"/>
    </row>
    <row r="15" spans="1:19" s="195" customFormat="1" ht="15.75">
      <c r="A15" s="208"/>
      <c r="B15" s="194"/>
      <c r="C15" s="479" t="s">
        <v>147</v>
      </c>
      <c r="D15" s="194">
        <f aca="true" t="shared" si="0" ref="D15:S15">AVERAGE(D8:D13)</f>
        <v>7.424174109891877</v>
      </c>
      <c r="E15" s="197">
        <f t="shared" si="0"/>
        <v>0.3232897791448185</v>
      </c>
      <c r="F15" s="194">
        <f t="shared" si="0"/>
        <v>5.848419743716491</v>
      </c>
      <c r="G15" s="197">
        <f t="shared" si="0"/>
        <v>0.3102256540002187</v>
      </c>
      <c r="H15" s="194">
        <f t="shared" si="0"/>
        <v>6.160454097986492</v>
      </c>
      <c r="I15" s="197">
        <f t="shared" si="0"/>
        <v>0.23281931108947787</v>
      </c>
      <c r="J15" s="353">
        <f t="shared" si="0"/>
        <v>6.160454097986492</v>
      </c>
      <c r="K15" s="381">
        <f t="shared" si="0"/>
        <v>0.23281931108947787</v>
      </c>
      <c r="L15" s="194">
        <f t="shared" si="0"/>
        <v>10.527783352788632</v>
      </c>
      <c r="M15" s="197">
        <f t="shared" si="0"/>
        <v>0.5154063231284698</v>
      </c>
      <c r="N15" s="194">
        <f t="shared" si="0"/>
        <v>10.089078441324633</v>
      </c>
      <c r="O15" s="197">
        <f t="shared" si="0"/>
        <v>0.6928180616052731</v>
      </c>
      <c r="P15" s="353">
        <f t="shared" si="0"/>
        <v>9.994891279354798</v>
      </c>
      <c r="Q15" s="354">
        <f t="shared" si="0"/>
        <v>0.7629449521727577</v>
      </c>
      <c r="R15" s="353">
        <f t="shared" si="0"/>
        <v>10.284899113252381</v>
      </c>
      <c r="S15" s="381">
        <f t="shared" si="0"/>
        <v>0.44025996024002684</v>
      </c>
    </row>
    <row r="16" spans="1:19" s="195" customFormat="1" ht="15.75">
      <c r="A16" s="206"/>
      <c r="B16" s="193"/>
      <c r="C16" s="490"/>
      <c r="D16" s="194"/>
      <c r="E16" s="197"/>
      <c r="F16" s="194"/>
      <c r="G16" s="197"/>
      <c r="H16" s="194"/>
      <c r="I16" s="197"/>
      <c r="J16" s="350"/>
      <c r="K16" s="380"/>
      <c r="L16" s="207"/>
      <c r="M16" s="203"/>
      <c r="N16" s="202"/>
      <c r="O16" s="201"/>
      <c r="P16" s="351"/>
      <c r="Q16" s="352"/>
      <c r="R16" s="224"/>
      <c r="S16" s="274"/>
    </row>
    <row r="17" spans="1:19" s="195" customFormat="1" ht="15.75">
      <c r="A17" s="206"/>
      <c r="B17" s="193"/>
      <c r="C17" s="479" t="s">
        <v>148</v>
      </c>
      <c r="D17" s="194">
        <f>'Table along length'!V30</f>
        <v>7.061960790788252</v>
      </c>
      <c r="E17" s="197">
        <f>'Table along length'!W30</f>
        <v>0.23799982949620688</v>
      </c>
      <c r="F17" s="194">
        <f>'Table along length'!V31</f>
        <v>5.66585020254276</v>
      </c>
      <c r="G17" s="197">
        <f>'Table along length'!W31</f>
        <v>0.21056389896444108</v>
      </c>
      <c r="H17" s="194">
        <f>'Table along length'!V32</f>
        <v>6.136805358016819</v>
      </c>
      <c r="I17" s="197">
        <f>'Table along length'!W32</f>
        <v>0.2119406991756912</v>
      </c>
      <c r="J17" s="350">
        <f>'Table along length'!V33</f>
        <v>6.160816825261893</v>
      </c>
      <c r="K17" s="379">
        <f>'Table along length'!W33</f>
        <v>0.1220423955060716</v>
      </c>
      <c r="L17" s="194">
        <f>'Table along length'!V36</f>
        <v>10.6639736874552</v>
      </c>
      <c r="M17" s="197">
        <f>'Table along length'!W36</f>
        <v>0.29113655479977896</v>
      </c>
      <c r="N17" s="194">
        <f>'Table along length'!V37</f>
        <v>10.550902135500712</v>
      </c>
      <c r="O17" s="197">
        <f>'Table along length'!W37</f>
        <v>0.5307720613306008</v>
      </c>
      <c r="P17" s="350">
        <f>'Table along length'!V38</f>
        <v>10.102693800991673</v>
      </c>
      <c r="Q17" s="355">
        <f>'Table along length'!W38</f>
        <v>0.5627595766650546</v>
      </c>
      <c r="R17" s="350">
        <f>'Table along length'!V39</f>
        <v>10.8591744655423</v>
      </c>
      <c r="S17" s="379">
        <f>'Table along length'!W39</f>
        <v>0.35126210516107365</v>
      </c>
    </row>
    <row r="18" spans="1:19" s="195" customFormat="1" ht="15.75">
      <c r="A18" s="211"/>
      <c r="B18" s="212"/>
      <c r="C18" s="480"/>
      <c r="D18" s="387"/>
      <c r="E18" s="388"/>
      <c r="F18" s="387"/>
      <c r="G18" s="388"/>
      <c r="H18" s="387"/>
      <c r="I18" s="388"/>
      <c r="J18" s="378"/>
      <c r="K18" s="389"/>
      <c r="L18" s="390"/>
      <c r="M18" s="391"/>
      <c r="N18" s="390"/>
      <c r="O18" s="391"/>
      <c r="P18" s="392"/>
      <c r="Q18" s="393"/>
      <c r="R18" s="292"/>
      <c r="S18" s="288"/>
    </row>
    <row r="19" spans="1:19" s="192" customFormat="1" ht="15" customHeight="1">
      <c r="A19" s="745" t="s">
        <v>154</v>
      </c>
      <c r="B19" s="746"/>
      <c r="C19" s="747"/>
      <c r="D19" s="484"/>
      <c r="E19" s="485"/>
      <c r="F19" s="486"/>
      <c r="G19" s="485"/>
      <c r="H19" s="486"/>
      <c r="I19" s="485"/>
      <c r="J19" s="487"/>
      <c r="K19" s="488"/>
      <c r="L19" s="550"/>
      <c r="M19" s="551"/>
      <c r="N19" s="552"/>
      <c r="O19" s="551"/>
      <c r="P19" s="553"/>
      <c r="Q19" s="554"/>
      <c r="R19" s="284"/>
      <c r="S19" s="283"/>
    </row>
    <row r="20" spans="1:19" s="192" customFormat="1" ht="15.75">
      <c r="A20" s="376" t="s">
        <v>155</v>
      </c>
      <c r="B20" s="193"/>
      <c r="C20" s="193"/>
      <c r="D20" s="206"/>
      <c r="E20" s="198"/>
      <c r="F20" s="193"/>
      <c r="G20" s="198"/>
      <c r="H20" s="193"/>
      <c r="I20" s="198"/>
      <c r="J20" s="350"/>
      <c r="K20" s="380"/>
      <c r="L20" s="555"/>
      <c r="M20" s="209"/>
      <c r="N20" s="205"/>
      <c r="O20" s="209"/>
      <c r="P20" s="351"/>
      <c r="Q20" s="352"/>
      <c r="R20" s="224"/>
      <c r="S20" s="274"/>
    </row>
    <row r="21" spans="1:19" s="192" customFormat="1" ht="15.75">
      <c r="A21" s="204"/>
      <c r="B21" s="193"/>
      <c r="C21" s="193" t="s">
        <v>6</v>
      </c>
      <c r="D21" s="206">
        <f>'I-001 5th sizing'!AD103</f>
        <v>-103.45636075887536</v>
      </c>
      <c r="E21" s="198">
        <f>'I-001 5th sizing'!AE103</f>
        <v>16.275660925500205</v>
      </c>
      <c r="F21" s="193">
        <f>'I-001 2nd sizing'!AD103</f>
        <v>-61.004945539302874</v>
      </c>
      <c r="G21" s="198">
        <f>'I-001 2nd sizing'!AE103</f>
        <v>13.622881995390088</v>
      </c>
      <c r="H21" s="193">
        <f>'I-001 3rd sizing'!AD103</f>
        <v>-75.96109309865678</v>
      </c>
      <c r="I21" s="198">
        <f>'I-001 3rd sizing'!AE103</f>
        <v>12.61479867420679</v>
      </c>
      <c r="J21" s="356">
        <f>'I-001 4th sizing'!AD103</f>
        <v>-70.92590655769547</v>
      </c>
      <c r="K21" s="382">
        <f>'I-001 4th sizing'!AE103</f>
        <v>12.116226729159152</v>
      </c>
      <c r="L21" s="556">
        <f>'O-004 1st sizing'!AD103</f>
        <v>298.8382818870901</v>
      </c>
      <c r="M21" s="210">
        <f>'O-004 1st sizing'!AE103</f>
        <v>11.326185035948564</v>
      </c>
      <c r="N21" s="200">
        <f>'O-004 2nd sizing'!AD103</f>
        <v>300.2687058005694</v>
      </c>
      <c r="O21" s="210">
        <f>'O-004 2nd sizing'!AE103</f>
        <v>11.911652902555478</v>
      </c>
      <c r="P21" s="356">
        <f>'O-004 3rd sizing'!AD103</f>
        <v>303.0359744930016</v>
      </c>
      <c r="Q21" s="357">
        <f>'O-004 3rd sizing'!AE103</f>
        <v>12.038621874008507</v>
      </c>
      <c r="R21" s="356">
        <f>'O-004 4th sizing'!AD103</f>
        <v>293.87858775717547</v>
      </c>
      <c r="S21" s="557">
        <f>'O-004 4th sizing'!AE103</f>
        <v>10.222481779366326</v>
      </c>
    </row>
    <row r="22" spans="1:19" s="192" customFormat="1" ht="15.75">
      <c r="A22" s="211"/>
      <c r="B22" s="212"/>
      <c r="C22" s="212" t="s">
        <v>8</v>
      </c>
      <c r="D22" s="211">
        <f>'I-001 5th sizing'!AD104</f>
        <v>-98.93319786639574</v>
      </c>
      <c r="E22" s="213">
        <f>'I-001 5th sizing'!AE104</f>
        <v>14.171357772877723</v>
      </c>
      <c r="F22" s="212">
        <f>'I-001 2nd sizing'!AD104</f>
        <v>-60.765886237654826</v>
      </c>
      <c r="G22" s="213">
        <f>'I-001 2nd sizing'!AE104</f>
        <v>15.251014533926073</v>
      </c>
      <c r="H22" s="212">
        <f>'I-001 3rd sizing'!AD104</f>
        <v>-74.1681483362967</v>
      </c>
      <c r="I22" s="213">
        <f>'I-001 3rd sizing'!AE104</f>
        <v>14.123890042629224</v>
      </c>
      <c r="J22" s="358">
        <f>'I-001 4th sizing'!AD104</f>
        <v>-73.89920662194267</v>
      </c>
      <c r="K22" s="383">
        <f>'I-001 4th sizing'!AE104</f>
        <v>13.429780135731177</v>
      </c>
      <c r="L22" s="558">
        <f>'O-004 1st sizing'!AD104</f>
        <v>302.79534243279016</v>
      </c>
      <c r="M22" s="215">
        <f>'O-004 1st sizing'!AE104</f>
        <v>19.59482081027285</v>
      </c>
      <c r="N22" s="214">
        <f>'O-004 2nd sizing'!AD104</f>
        <v>319.77327112548966</v>
      </c>
      <c r="O22" s="215">
        <f>'O-004 2nd sizing'!AE104</f>
        <v>18.59463254565269</v>
      </c>
      <c r="P22" s="358">
        <f>'O-004 3rd sizing'!AD104</f>
        <v>323.52980495434684</v>
      </c>
      <c r="Q22" s="359">
        <f>'O-004 3rd sizing'!AE104</f>
        <v>16.003116532741164</v>
      </c>
      <c r="R22" s="358">
        <f>'O-004 4th sizing'!AD104</f>
        <v>325.247650495301</v>
      </c>
      <c r="S22" s="559">
        <f>'O-004 4th sizing'!AE104</f>
        <v>7.12047587392645</v>
      </c>
    </row>
    <row r="23" spans="1:19" s="192" customFormat="1" ht="15.75">
      <c r="A23" s="193"/>
      <c r="B23" s="193"/>
      <c r="C23" s="193"/>
      <c r="D23" s="193"/>
      <c r="E23" s="198"/>
      <c r="F23" s="193"/>
      <c r="G23" s="198"/>
      <c r="H23" s="193"/>
      <c r="I23" s="198"/>
      <c r="J23" s="193"/>
      <c r="K23" s="198"/>
      <c r="L23" s="196"/>
      <c r="M23" s="199"/>
      <c r="N23" s="200"/>
      <c r="O23" s="199"/>
      <c r="P23" s="194"/>
      <c r="Q23" s="197"/>
      <c r="R23" s="194"/>
      <c r="S23" s="197"/>
    </row>
    <row r="24" spans="2:19" ht="12.75">
      <c r="B24" s="186"/>
      <c r="C24" s="186"/>
      <c r="P24" s="186"/>
      <c r="Q24" s="186"/>
      <c r="R24" s="186"/>
      <c r="S24" s="186"/>
    </row>
  </sheetData>
  <mergeCells count="7">
    <mergeCell ref="A6:C6"/>
    <mergeCell ref="A19:C19"/>
    <mergeCell ref="D3:K3"/>
    <mergeCell ref="L3:S3"/>
    <mergeCell ref="P4:Q4"/>
    <mergeCell ref="J4:K4"/>
    <mergeCell ref="R4:S4"/>
  </mergeCells>
  <printOptions/>
  <pageMargins left="0.75" right="0.75" top="1" bottom="1" header="0.5" footer="0.5"/>
  <pageSetup fitToHeight="1" fitToWidth="1" orientation="landscape" scale="74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5"/>
  <sheetViews>
    <sheetView view="pageBreakPreview" zoomScale="60" workbookViewId="0" topLeftCell="A60">
      <selection activeCell="F83" sqref="F83"/>
    </sheetView>
  </sheetViews>
  <sheetFormatPr defaultColWidth="9.00390625" defaultRowHeight="12.75" customHeight="1"/>
  <cols>
    <col min="1" max="3" width="13.375" style="516" customWidth="1"/>
    <col min="4" max="4" width="9.625" style="516" customWidth="1"/>
    <col min="5" max="24" width="9.625" style="520" customWidth="1"/>
    <col min="25" max="25" width="7.00390625" style="516" customWidth="1"/>
    <col min="26" max="26" width="8.125" style="516" customWidth="1"/>
    <col min="27" max="27" width="12.00390625" style="516" customWidth="1"/>
    <col min="28" max="29" width="7.00390625" style="516" customWidth="1"/>
    <col min="30" max="30" width="11.00390625" style="516" customWidth="1"/>
    <col min="31" max="16384" width="7.00390625" style="516" customWidth="1"/>
  </cols>
  <sheetData>
    <row r="1" spans="1:25" s="481" customFormat="1" ht="12.75" customHeight="1">
      <c r="A1" s="68" t="s">
        <v>72</v>
      </c>
      <c r="B1" s="22"/>
      <c r="C1" s="22"/>
      <c r="D1" s="22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22"/>
    </row>
    <row r="2" spans="1:22" s="481" customFormat="1" ht="12.75" customHeight="1">
      <c r="A2" s="22"/>
      <c r="B2" s="22"/>
      <c r="C2" s="22"/>
      <c r="D2" s="22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s="481" customFormat="1" ht="12.75" customHeight="1">
      <c r="A3" s="23" t="s">
        <v>73</v>
      </c>
      <c r="B3" s="461" t="s">
        <v>198</v>
      </c>
      <c r="C3" s="24" t="s">
        <v>197</v>
      </c>
      <c r="D3" s="25"/>
      <c r="E3" s="100"/>
      <c r="F3" s="101"/>
      <c r="G3" s="102" t="s">
        <v>19</v>
      </c>
      <c r="H3" s="103"/>
      <c r="I3" s="102" t="s">
        <v>20</v>
      </c>
      <c r="J3" s="103"/>
      <c r="M3" s="462"/>
      <c r="N3" s="96"/>
      <c r="O3" s="96"/>
      <c r="P3" s="96"/>
      <c r="Q3" s="96"/>
      <c r="R3" s="96"/>
      <c r="S3" s="96"/>
      <c r="T3" s="96"/>
      <c r="U3" s="96"/>
      <c r="V3" s="96"/>
    </row>
    <row r="4" spans="1:22" s="481" customFormat="1" ht="12.75" customHeight="1">
      <c r="A4" s="23" t="s">
        <v>74</v>
      </c>
      <c r="B4" s="461" t="s">
        <v>199</v>
      </c>
      <c r="C4" s="24" t="s">
        <v>75</v>
      </c>
      <c r="D4" s="25"/>
      <c r="E4" s="104" t="s">
        <v>76</v>
      </c>
      <c r="F4" s="105"/>
      <c r="G4" s="106">
        <v>34</v>
      </c>
      <c r="H4" s="107"/>
      <c r="I4" s="106">
        <v>24.6</v>
      </c>
      <c r="J4" s="107"/>
      <c r="M4" s="462"/>
      <c r="N4" s="96"/>
      <c r="O4" s="96"/>
      <c r="P4" s="96"/>
      <c r="Q4" s="96"/>
      <c r="R4" s="96"/>
      <c r="S4" s="96"/>
      <c r="T4" s="96"/>
      <c r="U4" s="96"/>
      <c r="V4" s="96"/>
    </row>
    <row r="5" spans="1:22" s="481" customFormat="1" ht="12.75" customHeight="1">
      <c r="A5" s="23" t="s">
        <v>77</v>
      </c>
      <c r="B5" s="461"/>
      <c r="C5" s="24" t="s">
        <v>78</v>
      </c>
      <c r="D5" s="25"/>
      <c r="E5" s="108" t="s">
        <v>79</v>
      </c>
      <c r="F5" s="109"/>
      <c r="G5" s="110">
        <v>1.68515</v>
      </c>
      <c r="H5" s="111"/>
      <c r="I5" s="110">
        <v>2.31845</v>
      </c>
      <c r="J5" s="112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63" s="481" customFormat="1" ht="12.75" customHeight="1">
      <c r="A6" s="23" t="s">
        <v>53</v>
      </c>
      <c r="B6" s="461"/>
      <c r="C6" s="24"/>
      <c r="D6" s="25"/>
      <c r="E6" s="113" t="s">
        <v>80</v>
      </c>
      <c r="F6" s="114"/>
      <c r="G6" s="115">
        <f>G5*G4*PI()/180</f>
        <v>0.9999881402594031</v>
      </c>
      <c r="H6" s="116"/>
      <c r="I6" s="115">
        <f>I5*I4*PI()/180</f>
        <v>0.9954288166544184</v>
      </c>
      <c r="J6" s="117"/>
      <c r="K6" s="96"/>
      <c r="L6" s="96"/>
      <c r="M6" s="462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22"/>
      <c r="BI6" s="9"/>
      <c r="BJ6" s="12"/>
      <c r="BK6" s="12"/>
    </row>
    <row r="7" spans="1:63" s="481" customFormat="1" ht="12.75" customHeight="1">
      <c r="A7" s="96" t="s">
        <v>81</v>
      </c>
      <c r="B7" s="96"/>
      <c r="C7" s="455">
        <v>34245</v>
      </c>
      <c r="D7" s="25"/>
      <c r="E7" s="96"/>
      <c r="F7" s="96"/>
      <c r="G7" s="96"/>
      <c r="H7" s="96"/>
      <c r="I7" s="96"/>
      <c r="J7" s="96"/>
      <c r="K7" s="96"/>
      <c r="L7" s="96"/>
      <c r="M7" s="462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22"/>
      <c r="BI7" s="9"/>
      <c r="BJ7" s="12"/>
      <c r="BK7" s="12"/>
    </row>
    <row r="8" spans="1:63" s="481" customFormat="1" ht="12.75" customHeight="1">
      <c r="A8" s="96" t="s">
        <v>82</v>
      </c>
      <c r="B8" s="96"/>
      <c r="C8" s="454" t="s">
        <v>204</v>
      </c>
      <c r="D8" s="25"/>
      <c r="E8" s="96"/>
      <c r="F8" s="96"/>
      <c r="G8" s="96"/>
      <c r="H8" s="96"/>
      <c r="I8" s="96"/>
      <c r="J8" s="96"/>
      <c r="K8" s="96"/>
      <c r="L8" s="96"/>
      <c r="M8" s="462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22"/>
      <c r="BI8" s="9"/>
      <c r="BJ8" s="12"/>
      <c r="BK8" s="12"/>
    </row>
    <row r="9" spans="1:63" s="481" customFormat="1" ht="12.75" customHeight="1">
      <c r="A9" s="23"/>
      <c r="B9" s="461"/>
      <c r="C9" s="47"/>
      <c r="D9" s="47"/>
      <c r="E9" s="96"/>
      <c r="F9" s="96"/>
      <c r="G9" s="96"/>
      <c r="H9" s="96"/>
      <c r="I9" s="96"/>
      <c r="J9" s="96"/>
      <c r="K9" s="96"/>
      <c r="L9" s="96"/>
      <c r="M9" s="462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22"/>
      <c r="BF9" s="9"/>
      <c r="BI9" s="10"/>
      <c r="BJ9" s="12"/>
      <c r="BK9" s="12"/>
    </row>
    <row r="10" spans="1:63" s="481" customFormat="1" ht="12.75" customHeight="1">
      <c r="A10" s="523"/>
      <c r="B10" s="523" t="s">
        <v>84</v>
      </c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4"/>
      <c r="N10" s="525"/>
      <c r="O10" s="525" t="s">
        <v>84</v>
      </c>
      <c r="P10" s="525"/>
      <c r="Q10" s="525"/>
      <c r="R10" s="525"/>
      <c r="S10" s="525"/>
      <c r="T10" s="525"/>
      <c r="U10" s="525"/>
      <c r="V10" s="525"/>
      <c r="W10" s="525"/>
      <c r="X10" s="525"/>
      <c r="Y10" s="525"/>
      <c r="Z10" s="526"/>
      <c r="AA10" s="526"/>
      <c r="AB10" s="526"/>
      <c r="AC10" s="526"/>
      <c r="AD10" s="526"/>
      <c r="AE10" s="526"/>
      <c r="AF10" s="526"/>
      <c r="AG10" s="526"/>
      <c r="AH10" s="526"/>
      <c r="AI10" s="526"/>
      <c r="AJ10" s="526"/>
      <c r="AK10" s="526"/>
      <c r="AL10" s="526"/>
      <c r="AM10" s="526"/>
      <c r="AN10" s="526"/>
      <c r="AO10" s="526"/>
      <c r="AP10" s="526"/>
      <c r="AQ10" s="526"/>
      <c r="AR10" s="526"/>
      <c r="AS10" s="526"/>
      <c r="AT10" s="526"/>
      <c r="AU10" s="526"/>
      <c r="AV10" s="526"/>
      <c r="AW10" s="526"/>
      <c r="AX10" s="526"/>
      <c r="AY10" s="526"/>
      <c r="AZ10" s="526"/>
      <c r="BA10" s="526"/>
      <c r="BB10" s="526"/>
      <c r="BC10" s="526"/>
      <c r="BD10" s="526"/>
      <c r="BE10" s="526"/>
      <c r="BF10" s="9"/>
      <c r="BI10" s="10"/>
      <c r="BJ10" s="12"/>
      <c r="BK10" s="12"/>
    </row>
    <row r="11" spans="1:63" s="481" customFormat="1" ht="12.75" customHeight="1">
      <c r="A11" s="494"/>
      <c r="B11" s="497" t="s">
        <v>85</v>
      </c>
      <c r="C11" s="498"/>
      <c r="D11" s="497" t="s">
        <v>85</v>
      </c>
      <c r="E11" s="498"/>
      <c r="F11" s="497" t="s">
        <v>85</v>
      </c>
      <c r="G11" s="498"/>
      <c r="H11" s="497" t="s">
        <v>85</v>
      </c>
      <c r="I11" s="498"/>
      <c r="J11" s="497" t="s">
        <v>85</v>
      </c>
      <c r="K11" s="498"/>
      <c r="L11" s="494"/>
      <c r="M11" s="462"/>
      <c r="N11" s="494"/>
      <c r="O11" s="497" t="s">
        <v>85</v>
      </c>
      <c r="P11" s="498"/>
      <c r="Q11" s="497" t="s">
        <v>85</v>
      </c>
      <c r="R11" s="498"/>
      <c r="S11" s="497" t="s">
        <v>85</v>
      </c>
      <c r="T11" s="498"/>
      <c r="U11" s="497" t="s">
        <v>85</v>
      </c>
      <c r="V11" s="498"/>
      <c r="W11" s="497" t="s">
        <v>85</v>
      </c>
      <c r="X11" s="498"/>
      <c r="Y11" s="494"/>
      <c r="BF11" s="9"/>
      <c r="BI11" s="10"/>
      <c r="BJ11" s="12"/>
      <c r="BK11" s="12"/>
    </row>
    <row r="12" spans="1:63" s="481" customFormat="1" ht="12.75" customHeight="1">
      <c r="A12" s="494" t="s">
        <v>86</v>
      </c>
      <c r="B12" s="500"/>
      <c r="C12" s="501"/>
      <c r="D12" s="500"/>
      <c r="E12" s="501"/>
      <c r="F12" s="500"/>
      <c r="G12" s="501"/>
      <c r="H12" s="500"/>
      <c r="I12" s="501"/>
      <c r="J12" s="500"/>
      <c r="K12" s="501"/>
      <c r="L12" s="494" t="s">
        <v>86</v>
      </c>
      <c r="M12" s="462"/>
      <c r="N12" s="494" t="s">
        <v>86</v>
      </c>
      <c r="O12" s="500"/>
      <c r="P12" s="501"/>
      <c r="Q12" s="500"/>
      <c r="R12" s="501"/>
      <c r="S12" s="500"/>
      <c r="T12" s="501"/>
      <c r="U12" s="500"/>
      <c r="V12" s="501"/>
      <c r="W12" s="500"/>
      <c r="X12" s="501"/>
      <c r="Y12" s="494" t="s">
        <v>86</v>
      </c>
      <c r="BF12" s="9"/>
      <c r="BI12" s="10"/>
      <c r="BJ12" s="12"/>
      <c r="BK12" s="12"/>
    </row>
    <row r="13" spans="1:63" s="481" customFormat="1" ht="12.75" customHeight="1">
      <c r="A13" s="494" t="s">
        <v>87</v>
      </c>
      <c r="B13" s="503" t="s">
        <v>88</v>
      </c>
      <c r="C13" s="504"/>
      <c r="D13" s="503" t="s">
        <v>89</v>
      </c>
      <c r="E13" s="504"/>
      <c r="F13" s="503" t="s">
        <v>90</v>
      </c>
      <c r="G13" s="504"/>
      <c r="H13" s="503" t="s">
        <v>91</v>
      </c>
      <c r="I13" s="504"/>
      <c r="J13" s="503" t="s">
        <v>92</v>
      </c>
      <c r="K13" s="504"/>
      <c r="L13" s="494" t="s">
        <v>87</v>
      </c>
      <c r="M13" s="462"/>
      <c r="N13" s="494" t="s">
        <v>87</v>
      </c>
      <c r="O13" s="503" t="s">
        <v>88</v>
      </c>
      <c r="P13" s="504"/>
      <c r="Q13" s="503" t="s">
        <v>89</v>
      </c>
      <c r="R13" s="504"/>
      <c r="S13" s="503" t="s">
        <v>90</v>
      </c>
      <c r="T13" s="504"/>
      <c r="U13" s="503" t="s">
        <v>91</v>
      </c>
      <c r="V13" s="504"/>
      <c r="W13" s="503" t="s">
        <v>92</v>
      </c>
      <c r="X13" s="504"/>
      <c r="Y13" s="494" t="s">
        <v>87</v>
      </c>
      <c r="BF13" s="9"/>
      <c r="BI13" s="10"/>
      <c r="BJ13" s="12"/>
      <c r="BK13" s="12"/>
    </row>
    <row r="14" spans="1:63" s="481" customFormat="1" ht="12.75" customHeight="1">
      <c r="A14" s="494" t="s">
        <v>93</v>
      </c>
      <c r="B14" s="494"/>
      <c r="C14" s="494"/>
      <c r="D14" s="494"/>
      <c r="E14" s="494"/>
      <c r="F14" s="494"/>
      <c r="G14" s="494"/>
      <c r="H14" s="494"/>
      <c r="I14" s="494"/>
      <c r="J14" s="494"/>
      <c r="K14" s="494"/>
      <c r="L14" s="494" t="s">
        <v>93</v>
      </c>
      <c r="M14" s="462"/>
      <c r="N14" s="494" t="s">
        <v>93</v>
      </c>
      <c r="O14" s="494"/>
      <c r="P14" s="494"/>
      <c r="Q14" s="494"/>
      <c r="R14" s="494"/>
      <c r="S14" s="494"/>
      <c r="T14" s="494"/>
      <c r="U14" s="494"/>
      <c r="V14" s="494"/>
      <c r="W14" s="494"/>
      <c r="X14" s="494"/>
      <c r="Y14" s="494" t="s">
        <v>93</v>
      </c>
      <c r="BF14" s="9"/>
      <c r="BI14" s="10"/>
      <c r="BJ14" s="12"/>
      <c r="BK14" s="12"/>
    </row>
    <row r="15" spans="1:63" s="481" customFormat="1" ht="12.75" customHeight="1">
      <c r="A15" s="494" t="s">
        <v>6</v>
      </c>
      <c r="B15" s="494" t="s">
        <v>94</v>
      </c>
      <c r="C15" s="494" t="s">
        <v>95</v>
      </c>
      <c r="D15" s="494" t="s">
        <v>94</v>
      </c>
      <c r="E15" s="494" t="s">
        <v>95</v>
      </c>
      <c r="F15" s="494" t="s">
        <v>94</v>
      </c>
      <c r="G15" s="494" t="s">
        <v>95</v>
      </c>
      <c r="H15" s="494" t="s">
        <v>94</v>
      </c>
      <c r="I15" s="494" t="s">
        <v>95</v>
      </c>
      <c r="J15" s="494" t="s">
        <v>94</v>
      </c>
      <c r="K15" s="494" t="s">
        <v>95</v>
      </c>
      <c r="L15" s="494" t="s">
        <v>6</v>
      </c>
      <c r="M15" s="462"/>
      <c r="N15" s="494" t="s">
        <v>8</v>
      </c>
      <c r="O15" s="494" t="s">
        <v>94</v>
      </c>
      <c r="P15" s="494" t="s">
        <v>95</v>
      </c>
      <c r="Q15" s="494" t="s">
        <v>94</v>
      </c>
      <c r="R15" s="494" t="s">
        <v>95</v>
      </c>
      <c r="S15" s="494" t="s">
        <v>94</v>
      </c>
      <c r="T15" s="494" t="s">
        <v>95</v>
      </c>
      <c r="U15" s="494" t="s">
        <v>94</v>
      </c>
      <c r="V15" s="494" t="s">
        <v>95</v>
      </c>
      <c r="W15" s="494" t="s">
        <v>94</v>
      </c>
      <c r="X15" s="494" t="s">
        <v>95</v>
      </c>
      <c r="Y15" s="494" t="s">
        <v>8</v>
      </c>
      <c r="BF15" s="9"/>
      <c r="BI15" s="10"/>
      <c r="BJ15" s="12"/>
      <c r="BK15" s="12"/>
    </row>
    <row r="16" spans="1:63" s="481" customFormat="1" ht="12.75" customHeight="1">
      <c r="A16" s="494" t="s">
        <v>96</v>
      </c>
      <c r="C16" s="507"/>
      <c r="D16" s="481">
        <v>0.00022</v>
      </c>
      <c r="E16" s="481">
        <v>0</v>
      </c>
      <c r="F16" s="481">
        <v>0.00442</v>
      </c>
      <c r="G16" s="481">
        <v>0.00252</v>
      </c>
      <c r="H16" s="481">
        <v>0.00858</v>
      </c>
      <c r="I16" s="481">
        <v>0.00458</v>
      </c>
      <c r="J16" s="481">
        <v>0.01252</v>
      </c>
      <c r="K16" s="481">
        <v>0.00688</v>
      </c>
      <c r="L16" s="494" t="s">
        <v>96</v>
      </c>
      <c r="M16" s="462"/>
      <c r="N16" s="494" t="s">
        <v>96</v>
      </c>
      <c r="O16" s="494"/>
      <c r="P16" s="494"/>
      <c r="Q16" s="481">
        <v>-0.00012</v>
      </c>
      <c r="R16" s="481">
        <v>0</v>
      </c>
      <c r="S16" s="481">
        <v>0.00406</v>
      </c>
      <c r="T16" s="481">
        <v>0.00248</v>
      </c>
      <c r="U16" s="481">
        <v>0.00826</v>
      </c>
      <c r="V16" s="481">
        <v>0.00444</v>
      </c>
      <c r="W16" s="481">
        <v>0.01228</v>
      </c>
      <c r="X16" s="481">
        <v>0.00676</v>
      </c>
      <c r="Y16" s="494" t="s">
        <v>96</v>
      </c>
      <c r="BF16" s="9"/>
      <c r="BI16" s="10"/>
      <c r="BJ16" s="12"/>
      <c r="BK16" s="12"/>
    </row>
    <row r="17" spans="1:63" s="182" customFormat="1" ht="12.75" customHeight="1" hidden="1">
      <c r="A17" s="494" t="s">
        <v>97</v>
      </c>
      <c r="B17" s="507"/>
      <c r="C17" s="507"/>
      <c r="D17" s="481">
        <v>0.00844</v>
      </c>
      <c r="E17" s="481">
        <v>0.00368</v>
      </c>
      <c r="F17" s="481">
        <v>0.0113</v>
      </c>
      <c r="G17" s="481">
        <v>0.00552</v>
      </c>
      <c r="H17" s="481">
        <v>0.01248</v>
      </c>
      <c r="I17" s="481">
        <v>0.00666</v>
      </c>
      <c r="J17" s="481">
        <v>0.01264</v>
      </c>
      <c r="K17" s="481">
        <v>0.00688</v>
      </c>
      <c r="L17" s="494" t="s">
        <v>97</v>
      </c>
      <c r="M17" s="181"/>
      <c r="N17" s="527" t="s">
        <v>97</v>
      </c>
      <c r="O17" s="527"/>
      <c r="P17" s="527"/>
      <c r="Q17" s="223">
        <v>0.00788</v>
      </c>
      <c r="R17" s="223">
        <v>0.00324</v>
      </c>
      <c r="S17" s="223">
        <v>0.01084</v>
      </c>
      <c r="T17" s="223">
        <v>0.00514</v>
      </c>
      <c r="U17" s="223">
        <v>0.0122</v>
      </c>
      <c r="V17" s="223">
        <v>0.00652</v>
      </c>
      <c r="W17" s="223">
        <v>0.01236</v>
      </c>
      <c r="X17" s="223">
        <v>0.00676</v>
      </c>
      <c r="Y17" s="527" t="s">
        <v>97</v>
      </c>
      <c r="BF17" s="68"/>
      <c r="BI17" s="183"/>
      <c r="BJ17" s="184"/>
      <c r="BK17" s="184"/>
    </row>
    <row r="18" spans="1:63" s="481" customFormat="1" ht="12.75" customHeight="1">
      <c r="A18" s="527">
        <v>2</v>
      </c>
      <c r="B18" s="528"/>
      <c r="C18" s="528"/>
      <c r="D18" s="223">
        <v>0.00018</v>
      </c>
      <c r="E18" s="223"/>
      <c r="F18" s="223">
        <v>0.00436</v>
      </c>
      <c r="G18" s="223"/>
      <c r="H18" s="223">
        <v>0.0085</v>
      </c>
      <c r="I18" s="223"/>
      <c r="J18" s="223">
        <v>0.01252</v>
      </c>
      <c r="K18" s="223"/>
      <c r="L18" s="527">
        <v>2</v>
      </c>
      <c r="M18" s="529"/>
      <c r="N18" s="527">
        <v>2</v>
      </c>
      <c r="O18" s="527"/>
      <c r="P18" s="527"/>
      <c r="Q18" s="223">
        <v>-0.0004</v>
      </c>
      <c r="R18" s="223"/>
      <c r="S18" s="223">
        <v>0.00382</v>
      </c>
      <c r="T18" s="223"/>
      <c r="U18" s="223">
        <v>0.00794</v>
      </c>
      <c r="V18" s="223"/>
      <c r="W18" s="223">
        <v>0.01204</v>
      </c>
      <c r="X18" s="223"/>
      <c r="Y18" s="527">
        <v>2</v>
      </c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9"/>
      <c r="BI18" s="10"/>
      <c r="BJ18" s="12"/>
      <c r="BK18" s="12"/>
    </row>
    <row r="19" spans="1:63" s="481" customFormat="1" ht="12.75" customHeight="1">
      <c r="A19" s="494">
        <v>3</v>
      </c>
      <c r="B19" s="507"/>
      <c r="C19" s="507"/>
      <c r="D19" s="481">
        <v>-0.00094</v>
      </c>
      <c r="F19" s="481">
        <v>0.0033</v>
      </c>
      <c r="H19" s="481">
        <v>0.00734</v>
      </c>
      <c r="J19" s="481">
        <v>0.01136</v>
      </c>
      <c r="L19" s="494">
        <v>3</v>
      </c>
      <c r="M19" s="462"/>
      <c r="N19" s="494">
        <v>3</v>
      </c>
      <c r="O19" s="494"/>
      <c r="P19" s="494"/>
      <c r="Q19" s="481">
        <v>0.00072</v>
      </c>
      <c r="S19" s="481">
        <v>0.00492</v>
      </c>
      <c r="U19" s="481">
        <v>0.00908</v>
      </c>
      <c r="W19" s="481">
        <v>0.01306</v>
      </c>
      <c r="Y19" s="494">
        <v>3</v>
      </c>
      <c r="BF19" s="9"/>
      <c r="BI19" s="10"/>
      <c r="BJ19" s="12"/>
      <c r="BK19" s="12"/>
    </row>
    <row r="20" spans="1:63" s="481" customFormat="1" ht="12.75" customHeight="1">
      <c r="A20" s="494" t="s">
        <v>98</v>
      </c>
      <c r="B20" s="507"/>
      <c r="C20" s="507"/>
      <c r="D20" s="481">
        <v>0.00148</v>
      </c>
      <c r="F20" s="481">
        <v>0.00558</v>
      </c>
      <c r="H20" s="481">
        <v>0.00974</v>
      </c>
      <c r="J20" s="481">
        <v>0.01364</v>
      </c>
      <c r="L20" s="494" t="s">
        <v>98</v>
      </c>
      <c r="M20" s="462"/>
      <c r="N20" s="494" t="s">
        <v>98</v>
      </c>
      <c r="O20" s="494"/>
      <c r="P20" s="494"/>
      <c r="Y20" s="494" t="s">
        <v>98</v>
      </c>
      <c r="BF20" s="9"/>
      <c r="BI20" s="10"/>
      <c r="BJ20" s="12"/>
      <c r="BK20" s="12"/>
    </row>
    <row r="21" spans="1:63" s="182" customFormat="1" ht="0.75" customHeight="1">
      <c r="A21" s="494" t="s">
        <v>99</v>
      </c>
      <c r="B21" s="507"/>
      <c r="C21" s="507"/>
      <c r="D21" s="481">
        <v>0.0094</v>
      </c>
      <c r="E21" s="481"/>
      <c r="F21" s="481">
        <v>0.01192</v>
      </c>
      <c r="G21" s="481"/>
      <c r="H21" s="481">
        <v>0.01356</v>
      </c>
      <c r="I21" s="481"/>
      <c r="J21" s="481">
        <v>0.01372</v>
      </c>
      <c r="K21" s="481"/>
      <c r="L21" s="494" t="s">
        <v>99</v>
      </c>
      <c r="M21" s="181"/>
      <c r="N21" s="527" t="s">
        <v>99</v>
      </c>
      <c r="O21" s="527"/>
      <c r="P21" s="527"/>
      <c r="Q21" s="223"/>
      <c r="R21" s="223"/>
      <c r="S21" s="223"/>
      <c r="T21" s="223"/>
      <c r="U21" s="223"/>
      <c r="V21" s="223"/>
      <c r="W21" s="223"/>
      <c r="X21" s="223"/>
      <c r="Y21" s="527" t="s">
        <v>99</v>
      </c>
      <c r="BF21" s="68"/>
      <c r="BI21" s="183"/>
      <c r="BJ21" s="184"/>
      <c r="BK21" s="184"/>
    </row>
    <row r="22" spans="1:63" s="481" customFormat="1" ht="12.75" customHeight="1">
      <c r="A22" s="527">
        <v>5</v>
      </c>
      <c r="B22" s="528"/>
      <c r="C22" s="528"/>
      <c r="D22" s="223"/>
      <c r="E22" s="223"/>
      <c r="F22" s="223"/>
      <c r="G22" s="223"/>
      <c r="H22" s="223"/>
      <c r="I22" s="223"/>
      <c r="J22" s="223"/>
      <c r="K22" s="223"/>
      <c r="L22" s="527">
        <v>5</v>
      </c>
      <c r="M22" s="529"/>
      <c r="N22" s="527">
        <v>5</v>
      </c>
      <c r="O22" s="527"/>
      <c r="P22" s="527"/>
      <c r="Q22" s="223"/>
      <c r="R22" s="223"/>
      <c r="S22" s="223"/>
      <c r="T22" s="223"/>
      <c r="U22" s="223"/>
      <c r="V22" s="223"/>
      <c r="W22" s="223"/>
      <c r="X22" s="223"/>
      <c r="Y22" s="527">
        <v>5</v>
      </c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9"/>
      <c r="BI22" s="10"/>
      <c r="BJ22" s="12"/>
      <c r="BK22" s="12"/>
    </row>
    <row r="23" spans="1:63" s="481" customFormat="1" ht="12.75" customHeight="1">
      <c r="A23" s="494">
        <v>6</v>
      </c>
      <c r="B23" s="507"/>
      <c r="C23" s="507"/>
      <c r="D23" s="481">
        <v>-0.0001</v>
      </c>
      <c r="F23" s="481">
        <v>0.00416</v>
      </c>
      <c r="H23" s="481">
        <v>0.00838</v>
      </c>
      <c r="J23" s="481">
        <v>0.01254</v>
      </c>
      <c r="L23" s="494">
        <v>6</v>
      </c>
      <c r="M23" s="462"/>
      <c r="N23" s="494">
        <v>6</v>
      </c>
      <c r="O23" s="494"/>
      <c r="P23" s="494"/>
      <c r="Q23" s="481">
        <v>-0.00028</v>
      </c>
      <c r="S23" s="481">
        <v>0.0039</v>
      </c>
      <c r="U23" s="481">
        <v>0.00804</v>
      </c>
      <c r="W23" s="481">
        <v>0.01214</v>
      </c>
      <c r="Y23" s="494">
        <v>6</v>
      </c>
      <c r="BF23" s="9"/>
      <c r="BI23" s="10"/>
      <c r="BJ23" s="12"/>
      <c r="BK23" s="12"/>
    </row>
    <row r="24" spans="1:63" s="481" customFormat="1" ht="12.75" customHeight="1">
      <c r="A24" s="494" t="s">
        <v>100</v>
      </c>
      <c r="B24" s="507"/>
      <c r="C24" s="507"/>
      <c r="D24" s="481">
        <v>0.00036</v>
      </c>
      <c r="F24" s="481">
        <v>0.00468</v>
      </c>
      <c r="H24" s="481">
        <v>0.0089</v>
      </c>
      <c r="J24" s="481">
        <v>0.01302</v>
      </c>
      <c r="L24" s="494" t="s">
        <v>100</v>
      </c>
      <c r="M24" s="462"/>
      <c r="N24" s="494" t="s">
        <v>100</v>
      </c>
      <c r="O24" s="494"/>
      <c r="P24" s="494"/>
      <c r="Q24" s="481">
        <v>4E-05</v>
      </c>
      <c r="S24" s="481">
        <v>0.00428</v>
      </c>
      <c r="U24" s="481">
        <v>0.00844</v>
      </c>
      <c r="W24" s="481">
        <v>0.01244</v>
      </c>
      <c r="Y24" s="494" t="s">
        <v>100</v>
      </c>
      <c r="BF24" s="9"/>
      <c r="BI24" s="10"/>
      <c r="BJ24" s="12"/>
      <c r="BK24" s="12"/>
    </row>
    <row r="25" spans="1:63" s="182" customFormat="1" ht="12.75" customHeight="1" hidden="1">
      <c r="A25" s="494" t="s">
        <v>101</v>
      </c>
      <c r="B25" s="507"/>
      <c r="C25" s="507"/>
      <c r="D25" s="481">
        <v>0.00854</v>
      </c>
      <c r="E25" s="481"/>
      <c r="F25" s="481">
        <v>0.01144</v>
      </c>
      <c r="G25" s="481"/>
      <c r="H25" s="481">
        <v>0.01292</v>
      </c>
      <c r="I25" s="481"/>
      <c r="J25" s="481">
        <v>0.01314</v>
      </c>
      <c r="K25" s="481"/>
      <c r="L25" s="494" t="s">
        <v>101</v>
      </c>
      <c r="M25" s="181"/>
      <c r="N25" s="527" t="s">
        <v>101</v>
      </c>
      <c r="O25" s="527"/>
      <c r="P25" s="527"/>
      <c r="Q25" s="223">
        <v>0.00804</v>
      </c>
      <c r="R25" s="223"/>
      <c r="S25" s="223">
        <v>0.01096</v>
      </c>
      <c r="T25" s="223"/>
      <c r="U25" s="223">
        <v>0.01238</v>
      </c>
      <c r="V25" s="223"/>
      <c r="W25" s="223">
        <v>0.01252</v>
      </c>
      <c r="X25" s="223"/>
      <c r="Y25" s="527" t="s">
        <v>101</v>
      </c>
      <c r="BF25" s="68"/>
      <c r="BI25" s="183"/>
      <c r="BJ25" s="184"/>
      <c r="BK25" s="184"/>
    </row>
    <row r="26" spans="1:63" s="481" customFormat="1" ht="12.75" customHeight="1">
      <c r="A26" s="527">
        <v>8</v>
      </c>
      <c r="B26" s="528"/>
      <c r="C26" s="528"/>
      <c r="D26" s="223">
        <v>0.00056</v>
      </c>
      <c r="E26" s="223"/>
      <c r="F26" s="223">
        <v>0.00478</v>
      </c>
      <c r="G26" s="223"/>
      <c r="H26" s="223">
        <v>0.00892</v>
      </c>
      <c r="I26" s="223"/>
      <c r="J26" s="223">
        <v>0.01298</v>
      </c>
      <c r="K26" s="223"/>
      <c r="L26" s="527">
        <v>8</v>
      </c>
      <c r="M26" s="529"/>
      <c r="N26" s="527">
        <v>8</v>
      </c>
      <c r="O26" s="527"/>
      <c r="P26" s="527"/>
      <c r="Q26" s="223">
        <v>8E-05</v>
      </c>
      <c r="R26" s="223"/>
      <c r="S26" s="223">
        <v>0.00428</v>
      </c>
      <c r="T26" s="223"/>
      <c r="U26" s="223">
        <v>0.00854</v>
      </c>
      <c r="V26" s="223"/>
      <c r="W26" s="223">
        <v>0.01242</v>
      </c>
      <c r="X26" s="223"/>
      <c r="Y26" s="527">
        <v>8</v>
      </c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9"/>
      <c r="BI26" s="10"/>
      <c r="BJ26" s="12"/>
      <c r="BK26" s="12"/>
    </row>
    <row r="27" spans="1:63" s="481" customFormat="1" ht="12.75" customHeight="1">
      <c r="A27" s="494">
        <v>9</v>
      </c>
      <c r="B27" s="507"/>
      <c r="C27" s="507"/>
      <c r="L27" s="494">
        <v>9</v>
      </c>
      <c r="M27" s="462"/>
      <c r="N27" s="494">
        <v>9</v>
      </c>
      <c r="O27" s="494"/>
      <c r="P27" s="494"/>
      <c r="Y27" s="494">
        <v>9</v>
      </c>
      <c r="BF27" s="9"/>
      <c r="BI27" s="10"/>
      <c r="BJ27" s="12"/>
      <c r="BK27" s="12"/>
    </row>
    <row r="28" spans="1:63" s="481" customFormat="1" ht="12.75" customHeight="1">
      <c r="A28" s="494" t="s">
        <v>102</v>
      </c>
      <c r="B28" s="507"/>
      <c r="C28" s="507"/>
      <c r="D28" s="481">
        <v>0.00024</v>
      </c>
      <c r="F28" s="481">
        <v>0.00456</v>
      </c>
      <c r="H28" s="481">
        <v>0.00878</v>
      </c>
      <c r="J28" s="481">
        <v>0.01298</v>
      </c>
      <c r="L28" s="494" t="s">
        <v>102</v>
      </c>
      <c r="M28" s="462"/>
      <c r="N28" s="494" t="s">
        <v>102</v>
      </c>
      <c r="O28" s="494"/>
      <c r="P28" s="494"/>
      <c r="Q28" s="481">
        <v>2E-05</v>
      </c>
      <c r="S28" s="481">
        <v>0.00426</v>
      </c>
      <c r="U28" s="481">
        <v>0.00844</v>
      </c>
      <c r="W28" s="481">
        <v>0.01248</v>
      </c>
      <c r="Y28" s="494" t="s">
        <v>102</v>
      </c>
      <c r="BF28" s="9"/>
      <c r="BI28" s="10"/>
      <c r="BJ28" s="12"/>
      <c r="BK28" s="12"/>
    </row>
    <row r="29" spans="1:63" s="182" customFormat="1" ht="12.75" customHeight="1" hidden="1">
      <c r="A29" s="494" t="s">
        <v>103</v>
      </c>
      <c r="B29" s="507"/>
      <c r="C29" s="507"/>
      <c r="D29" s="481">
        <v>0.00848</v>
      </c>
      <c r="E29" s="481"/>
      <c r="F29" s="481">
        <v>0.0114</v>
      </c>
      <c r="G29" s="481"/>
      <c r="H29" s="481">
        <v>0.01292</v>
      </c>
      <c r="I29" s="481"/>
      <c r="J29" s="481">
        <v>0.01312</v>
      </c>
      <c r="K29" s="481"/>
      <c r="L29" s="494" t="s">
        <v>103</v>
      </c>
      <c r="M29" s="181"/>
      <c r="N29" s="527" t="s">
        <v>103</v>
      </c>
      <c r="O29" s="527"/>
      <c r="P29" s="527"/>
      <c r="Q29" s="223">
        <v>0.00816</v>
      </c>
      <c r="R29" s="223"/>
      <c r="S29" s="223">
        <v>0.011</v>
      </c>
      <c r="T29" s="223"/>
      <c r="U29" s="223">
        <v>0.01242</v>
      </c>
      <c r="V29" s="223"/>
      <c r="W29" s="223">
        <v>0.01256</v>
      </c>
      <c r="X29" s="223"/>
      <c r="Y29" s="527" t="s">
        <v>103</v>
      </c>
      <c r="BF29" s="68"/>
      <c r="BI29" s="183"/>
      <c r="BJ29" s="184"/>
      <c r="BK29" s="184"/>
    </row>
    <row r="30" spans="1:63" s="481" customFormat="1" ht="12.75" customHeight="1">
      <c r="A30" s="527">
        <v>11</v>
      </c>
      <c r="B30" s="528"/>
      <c r="C30" s="528"/>
      <c r="D30" s="223">
        <v>-0.00012</v>
      </c>
      <c r="E30" s="223"/>
      <c r="F30" s="223">
        <v>0.0041</v>
      </c>
      <c r="G30" s="223"/>
      <c r="H30" s="223">
        <v>0.00832</v>
      </c>
      <c r="I30" s="223"/>
      <c r="J30" s="223">
        <v>0.01246</v>
      </c>
      <c r="K30" s="223"/>
      <c r="L30" s="527">
        <v>11</v>
      </c>
      <c r="M30" s="529"/>
      <c r="N30" s="527">
        <v>11</v>
      </c>
      <c r="O30" s="527"/>
      <c r="P30" s="527"/>
      <c r="Q30" s="223">
        <v>-0.00024</v>
      </c>
      <c r="R30" s="223"/>
      <c r="S30" s="223">
        <v>0.004</v>
      </c>
      <c r="T30" s="223"/>
      <c r="U30" s="223">
        <v>0.00822</v>
      </c>
      <c r="V30" s="223"/>
      <c r="W30" s="223">
        <v>0.01228</v>
      </c>
      <c r="X30" s="223"/>
      <c r="Y30" s="527">
        <v>11</v>
      </c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9"/>
      <c r="BI30" s="10"/>
      <c r="BJ30" s="12"/>
      <c r="BK30" s="12"/>
    </row>
    <row r="31" spans="1:63" s="481" customFormat="1" ht="12.75" customHeight="1">
      <c r="A31" s="494">
        <v>12</v>
      </c>
      <c r="B31" s="507"/>
      <c r="C31" s="507"/>
      <c r="D31" s="481">
        <v>0.00026</v>
      </c>
      <c r="F31" s="481">
        <v>0.00448</v>
      </c>
      <c r="H31" s="481">
        <v>0.00864</v>
      </c>
      <c r="J31" s="481">
        <v>0.0127</v>
      </c>
      <c r="L31" s="494">
        <v>12</v>
      </c>
      <c r="M31" s="462"/>
      <c r="N31" s="494">
        <v>12</v>
      </c>
      <c r="O31" s="494"/>
      <c r="P31" s="494"/>
      <c r="Q31" s="481">
        <v>0.00018</v>
      </c>
      <c r="S31" s="481">
        <v>0.00444</v>
      </c>
      <c r="U31" s="481">
        <v>0.0086</v>
      </c>
      <c r="W31" s="481">
        <v>0.01258</v>
      </c>
      <c r="Y31" s="494">
        <v>12</v>
      </c>
      <c r="BF31" s="9"/>
      <c r="BI31" s="10"/>
      <c r="BJ31" s="12"/>
      <c r="BK31" s="12"/>
    </row>
    <row r="32" spans="1:63" s="481" customFormat="1" ht="12.75" customHeight="1">
      <c r="A32" s="494" t="s">
        <v>104</v>
      </c>
      <c r="B32" s="507"/>
      <c r="C32" s="507"/>
      <c r="L32" s="494" t="s">
        <v>104</v>
      </c>
      <c r="M32" s="462"/>
      <c r="N32" s="494" t="s">
        <v>104</v>
      </c>
      <c r="O32" s="494"/>
      <c r="P32" s="494"/>
      <c r="Y32" s="494" t="s">
        <v>104</v>
      </c>
      <c r="BF32" s="9"/>
      <c r="BI32" s="10"/>
      <c r="BJ32" s="12"/>
      <c r="BK32" s="12"/>
    </row>
    <row r="33" spans="1:63" s="182" customFormat="1" ht="12.75" customHeight="1" hidden="1">
      <c r="A33" s="494" t="s">
        <v>105</v>
      </c>
      <c r="B33" s="507"/>
      <c r="C33" s="507"/>
      <c r="D33" s="481"/>
      <c r="E33" s="481"/>
      <c r="F33" s="481"/>
      <c r="G33" s="481"/>
      <c r="H33" s="481"/>
      <c r="I33" s="481"/>
      <c r="J33" s="481"/>
      <c r="K33" s="481"/>
      <c r="L33" s="494" t="s">
        <v>105</v>
      </c>
      <c r="M33" s="181"/>
      <c r="N33" s="527" t="s">
        <v>105</v>
      </c>
      <c r="O33" s="527"/>
      <c r="P33" s="527"/>
      <c r="Q33" s="223"/>
      <c r="R33" s="223"/>
      <c r="S33" s="223"/>
      <c r="T33" s="223"/>
      <c r="U33" s="223"/>
      <c r="V33" s="223"/>
      <c r="W33" s="223"/>
      <c r="X33" s="223"/>
      <c r="Y33" s="527" t="s">
        <v>105</v>
      </c>
      <c r="BF33" s="68"/>
      <c r="BI33" s="183"/>
      <c r="BJ33" s="184"/>
      <c r="BK33" s="184"/>
    </row>
    <row r="34" spans="1:63" s="481" customFormat="1" ht="12.75" customHeight="1">
      <c r="A34" s="527">
        <v>14</v>
      </c>
      <c r="B34" s="528"/>
      <c r="C34" s="528"/>
      <c r="D34" s="223"/>
      <c r="E34" s="223"/>
      <c r="F34" s="223"/>
      <c r="G34" s="223"/>
      <c r="H34" s="223"/>
      <c r="I34" s="223"/>
      <c r="J34" s="223"/>
      <c r="K34" s="223"/>
      <c r="L34" s="527">
        <v>14</v>
      </c>
      <c r="M34" s="529"/>
      <c r="N34" s="527">
        <v>14</v>
      </c>
      <c r="O34" s="527"/>
      <c r="P34" s="527"/>
      <c r="Q34" s="223"/>
      <c r="R34" s="223"/>
      <c r="S34" s="223"/>
      <c r="T34" s="223"/>
      <c r="U34" s="223"/>
      <c r="V34" s="223"/>
      <c r="W34" s="223"/>
      <c r="X34" s="223"/>
      <c r="Y34" s="527">
        <v>14</v>
      </c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9"/>
      <c r="BI34" s="10"/>
      <c r="BJ34" s="12"/>
      <c r="BK34" s="12"/>
    </row>
    <row r="35" spans="1:63" s="481" customFormat="1" ht="12.75" customHeight="1">
      <c r="A35" s="494">
        <v>15</v>
      </c>
      <c r="B35" s="507"/>
      <c r="C35" s="507"/>
      <c r="D35" s="481">
        <v>-0.00032</v>
      </c>
      <c r="F35" s="481">
        <v>0.0041</v>
      </c>
      <c r="H35" s="481">
        <v>0.0085</v>
      </c>
      <c r="J35" s="481">
        <v>0.01284</v>
      </c>
      <c r="L35" s="494">
        <v>15</v>
      </c>
      <c r="M35" s="462"/>
      <c r="N35" s="494">
        <v>15</v>
      </c>
      <c r="O35" s="494"/>
      <c r="P35" s="494"/>
      <c r="Q35" s="481">
        <v>-0.00156</v>
      </c>
      <c r="S35" s="481">
        <v>0.00276</v>
      </c>
      <c r="U35" s="481">
        <v>0.00688</v>
      </c>
      <c r="W35" s="481">
        <v>0.01104</v>
      </c>
      <c r="Y35" s="494">
        <v>15</v>
      </c>
      <c r="BF35" s="9"/>
      <c r="BI35" s="10"/>
      <c r="BJ35" s="12"/>
      <c r="BK35" s="12"/>
    </row>
    <row r="36" spans="1:63" s="481" customFormat="1" ht="12.75" customHeight="1">
      <c r="A36" s="494" t="s">
        <v>106</v>
      </c>
      <c r="B36" s="507"/>
      <c r="C36" s="507"/>
      <c r="D36" s="481">
        <v>0.00112</v>
      </c>
      <c r="F36" s="481">
        <v>0.0055</v>
      </c>
      <c r="H36" s="481">
        <v>0.00994</v>
      </c>
      <c r="J36" s="481">
        <v>0.01422</v>
      </c>
      <c r="L36" s="494" t="s">
        <v>106</v>
      </c>
      <c r="M36" s="462"/>
      <c r="N36" s="494" t="s">
        <v>106</v>
      </c>
      <c r="O36" s="494"/>
      <c r="P36" s="494"/>
      <c r="Q36" s="481">
        <v>0.0004</v>
      </c>
      <c r="S36" s="481">
        <v>0.00468</v>
      </c>
      <c r="U36" s="481">
        <v>0.00888</v>
      </c>
      <c r="W36" s="481">
        <v>0.01288</v>
      </c>
      <c r="Y36" s="494" t="s">
        <v>106</v>
      </c>
      <c r="BF36" s="9"/>
      <c r="BI36" s="10"/>
      <c r="BJ36" s="12"/>
      <c r="BK36" s="12"/>
    </row>
    <row r="37" spans="1:63" s="182" customFormat="1" ht="12.75" customHeight="1" hidden="1">
      <c r="A37" s="494" t="s">
        <v>107</v>
      </c>
      <c r="B37" s="507"/>
      <c r="C37" s="507"/>
      <c r="D37" s="481">
        <v>0.00996</v>
      </c>
      <c r="E37" s="481"/>
      <c r="F37" s="481">
        <v>0.01248</v>
      </c>
      <c r="G37" s="481"/>
      <c r="H37" s="481">
        <v>0.01414</v>
      </c>
      <c r="I37" s="481"/>
      <c r="J37" s="481">
        <v>0.01434</v>
      </c>
      <c r="K37" s="481"/>
      <c r="L37" s="494" t="s">
        <v>107</v>
      </c>
      <c r="M37" s="181"/>
      <c r="N37" s="527" t="s">
        <v>107</v>
      </c>
      <c r="O37" s="527"/>
      <c r="P37" s="527"/>
      <c r="Q37" s="223">
        <v>0.00846</v>
      </c>
      <c r="R37" s="223"/>
      <c r="S37" s="223">
        <v>0.01126</v>
      </c>
      <c r="T37" s="223"/>
      <c r="U37" s="223">
        <v>0.0128</v>
      </c>
      <c r="V37" s="223"/>
      <c r="W37" s="223">
        <v>0.01296</v>
      </c>
      <c r="X37" s="223"/>
      <c r="Y37" s="527" t="s">
        <v>107</v>
      </c>
      <c r="BF37" s="68"/>
      <c r="BI37" s="183"/>
      <c r="BJ37" s="184"/>
      <c r="BK37" s="184"/>
    </row>
    <row r="38" spans="1:63" s="481" customFormat="1" ht="12.75" customHeight="1">
      <c r="A38" s="527">
        <v>17</v>
      </c>
      <c r="B38" s="528"/>
      <c r="C38" s="528"/>
      <c r="D38" s="223">
        <v>0.00044</v>
      </c>
      <c r="E38" s="223"/>
      <c r="F38" s="223">
        <v>0.00464</v>
      </c>
      <c r="G38" s="223"/>
      <c r="H38" s="223">
        <v>0.00886</v>
      </c>
      <c r="I38" s="223"/>
      <c r="J38" s="223">
        <v>0.01278</v>
      </c>
      <c r="K38" s="223"/>
      <c r="L38" s="527">
        <v>17</v>
      </c>
      <c r="M38" s="529"/>
      <c r="N38" s="527">
        <v>17</v>
      </c>
      <c r="O38" s="527"/>
      <c r="P38" s="527"/>
      <c r="Q38" s="223">
        <v>0.00016</v>
      </c>
      <c r="R38" s="223"/>
      <c r="S38" s="223">
        <v>0.00438</v>
      </c>
      <c r="T38" s="223"/>
      <c r="U38" s="223">
        <v>0.00858</v>
      </c>
      <c r="V38" s="223"/>
      <c r="W38" s="223">
        <v>0.01258</v>
      </c>
      <c r="X38" s="223"/>
      <c r="Y38" s="527">
        <v>17</v>
      </c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9"/>
      <c r="BI38" s="10"/>
      <c r="BJ38" s="12"/>
      <c r="BK38" s="12"/>
    </row>
    <row r="39" spans="1:63" s="481" customFormat="1" ht="12.75" customHeight="1">
      <c r="A39" s="494">
        <v>18</v>
      </c>
      <c r="B39" s="507"/>
      <c r="C39" s="507"/>
      <c r="L39" s="494">
        <v>18</v>
      </c>
      <c r="M39" s="462"/>
      <c r="N39" s="494">
        <v>18</v>
      </c>
      <c r="O39" s="494"/>
      <c r="P39" s="494"/>
      <c r="Y39" s="494">
        <v>18</v>
      </c>
      <c r="BF39" s="9"/>
      <c r="BI39" s="10"/>
      <c r="BJ39" s="12"/>
      <c r="BK39" s="12"/>
    </row>
    <row r="40" spans="1:63" s="481" customFormat="1" ht="11.25" customHeight="1">
      <c r="A40" s="494" t="s">
        <v>108</v>
      </c>
      <c r="B40" s="507"/>
      <c r="C40" s="507"/>
      <c r="E40" s="481">
        <v>0.00022</v>
      </c>
      <c r="G40" s="481">
        <v>0.00272</v>
      </c>
      <c r="I40" s="481">
        <v>0.00472</v>
      </c>
      <c r="K40" s="481">
        <v>0.00706</v>
      </c>
      <c r="L40" s="494" t="s">
        <v>108</v>
      </c>
      <c r="M40" s="462"/>
      <c r="N40" s="494" t="s">
        <v>108</v>
      </c>
      <c r="O40" s="494"/>
      <c r="P40" s="494"/>
      <c r="R40" s="481">
        <v>-8E-05</v>
      </c>
      <c r="T40" s="481">
        <v>0.00242</v>
      </c>
      <c r="V40" s="481">
        <v>0.00442</v>
      </c>
      <c r="X40" s="481">
        <v>0.0068</v>
      </c>
      <c r="Y40" s="494" t="s">
        <v>108</v>
      </c>
      <c r="BF40" s="9"/>
      <c r="BI40" s="10"/>
      <c r="BJ40" s="12"/>
      <c r="BK40" s="12"/>
    </row>
    <row r="41" spans="1:63" s="182" customFormat="1" ht="1.5" customHeight="1" hidden="1">
      <c r="A41" s="494" t="s">
        <v>109</v>
      </c>
      <c r="B41" s="507"/>
      <c r="C41" s="507"/>
      <c r="D41" s="481">
        <v>0.00854</v>
      </c>
      <c r="E41" s="481">
        <v>0.00352</v>
      </c>
      <c r="F41" s="481">
        <v>0.01138</v>
      </c>
      <c r="G41" s="481">
        <v>0.0054</v>
      </c>
      <c r="H41" s="481">
        <v>0.0127</v>
      </c>
      <c r="I41" s="481">
        <v>0.0068</v>
      </c>
      <c r="J41" s="481">
        <v>0.01286</v>
      </c>
      <c r="K41" s="481">
        <v>0.00706</v>
      </c>
      <c r="L41" s="494" t="s">
        <v>109</v>
      </c>
      <c r="M41" s="181"/>
      <c r="N41" s="527" t="s">
        <v>109</v>
      </c>
      <c r="O41" s="527"/>
      <c r="P41" s="527"/>
      <c r="Q41" s="223">
        <v>0.0082</v>
      </c>
      <c r="R41" s="223">
        <v>0.00326</v>
      </c>
      <c r="S41" s="223">
        <v>0.0111</v>
      </c>
      <c r="T41" s="223">
        <v>0.00512</v>
      </c>
      <c r="U41" s="223">
        <v>0.0125</v>
      </c>
      <c r="V41" s="223">
        <v>0.00654</v>
      </c>
      <c r="W41" s="223">
        <v>0.01266</v>
      </c>
      <c r="X41" s="223">
        <v>0.0068</v>
      </c>
      <c r="Y41" s="527" t="s">
        <v>109</v>
      </c>
      <c r="BF41" s="68"/>
      <c r="BI41" s="183"/>
      <c r="BJ41" s="184"/>
      <c r="BK41" s="184"/>
    </row>
    <row r="42" spans="1:63" s="481" customFormat="1" ht="12" customHeight="1">
      <c r="A42" s="23"/>
      <c r="B42" s="461"/>
      <c r="C42" s="47"/>
      <c r="D42" s="495">
        <f>AVERAGE(D16,D18:D20,D23:D24,D26,D28,D30:D31,D35:D36,D38)</f>
        <v>0.00026</v>
      </c>
      <c r="E42" s="180"/>
      <c r="F42" s="495">
        <f>AVERAGE(F16,F18:F20,F23:F24,F26,F28,F30:F31,F35:F36,F38)</f>
        <v>0.004512307692307692</v>
      </c>
      <c r="G42" s="180"/>
      <c r="H42" s="495">
        <f>AVERAGE(H16,H18:H20,H23:H24,H26,H28,H30:H31,H35:H36,H38)</f>
        <v>0.008723076923076924</v>
      </c>
      <c r="I42" s="180"/>
      <c r="J42" s="495">
        <f>AVERAGE(J16,J18:J20,J23:J24,J26,J28,J30:J31,J35:J36,J38)</f>
        <v>0.01281230769230769</v>
      </c>
      <c r="K42" s="180"/>
      <c r="L42" s="96"/>
      <c r="M42" s="462"/>
      <c r="N42" s="96"/>
      <c r="O42" s="96"/>
      <c r="P42" s="96"/>
      <c r="Q42" s="495">
        <f>AVERAGE(Q16,Q18:Q19,Q23:Q24,Q26,Q28,Q30:Q31,Q35:Q36,Q38)</f>
        <v>-8.333333333333333E-05</v>
      </c>
      <c r="R42" s="180"/>
      <c r="S42" s="495">
        <f>AVERAGE(S16,S18:S19,S23:S24,S26,S28,S30:S31,S35:S36,S38)</f>
        <v>0.004148333333333333</v>
      </c>
      <c r="T42" s="180"/>
      <c r="U42" s="495">
        <f>AVERAGE(U16,U18:U19,U23:U24,U26,U28,U30:U31,U35:U36,U38)</f>
        <v>0.008324999999999999</v>
      </c>
      <c r="V42" s="180"/>
      <c r="W42" s="495">
        <f>AVERAGE(W16,W18:W19,W23:W24,W26,W28,W30:W31,W35:W36,W38)</f>
        <v>0.012351666666666665</v>
      </c>
      <c r="X42" s="180"/>
      <c r="Y42" s="22"/>
      <c r="BF42" s="9"/>
      <c r="BI42" s="10"/>
      <c r="BJ42" s="12"/>
      <c r="BK42" s="12"/>
    </row>
    <row r="43" spans="1:63" s="481" customFormat="1" ht="12.75" customHeight="1">
      <c r="A43" s="23" t="s">
        <v>150</v>
      </c>
      <c r="B43" s="461"/>
      <c r="C43" s="47"/>
      <c r="D43" s="538">
        <f>AVERAGE(E16,E40)</f>
        <v>0.00011</v>
      </c>
      <c r="E43" s="180"/>
      <c r="F43" s="538">
        <f>AVERAGE(G16,G40)</f>
        <v>0.00262</v>
      </c>
      <c r="G43" s="180"/>
      <c r="H43" s="538">
        <f>AVERAGE(I16,I40)</f>
        <v>0.00465</v>
      </c>
      <c r="I43" s="180"/>
      <c r="J43" s="538">
        <f>AVERAGE(K16,K40)</f>
        <v>0.0069700000000000005</v>
      </c>
      <c r="L43" s="96"/>
      <c r="M43" s="462"/>
      <c r="N43" s="96"/>
      <c r="O43" s="96"/>
      <c r="P43" s="96"/>
      <c r="Q43" s="538">
        <f>AVERAGE(R16,R40)</f>
        <v>-4E-05</v>
      </c>
      <c r="R43" s="180"/>
      <c r="S43" s="538">
        <f>AVERAGE(T16,T40)</f>
        <v>0.00245</v>
      </c>
      <c r="T43" s="180"/>
      <c r="U43" s="538">
        <f>AVERAGE(V16,V40)</f>
        <v>0.00443</v>
      </c>
      <c r="V43" s="180"/>
      <c r="W43" s="538">
        <f>AVERAGE(X16,X40)</f>
        <v>0.00678</v>
      </c>
      <c r="X43" s="96"/>
      <c r="Y43" s="22"/>
      <c r="BF43" s="9"/>
      <c r="BI43" s="10"/>
      <c r="BJ43" s="12"/>
      <c r="BK43" s="12"/>
    </row>
    <row r="44" spans="1:25" s="481" customFormat="1" ht="12.75" customHeight="1">
      <c r="A44" s="25"/>
      <c r="B44" s="25"/>
      <c r="C44" s="25"/>
      <c r="D44" s="25"/>
      <c r="E44" s="97"/>
      <c r="F44" s="509">
        <f>F42-D42</f>
        <v>0.004252307692307692</v>
      </c>
      <c r="G44" s="97"/>
      <c r="H44" s="509">
        <f>H42-F42</f>
        <v>0.0042107692307692315</v>
      </c>
      <c r="I44" s="97"/>
      <c r="J44" s="509">
        <f>J42-H42</f>
        <v>0.004089230769230767</v>
      </c>
      <c r="K44" s="97"/>
      <c r="L44" s="97"/>
      <c r="M44" s="97"/>
      <c r="N44" s="97"/>
      <c r="O44" s="97"/>
      <c r="P44" s="97"/>
      <c r="Q44" s="97"/>
      <c r="R44" s="99"/>
      <c r="S44" s="509">
        <f>S42-Q42</f>
        <v>0.0042316666666666666</v>
      </c>
      <c r="T44" s="98"/>
      <c r="U44" s="509">
        <f>U42-S42</f>
        <v>0.004176666666666666</v>
      </c>
      <c r="V44" s="98"/>
      <c r="W44" s="509">
        <f>W42-U42</f>
        <v>0.004026666666666666</v>
      </c>
      <c r="X44" s="98"/>
      <c r="Y44" s="26"/>
    </row>
    <row r="45" spans="1:24" s="481" customFormat="1" ht="12.75" customHeight="1">
      <c r="A45" s="68" t="s">
        <v>110</v>
      </c>
      <c r="B45" s="48"/>
      <c r="C45" s="25"/>
      <c r="D45" s="25"/>
      <c r="E45" s="462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9"/>
    </row>
    <row r="46" spans="1:25" s="173" customFormat="1" ht="12.75" customHeight="1">
      <c r="A46" s="140" t="s">
        <v>111</v>
      </c>
      <c r="B46" s="141"/>
      <c r="C46" s="142"/>
      <c r="D46" s="422">
        <v>1</v>
      </c>
      <c r="E46" s="423">
        <f aca="true" t="shared" si="0" ref="E46:V46">D46+1</f>
        <v>2</v>
      </c>
      <c r="F46" s="423">
        <f t="shared" si="0"/>
        <v>3</v>
      </c>
      <c r="G46" s="423">
        <f t="shared" si="0"/>
        <v>4</v>
      </c>
      <c r="H46" s="423">
        <f t="shared" si="0"/>
        <v>5</v>
      </c>
      <c r="I46" s="423">
        <f t="shared" si="0"/>
        <v>6</v>
      </c>
      <c r="J46" s="423">
        <f t="shared" si="0"/>
        <v>7</v>
      </c>
      <c r="K46" s="423">
        <f t="shared" si="0"/>
        <v>8</v>
      </c>
      <c r="L46" s="423">
        <f t="shared" si="0"/>
        <v>9</v>
      </c>
      <c r="M46" s="423">
        <f t="shared" si="0"/>
        <v>10</v>
      </c>
      <c r="N46" s="423">
        <f t="shared" si="0"/>
        <v>11</v>
      </c>
      <c r="O46" s="423">
        <f t="shared" si="0"/>
        <v>12</v>
      </c>
      <c r="P46" s="423">
        <f t="shared" si="0"/>
        <v>13</v>
      </c>
      <c r="Q46" s="423">
        <f t="shared" si="0"/>
        <v>14</v>
      </c>
      <c r="R46" s="423">
        <f t="shared" si="0"/>
        <v>15</v>
      </c>
      <c r="S46" s="423">
        <f t="shared" si="0"/>
        <v>16</v>
      </c>
      <c r="T46" s="423">
        <f t="shared" si="0"/>
        <v>17</v>
      </c>
      <c r="U46" s="423">
        <f t="shared" si="0"/>
        <v>18</v>
      </c>
      <c r="V46" s="423">
        <f t="shared" si="0"/>
        <v>19</v>
      </c>
      <c r="W46" s="422" t="s">
        <v>0</v>
      </c>
      <c r="X46" s="530" t="s">
        <v>68</v>
      </c>
      <c r="Y46" s="481"/>
    </row>
    <row r="47" spans="1:24" s="481" customFormat="1" ht="12.75" customHeight="1">
      <c r="A47" s="45" t="s">
        <v>112</v>
      </c>
      <c r="B47" s="46" t="s">
        <v>113</v>
      </c>
      <c r="C47" s="65" t="s">
        <v>35</v>
      </c>
      <c r="D47" s="120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2"/>
      <c r="W47" s="120"/>
      <c r="X47" s="463"/>
    </row>
    <row r="48" spans="1:24" s="481" customFormat="1" ht="12.75" customHeight="1">
      <c r="A48" s="456">
        <v>1111</v>
      </c>
      <c r="B48" s="25">
        <v>8000</v>
      </c>
      <c r="C48" s="457" t="s">
        <v>9</v>
      </c>
      <c r="D48" s="458">
        <f>-D16+$D$43</f>
        <v>-0.00011</v>
      </c>
      <c r="E48" s="459">
        <f>-D18+$D$43</f>
        <v>-7.000000000000001E-05</v>
      </c>
      <c r="F48" s="459">
        <f>-D19+$D$43</f>
        <v>0.00105</v>
      </c>
      <c r="G48" s="459">
        <f>-D20+$D$43</f>
        <v>-0.00137</v>
      </c>
      <c r="H48" s="459"/>
      <c r="I48" s="459">
        <f>-D23+$D$43</f>
        <v>0.00021</v>
      </c>
      <c r="J48" s="459">
        <f>-D24+$D$43</f>
        <v>-0.00025</v>
      </c>
      <c r="K48" s="459">
        <f>-D26+$D$43</f>
        <v>-0.00044999999999999993</v>
      </c>
      <c r="L48" s="459"/>
      <c r="M48" s="459">
        <f>-D28+$D$43</f>
        <v>-0.00013000000000000002</v>
      </c>
      <c r="N48" s="459">
        <f>-D30+$D$43</f>
        <v>0.00023</v>
      </c>
      <c r="O48" s="459">
        <f>-D31+$D$43</f>
        <v>-0.00014999999999999996</v>
      </c>
      <c r="P48" s="459"/>
      <c r="Q48" s="459"/>
      <c r="R48" s="459">
        <f>-D35+$D$43</f>
        <v>0.00043000000000000004</v>
      </c>
      <c r="S48" s="459">
        <f>-D36+$D$43</f>
        <v>-0.0010099999999999998</v>
      </c>
      <c r="T48" s="459">
        <f>-D38+$D$43</f>
        <v>-0.00033</v>
      </c>
      <c r="U48" s="460"/>
      <c r="V48" s="464"/>
      <c r="W48" s="475">
        <f>AVERAGE(D48:G48,I48:K48,M48:O48,R48:T48)</f>
        <v>-0.00015</v>
      </c>
      <c r="X48" s="465">
        <f>STDEV(D48:G48,I48:K48,M48:O48,R48:T48)</f>
        <v>0.0006068497892120147</v>
      </c>
    </row>
    <row r="49" spans="1:24" s="481" customFormat="1" ht="12.75" customHeight="1">
      <c r="A49" s="456">
        <v>1111</v>
      </c>
      <c r="B49" s="25">
        <v>8000</v>
      </c>
      <c r="C49" s="457" t="s">
        <v>7</v>
      </c>
      <c r="D49" s="466">
        <f>-Q16+$Q$43</f>
        <v>7.999999999999999E-05</v>
      </c>
      <c r="E49" s="467">
        <f>-Q18+$Q$43</f>
        <v>0.00036</v>
      </c>
      <c r="F49" s="467">
        <f>-Q19+$Q$43</f>
        <v>-0.00076</v>
      </c>
      <c r="G49" s="467"/>
      <c r="H49" s="467"/>
      <c r="I49" s="467">
        <f>-Q23+$Q$43</f>
        <v>0.00023999999999999998</v>
      </c>
      <c r="J49" s="467">
        <f>-Q24+$Q$43</f>
        <v>-8E-05</v>
      </c>
      <c r="K49" s="467">
        <f>-Q26+$Q$43</f>
        <v>-0.00012000000000000002</v>
      </c>
      <c r="L49" s="467"/>
      <c r="M49" s="467">
        <f>-Q28+$Q$43</f>
        <v>-6.000000000000001E-05</v>
      </c>
      <c r="N49" s="467">
        <f>-Q30+$Q$43</f>
        <v>0.0002</v>
      </c>
      <c r="O49" s="467">
        <f>-Q31+$Q$43</f>
        <v>-0.00022</v>
      </c>
      <c r="P49" s="467"/>
      <c r="Q49" s="467"/>
      <c r="R49" s="467">
        <f>-Q35+$Q$43</f>
        <v>0.0015199999999999999</v>
      </c>
      <c r="S49" s="467">
        <f>-Q36+$Q$43</f>
        <v>-0.00044</v>
      </c>
      <c r="T49" s="467">
        <f>-Q38+$Q$43</f>
        <v>-0.0002</v>
      </c>
      <c r="U49" s="460"/>
      <c r="V49" s="464"/>
      <c r="W49" s="475">
        <f>AVERAGE(D49:F49,I49:K49,M49:O49,R49:T49)</f>
        <v>4.3333333333333314E-05</v>
      </c>
      <c r="X49" s="465">
        <f>STDEV(D49:F49,I49:K49,M49:O49,R49:T49)</f>
        <v>0.000556406217423816</v>
      </c>
    </row>
    <row r="50" spans="1:24" s="481" customFormat="1" ht="12.75" customHeight="1">
      <c r="A50" s="456">
        <v>2222</v>
      </c>
      <c r="B50" s="25">
        <v>10000</v>
      </c>
      <c r="C50" s="457" t="s">
        <v>9</v>
      </c>
      <c r="D50" s="458">
        <f>-F16+$F$43</f>
        <v>-0.0018000000000000004</v>
      </c>
      <c r="E50" s="459">
        <f>-F18+$F$43</f>
        <v>-0.0017400000000000002</v>
      </c>
      <c r="F50" s="459">
        <f>-F19+$F$43</f>
        <v>-0.00068</v>
      </c>
      <c r="G50" s="459">
        <f>-F20+$F$43</f>
        <v>-0.00296</v>
      </c>
      <c r="H50" s="459"/>
      <c r="I50" s="459">
        <f>-F23+$F$43</f>
        <v>-0.0015399999999999997</v>
      </c>
      <c r="J50" s="459">
        <f>-F24+$F$43</f>
        <v>-0.00206</v>
      </c>
      <c r="K50" s="459">
        <f>-F26+$F$43</f>
        <v>-0.0021600000000000005</v>
      </c>
      <c r="L50" s="459"/>
      <c r="M50" s="459">
        <f>-F28+$F$43</f>
        <v>-0.0019399999999999999</v>
      </c>
      <c r="N50" s="459">
        <f>-F30+$F$43</f>
        <v>-0.0014800000000000004</v>
      </c>
      <c r="O50" s="459">
        <f>-F31+$F$43</f>
        <v>-0.0018599999999999997</v>
      </c>
      <c r="P50" s="459"/>
      <c r="Q50" s="459"/>
      <c r="R50" s="459">
        <f>-F35+$F$43</f>
        <v>-0.0014800000000000004</v>
      </c>
      <c r="S50" s="459">
        <f>-F36+$F$43</f>
        <v>-0.0028799999999999997</v>
      </c>
      <c r="T50" s="459">
        <f>-F38+$F$43</f>
        <v>-0.00202</v>
      </c>
      <c r="U50" s="460"/>
      <c r="V50" s="464"/>
      <c r="W50" s="475">
        <f>AVERAGE(D50:G50,I50:K50,M50:O50,R50:T50)</f>
        <v>-0.0018923076923076927</v>
      </c>
      <c r="X50" s="465">
        <f>STDEV(D50:G50,I50:K50,M50:O50,R50:T50)</f>
        <v>0.0005916383164027636</v>
      </c>
    </row>
    <row r="51" spans="1:24" s="481" customFormat="1" ht="12.75" customHeight="1">
      <c r="A51" s="456">
        <v>2222</v>
      </c>
      <c r="B51" s="25">
        <v>10000</v>
      </c>
      <c r="C51" s="457" t="s">
        <v>7</v>
      </c>
      <c r="D51" s="466">
        <f>-S16+$S$43</f>
        <v>-0.0016100000000000003</v>
      </c>
      <c r="E51" s="467">
        <f>-S18+$S$43</f>
        <v>-0.0013700000000000001</v>
      </c>
      <c r="F51" s="467">
        <f>-S19+$S$43</f>
        <v>-0.00247</v>
      </c>
      <c r="G51" s="467"/>
      <c r="H51" s="467"/>
      <c r="I51" s="467">
        <f>-S23+$S$43</f>
        <v>-0.00145</v>
      </c>
      <c r="J51" s="467">
        <f>-S24+$S$43</f>
        <v>-0.00183</v>
      </c>
      <c r="K51" s="467">
        <f>-S26+$S$43</f>
        <v>-0.00183</v>
      </c>
      <c r="L51" s="467"/>
      <c r="M51" s="467">
        <f>-S28+$S$43</f>
        <v>-0.00181</v>
      </c>
      <c r="N51" s="467">
        <f>-S30+$S$43</f>
        <v>-0.0015500000000000002</v>
      </c>
      <c r="O51" s="467">
        <f>-S31+$S$43</f>
        <v>-0.0019900000000000004</v>
      </c>
      <c r="P51" s="467"/>
      <c r="Q51" s="467"/>
      <c r="R51" s="467">
        <f>-S35+$S$43</f>
        <v>-0.00030999999999999995</v>
      </c>
      <c r="S51" s="467">
        <f>-S36+$S$43</f>
        <v>-0.00223</v>
      </c>
      <c r="T51" s="467">
        <f>-S38+$S$43</f>
        <v>-0.0019300000000000003</v>
      </c>
      <c r="U51" s="460"/>
      <c r="V51" s="464"/>
      <c r="W51" s="475">
        <f>AVERAGE(D51:F51,I51:K51,M51:O51,R51:T51)</f>
        <v>-0.0016983333333333336</v>
      </c>
      <c r="X51" s="465">
        <f>STDEV(D51:F51,I51:K51,M51:O51,R51:T51)</f>
        <v>0.0005385811888375765</v>
      </c>
    </row>
    <row r="52" spans="1:24" s="481" customFormat="1" ht="12.75" customHeight="1">
      <c r="A52" s="456">
        <v>3333</v>
      </c>
      <c r="B52" s="25">
        <v>12000</v>
      </c>
      <c r="C52" s="457" t="s">
        <v>9</v>
      </c>
      <c r="D52" s="458">
        <f>-H16+$H$43</f>
        <v>-0.003930000000000001</v>
      </c>
      <c r="E52" s="459">
        <f>-H18+$H$43</f>
        <v>-0.003850000000000001</v>
      </c>
      <c r="F52" s="459">
        <f>-H19+$H$43</f>
        <v>-0.0026900000000000006</v>
      </c>
      <c r="G52" s="459">
        <f>-H20+$H$43</f>
        <v>-0.005090000000000001</v>
      </c>
      <c r="H52" s="459"/>
      <c r="I52" s="459">
        <f>-H23+$H$43</f>
        <v>-0.0037300000000000007</v>
      </c>
      <c r="J52" s="459">
        <f>-H24+$H$43</f>
        <v>-0.00425</v>
      </c>
      <c r="K52" s="459">
        <f>-H26+$H$43</f>
        <v>-0.004270000000000001</v>
      </c>
      <c r="L52" s="459"/>
      <c r="M52" s="459">
        <f>-H28+$H$43</f>
        <v>-0.00413</v>
      </c>
      <c r="N52" s="459">
        <f>-H30+$H$43</f>
        <v>-0.0036699999999999997</v>
      </c>
      <c r="O52" s="459">
        <f>-H31+$H$43</f>
        <v>-0.0039900000000000005</v>
      </c>
      <c r="P52" s="459"/>
      <c r="Q52" s="459"/>
      <c r="R52" s="459">
        <f>-H35+$H$43</f>
        <v>-0.003850000000000001</v>
      </c>
      <c r="S52" s="459">
        <f>-H36+$H$43</f>
        <v>-0.0052899999999999996</v>
      </c>
      <c r="T52" s="459">
        <f>-H38+$H$43</f>
        <v>-0.00421</v>
      </c>
      <c r="U52" s="460"/>
      <c r="V52" s="464"/>
      <c r="W52" s="475">
        <f>AVERAGE(D52:G52,I52:K52,M52:O52,R52:T52)</f>
        <v>-0.004073076923076923</v>
      </c>
      <c r="X52" s="465">
        <f>STDEV(D52:G52,I52:K52,M52:O52,R52:T52)</f>
        <v>0.000640772770636943</v>
      </c>
    </row>
    <row r="53" spans="1:24" s="481" customFormat="1" ht="12.75" customHeight="1">
      <c r="A53" s="456">
        <v>3333</v>
      </c>
      <c r="B53" s="25">
        <v>12000</v>
      </c>
      <c r="C53" s="457" t="s">
        <v>7</v>
      </c>
      <c r="D53" s="466">
        <f>-U16+$U$43</f>
        <v>-0.00383</v>
      </c>
      <c r="E53" s="467">
        <f>-U18+$U$43</f>
        <v>-0.0035099999999999992</v>
      </c>
      <c r="F53" s="467">
        <f>-U19+$U$43</f>
        <v>-0.00465</v>
      </c>
      <c r="G53" s="467"/>
      <c r="H53" s="467"/>
      <c r="I53" s="467">
        <f>-U23+$U$43</f>
        <v>-0.0036100000000000004</v>
      </c>
      <c r="J53" s="467">
        <f>-U24+$U$43</f>
        <v>-0.00401</v>
      </c>
      <c r="K53" s="467">
        <f>-U26+$U$43</f>
        <v>-0.004110000000000001</v>
      </c>
      <c r="L53" s="467"/>
      <c r="M53" s="467">
        <f>-U28+$U$43</f>
        <v>-0.00401</v>
      </c>
      <c r="N53" s="467">
        <f>-U30+$U$43</f>
        <v>-0.00379</v>
      </c>
      <c r="O53" s="467">
        <f>-U31+$U$43</f>
        <v>-0.00417</v>
      </c>
      <c r="P53" s="467"/>
      <c r="Q53" s="467"/>
      <c r="R53" s="467">
        <f>-U35+$U$43</f>
        <v>-0.00245</v>
      </c>
      <c r="S53" s="467">
        <f>-U36+$U$43</f>
        <v>-0.004450000000000001</v>
      </c>
      <c r="T53" s="467">
        <f>-U38+$U$43</f>
        <v>-0.004150000000000001</v>
      </c>
      <c r="U53" s="460"/>
      <c r="V53" s="464"/>
      <c r="W53" s="475">
        <f>AVERAGE(D53:F53,I53:K53,M53:O53,R53:T53)</f>
        <v>-0.0038950000000000005</v>
      </c>
      <c r="X53" s="465">
        <f>STDEV(D53:F53,I53:K53,M53:O53,R53:T53)</f>
        <v>0.0005579263555181959</v>
      </c>
    </row>
    <row r="54" spans="1:24" s="481" customFormat="1" ht="12.75" customHeight="1">
      <c r="A54" s="456">
        <v>4444</v>
      </c>
      <c r="B54" s="25">
        <v>14000</v>
      </c>
      <c r="C54" s="457" t="s">
        <v>9</v>
      </c>
      <c r="D54" s="458">
        <f>-J16+$J$43</f>
        <v>-0.005549999999999999</v>
      </c>
      <c r="E54" s="459">
        <f>-J18+$J$43</f>
        <v>-0.005549999999999999</v>
      </c>
      <c r="F54" s="459">
        <f>-J19+$J$43</f>
        <v>-0.00439</v>
      </c>
      <c r="G54" s="459">
        <f>-J20+$J$43</f>
        <v>-0.006669999999999999</v>
      </c>
      <c r="H54" s="459"/>
      <c r="I54" s="459">
        <f>-J23+$J$43</f>
        <v>-0.00557</v>
      </c>
      <c r="J54" s="459">
        <f>-J24+$J$43</f>
        <v>-0.00605</v>
      </c>
      <c r="K54" s="459">
        <f>-J26+$J$43</f>
        <v>-0.00601</v>
      </c>
      <c r="L54" s="459"/>
      <c r="M54" s="459">
        <f>-J28+$J$43</f>
        <v>-0.00601</v>
      </c>
      <c r="N54" s="459">
        <f>-J30+$J$43</f>
        <v>-0.00549</v>
      </c>
      <c r="O54" s="459">
        <f>-J31+$J$43</f>
        <v>-0.005729999999999999</v>
      </c>
      <c r="P54" s="459"/>
      <c r="Q54" s="459"/>
      <c r="R54" s="459">
        <f>-J35+$J$43</f>
        <v>-0.00587</v>
      </c>
      <c r="S54" s="459">
        <f>-J36+$J$43</f>
        <v>-0.0072499999999999995</v>
      </c>
      <c r="T54" s="459">
        <f>-J38+$J$43</f>
        <v>-0.005809999999999999</v>
      </c>
      <c r="U54" s="460"/>
      <c r="V54" s="464"/>
      <c r="W54" s="475">
        <f>AVERAGE(D54:G54,I54:K54,M54:O54,R54:T54)</f>
        <v>-0.005842307692307693</v>
      </c>
      <c r="X54" s="465">
        <f>STDEV(D54:G54,I54:K54,M54:O54,R54:T54)</f>
        <v>0.0006619938802102991</v>
      </c>
    </row>
    <row r="55" spans="1:24" s="481" customFormat="1" ht="12.75" customHeight="1">
      <c r="A55" s="468">
        <v>4444</v>
      </c>
      <c r="B55" s="24">
        <v>14000</v>
      </c>
      <c r="C55" s="469" t="s">
        <v>7</v>
      </c>
      <c r="D55" s="470">
        <f>-W16+$W$43</f>
        <v>-0.0055</v>
      </c>
      <c r="E55" s="471">
        <f>-W18+$W$43</f>
        <v>-0.005260000000000001</v>
      </c>
      <c r="F55" s="471">
        <f>-W19+$W$43</f>
        <v>-0.006280000000000001</v>
      </c>
      <c r="G55" s="471"/>
      <c r="H55" s="471"/>
      <c r="I55" s="471">
        <f>-W23+$W$43</f>
        <v>-0.00536</v>
      </c>
      <c r="J55" s="471">
        <f>-W24+$W$43</f>
        <v>-0.00566</v>
      </c>
      <c r="K55" s="471">
        <f>-W26+$W$43</f>
        <v>-0.005640000000000001</v>
      </c>
      <c r="L55" s="471"/>
      <c r="M55" s="471">
        <f>-W28+$W$43</f>
        <v>-0.0057</v>
      </c>
      <c r="N55" s="471">
        <f>-W30+$W$43</f>
        <v>-0.0055</v>
      </c>
      <c r="O55" s="471">
        <f>-W31+$W$43</f>
        <v>-0.0058</v>
      </c>
      <c r="P55" s="471"/>
      <c r="Q55" s="471"/>
      <c r="R55" s="471">
        <f>-W35+$W$43</f>
        <v>-0.00426</v>
      </c>
      <c r="S55" s="471">
        <f>-W36+$W$43</f>
        <v>-0.006100000000000001</v>
      </c>
      <c r="T55" s="471">
        <f>-W38+$W$43</f>
        <v>-0.0058</v>
      </c>
      <c r="U55" s="472"/>
      <c r="V55" s="473"/>
      <c r="W55" s="476">
        <f>AVERAGE(D55:F55,I55:K55,M55:O55,R55:T55)</f>
        <v>-0.005571666666666667</v>
      </c>
      <c r="X55" s="474">
        <f>STDEV(D55:F55,I55:K55,M55:O55,R55:T55)</f>
        <v>0.0005033313265061355</v>
      </c>
    </row>
    <row r="56" spans="1:24" s="481" customFormat="1" ht="12.75" customHeight="1">
      <c r="A56" s="25"/>
      <c r="B56" s="25"/>
      <c r="C56" s="25"/>
      <c r="D56" s="512"/>
      <c r="E56" s="512"/>
      <c r="F56" s="512"/>
      <c r="G56" s="512"/>
      <c r="H56" s="512"/>
      <c r="I56" s="512"/>
      <c r="J56" s="512"/>
      <c r="K56" s="512"/>
      <c r="L56" s="512"/>
      <c r="M56" s="512"/>
      <c r="N56" s="512"/>
      <c r="O56" s="512"/>
      <c r="P56" s="512"/>
      <c r="Q56" s="512"/>
      <c r="R56" s="512"/>
      <c r="S56" s="512"/>
      <c r="T56" s="512"/>
      <c r="U56" s="512"/>
      <c r="V56" s="512"/>
      <c r="W56" s="531"/>
      <c r="X56" s="532"/>
    </row>
    <row r="57" spans="1:24" s="481" customFormat="1" ht="12.75" customHeight="1">
      <c r="A57" s="25"/>
      <c r="B57" s="25"/>
      <c r="C57" s="25" t="s">
        <v>200</v>
      </c>
      <c r="D57" s="512"/>
      <c r="E57" s="512"/>
      <c r="F57" s="512"/>
      <c r="G57" s="512"/>
      <c r="H57" s="512"/>
      <c r="I57" s="512"/>
      <c r="J57" s="512"/>
      <c r="K57" s="512"/>
      <c r="L57" s="512"/>
      <c r="M57" s="512"/>
      <c r="N57" s="512"/>
      <c r="O57" s="512"/>
      <c r="P57" s="512"/>
      <c r="Q57" s="512"/>
      <c r="R57" s="512"/>
      <c r="S57" s="512"/>
      <c r="T57" s="512"/>
      <c r="U57" s="512"/>
      <c r="V57" s="512"/>
      <c r="W57" s="531"/>
      <c r="X57" s="532"/>
    </row>
    <row r="58" spans="1:24" s="481" customFormat="1" ht="12.75" customHeight="1">
      <c r="A58" s="67" t="s">
        <v>66</v>
      </c>
      <c r="B58" s="2"/>
      <c r="C58" s="2"/>
      <c r="D58" s="512"/>
      <c r="E58" s="512"/>
      <c r="F58" s="512"/>
      <c r="G58" s="512"/>
      <c r="H58" s="512"/>
      <c r="I58" s="512"/>
      <c r="J58" s="512"/>
      <c r="K58" s="512"/>
      <c r="L58" s="512"/>
      <c r="M58" s="512"/>
      <c r="N58" s="512"/>
      <c r="O58" s="512"/>
      <c r="P58" s="512"/>
      <c r="Q58" s="512"/>
      <c r="R58" s="512"/>
      <c r="S58" s="512"/>
      <c r="T58" s="512"/>
      <c r="U58" s="512"/>
      <c r="V58" s="512"/>
      <c r="W58" s="531"/>
      <c r="X58" s="532"/>
    </row>
    <row r="59" spans="1:26" s="143" customFormat="1" ht="12.75" customHeight="1">
      <c r="A59" s="144" t="s">
        <v>111</v>
      </c>
      <c r="B59" s="145"/>
      <c r="C59" s="146"/>
      <c r="D59" s="533">
        <v>1</v>
      </c>
      <c r="E59" s="534">
        <f aca="true" t="shared" si="1" ref="E59:V59">D59+1</f>
        <v>2</v>
      </c>
      <c r="F59" s="534">
        <f t="shared" si="1"/>
        <v>3</v>
      </c>
      <c r="G59" s="534">
        <f t="shared" si="1"/>
        <v>4</v>
      </c>
      <c r="H59" s="534">
        <f t="shared" si="1"/>
        <v>5</v>
      </c>
      <c r="I59" s="534">
        <f t="shared" si="1"/>
        <v>6</v>
      </c>
      <c r="J59" s="534">
        <f t="shared" si="1"/>
        <v>7</v>
      </c>
      <c r="K59" s="534">
        <f t="shared" si="1"/>
        <v>8</v>
      </c>
      <c r="L59" s="534">
        <f t="shared" si="1"/>
        <v>9</v>
      </c>
      <c r="M59" s="534">
        <f t="shared" si="1"/>
        <v>10</v>
      </c>
      <c r="N59" s="534">
        <f t="shared" si="1"/>
        <v>11</v>
      </c>
      <c r="O59" s="534">
        <f t="shared" si="1"/>
        <v>12</v>
      </c>
      <c r="P59" s="534">
        <f t="shared" si="1"/>
        <v>13</v>
      </c>
      <c r="Q59" s="534">
        <f t="shared" si="1"/>
        <v>14</v>
      </c>
      <c r="R59" s="534">
        <f t="shared" si="1"/>
        <v>15</v>
      </c>
      <c r="S59" s="534">
        <f t="shared" si="1"/>
        <v>16</v>
      </c>
      <c r="T59" s="534">
        <f t="shared" si="1"/>
        <v>17</v>
      </c>
      <c r="U59" s="534">
        <f t="shared" si="1"/>
        <v>18</v>
      </c>
      <c r="V59" s="534">
        <f t="shared" si="1"/>
        <v>19</v>
      </c>
      <c r="W59" s="170" t="s">
        <v>0</v>
      </c>
      <c r="X59" s="535" t="s">
        <v>68</v>
      </c>
      <c r="Y59" s="481"/>
      <c r="Z59" s="145"/>
    </row>
    <row r="60" spans="1:26" s="49" customFormat="1" ht="12.75" customHeight="1">
      <c r="A60" s="82" t="s">
        <v>114</v>
      </c>
      <c r="B60" s="83"/>
      <c r="C60" s="84" t="s">
        <v>35</v>
      </c>
      <c r="D60" s="124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6"/>
      <c r="W60" s="120"/>
      <c r="X60" s="463"/>
      <c r="Y60" s="481"/>
      <c r="Z60" s="154"/>
    </row>
    <row r="61" spans="1:26" s="51" customFormat="1" ht="12.75" customHeight="1">
      <c r="A61" s="85">
        <v>8</v>
      </c>
      <c r="B61" s="86">
        <v>10</v>
      </c>
      <c r="C61" s="72" t="s">
        <v>9</v>
      </c>
      <c r="D61" s="85">
        <f aca="true" t="shared" si="2" ref="D61:T64">IF($C$4="inner",(-0.000001*($B50-$B48)/((D50-D48)/($G$6))),(-0.000001*($B50-$B48)/((D50-D48)/($I$6))))</f>
        <v>1.183417917466749</v>
      </c>
      <c r="E61" s="86">
        <f t="shared" si="2"/>
        <v>1.1975905871370094</v>
      </c>
      <c r="F61" s="86">
        <f t="shared" si="2"/>
        <v>1.1560556534790787</v>
      </c>
      <c r="G61" s="86">
        <f t="shared" si="2"/>
        <v>1.2578467173074253</v>
      </c>
      <c r="H61" s="86"/>
      <c r="I61" s="86">
        <f t="shared" si="2"/>
        <v>1.1428435888678894</v>
      </c>
      <c r="J61" s="86">
        <f t="shared" si="2"/>
        <v>1.1049592710048652</v>
      </c>
      <c r="K61" s="86">
        <f t="shared" si="2"/>
        <v>1.1695767722332195</v>
      </c>
      <c r="L61" s="86"/>
      <c r="M61" s="86">
        <f t="shared" si="2"/>
        <v>1.1049592710048652</v>
      </c>
      <c r="N61" s="86">
        <f t="shared" si="2"/>
        <v>1.1695767722332198</v>
      </c>
      <c r="O61" s="86">
        <f t="shared" si="2"/>
        <v>1.1695767722332202</v>
      </c>
      <c r="P61" s="86"/>
      <c r="Q61" s="86"/>
      <c r="R61" s="86">
        <f t="shared" si="2"/>
        <v>1.047108000271626</v>
      </c>
      <c r="S61" s="86">
        <f t="shared" si="2"/>
        <v>1.069506032362998</v>
      </c>
      <c r="T61" s="86">
        <f t="shared" si="2"/>
        <v>1.1834179174667492</v>
      </c>
      <c r="U61" s="460"/>
      <c r="V61" s="464"/>
      <c r="W61" s="477">
        <f>AVERAGE(D61:G61,I61:K61,M61:O61,R61:T61)</f>
        <v>1.1504950210053013</v>
      </c>
      <c r="X61" s="478">
        <f>STDEV(D61:G61,I61:K61,M61:O61,R61:T61)</f>
        <v>0.056632675640009095</v>
      </c>
      <c r="Y61" s="177">
        <v>0.6592380291799633</v>
      </c>
      <c r="Z61" s="86"/>
    </row>
    <row r="62" spans="1:26" s="51" customFormat="1" ht="12.75" customHeight="1">
      <c r="A62" s="85">
        <v>8</v>
      </c>
      <c r="B62" s="86">
        <v>10</v>
      </c>
      <c r="C62" s="72" t="s">
        <v>7</v>
      </c>
      <c r="D62" s="85">
        <f t="shared" si="2"/>
        <v>1.183417917466749</v>
      </c>
      <c r="E62" s="86">
        <f t="shared" si="2"/>
        <v>1.1560556534790787</v>
      </c>
      <c r="F62" s="86">
        <f t="shared" si="2"/>
        <v>1.16957677223322</v>
      </c>
      <c r="G62" s="86"/>
      <c r="H62" s="86"/>
      <c r="I62" s="86">
        <f t="shared" si="2"/>
        <v>1.1834179174667494</v>
      </c>
      <c r="J62" s="86">
        <f t="shared" si="2"/>
        <v>1.1428435888678892</v>
      </c>
      <c r="K62" s="86">
        <f t="shared" si="2"/>
        <v>1.16957677223322</v>
      </c>
      <c r="L62" s="86"/>
      <c r="M62" s="86">
        <f t="shared" si="2"/>
        <v>1.1428435888678892</v>
      </c>
      <c r="N62" s="86">
        <f t="shared" si="2"/>
        <v>1.1428435888678892</v>
      </c>
      <c r="O62" s="86">
        <f t="shared" si="2"/>
        <v>1.1299301019880257</v>
      </c>
      <c r="P62" s="86"/>
      <c r="Q62" s="86"/>
      <c r="R62" s="86">
        <f t="shared" si="2"/>
        <v>1.092883213398255</v>
      </c>
      <c r="S62" s="86">
        <f t="shared" si="2"/>
        <v>1.1173051846473776</v>
      </c>
      <c r="T62" s="86">
        <f t="shared" si="2"/>
        <v>1.1560556534790787</v>
      </c>
      <c r="U62" s="460"/>
      <c r="V62" s="464"/>
      <c r="W62" s="477">
        <f>AVERAGE(D62:F62,I62:K62,M62:O62,R62:T62)</f>
        <v>1.148895829416285</v>
      </c>
      <c r="X62" s="478">
        <f>STDEV(D62:F62,I62:K62,M62:O62,R62:T62)</f>
        <v>0.02687758060928573</v>
      </c>
      <c r="Y62" s="177">
        <v>0.5497688153224163</v>
      </c>
      <c r="Z62" s="86"/>
    </row>
    <row r="63" spans="1:26" s="51" customFormat="1" ht="12.75" customHeight="1">
      <c r="A63" s="85">
        <v>10</v>
      </c>
      <c r="B63" s="86">
        <v>12</v>
      </c>
      <c r="C63" s="72" t="s">
        <v>9</v>
      </c>
      <c r="D63" s="85">
        <f t="shared" si="2"/>
        <v>0.9389560002435706</v>
      </c>
      <c r="E63" s="86">
        <f t="shared" si="2"/>
        <v>0.9478560571179174</v>
      </c>
      <c r="F63" s="86">
        <f t="shared" si="2"/>
        <v>0.9950130748849779</v>
      </c>
      <c r="G63" s="86">
        <f t="shared" si="2"/>
        <v>0.9389560002435706</v>
      </c>
      <c r="H63" s="86"/>
      <c r="I63" s="86">
        <f t="shared" si="2"/>
        <v>0.9132311783190893</v>
      </c>
      <c r="J63" s="86">
        <f t="shared" si="2"/>
        <v>0.9132311783190896</v>
      </c>
      <c r="K63" s="86">
        <f t="shared" si="2"/>
        <v>0.9478560571179174</v>
      </c>
      <c r="L63" s="86"/>
      <c r="M63" s="86">
        <f t="shared" si="2"/>
        <v>0.9132311783190896</v>
      </c>
      <c r="N63" s="86">
        <f t="shared" si="2"/>
        <v>0.91323117831909</v>
      </c>
      <c r="O63" s="86">
        <f t="shared" si="2"/>
        <v>0.9389560002435706</v>
      </c>
      <c r="P63" s="86"/>
      <c r="Q63" s="86"/>
      <c r="R63" s="86">
        <f t="shared" si="2"/>
        <v>0.8438718483201711</v>
      </c>
      <c r="S63" s="86">
        <f t="shared" si="2"/>
        <v>0.82986567656382</v>
      </c>
      <c r="T63" s="86">
        <f t="shared" si="2"/>
        <v>0.9132311783190896</v>
      </c>
      <c r="U63" s="460"/>
      <c r="V63" s="464"/>
      <c r="W63" s="477">
        <f>AVERAGE(D63:G63,I63:K63,M63:O63,R63:T63)</f>
        <v>0.9190374312562282</v>
      </c>
      <c r="X63" s="478">
        <f>STDEV(D63:G63,I63:K63,M63:O63,R63:T63)</f>
        <v>0.04319876787239103</v>
      </c>
      <c r="Y63" s="177">
        <v>0.7566214107974003</v>
      </c>
      <c r="Z63" s="86"/>
    </row>
    <row r="64" spans="1:26" s="51" customFormat="1" ht="12.75" customHeight="1">
      <c r="A64" s="85">
        <v>10</v>
      </c>
      <c r="B64" s="86">
        <v>12</v>
      </c>
      <c r="C64" s="72" t="s">
        <v>7</v>
      </c>
      <c r="D64" s="85">
        <f t="shared" si="2"/>
        <v>0.9008902164499127</v>
      </c>
      <c r="E64" s="86">
        <f t="shared" si="2"/>
        <v>0.9345683553826201</v>
      </c>
      <c r="F64" s="86">
        <f t="shared" si="2"/>
        <v>0.9174203121645901</v>
      </c>
      <c r="G64" s="86"/>
      <c r="H64" s="86"/>
      <c r="I64" s="86">
        <f t="shared" si="2"/>
        <v>0.9259149446846323</v>
      </c>
      <c r="J64" s="86">
        <f t="shared" si="2"/>
        <v>0.9174203121645901</v>
      </c>
      <c r="K64" s="86">
        <f t="shared" si="2"/>
        <v>0.8771825791749147</v>
      </c>
      <c r="L64" s="86"/>
      <c r="M64" s="86">
        <f t="shared" si="2"/>
        <v>0.9090801275085485</v>
      </c>
      <c r="N64" s="86">
        <f t="shared" si="2"/>
        <v>0.8928465538030386</v>
      </c>
      <c r="O64" s="86">
        <f t="shared" si="2"/>
        <v>0.9174203121645901</v>
      </c>
      <c r="P64" s="86"/>
      <c r="Q64" s="86"/>
      <c r="R64" s="86">
        <f t="shared" si="2"/>
        <v>0.9345683553826197</v>
      </c>
      <c r="S64" s="86">
        <f t="shared" si="2"/>
        <v>0.9008902164499124</v>
      </c>
      <c r="T64" s="86">
        <f t="shared" si="2"/>
        <v>0.9008902164499124</v>
      </c>
      <c r="U64" s="460"/>
      <c r="V64" s="464"/>
      <c r="W64" s="477">
        <f>AVERAGE(D64:F64,I64:K64,M64:O64,R64:T64)</f>
        <v>0.9107577084816568</v>
      </c>
      <c r="X64" s="478">
        <f>STDEV(D64:F64,I64:K64,M64:O64,R64:T64)</f>
        <v>0.017161854448695685</v>
      </c>
      <c r="Y64" s="177">
        <v>0.6417410813310411</v>
      </c>
      <c r="Z64" s="86"/>
    </row>
    <row r="65" spans="1:26" s="51" customFormat="1" ht="12.75" customHeight="1">
      <c r="A65" s="85">
        <v>12</v>
      </c>
      <c r="B65" s="86">
        <v>14</v>
      </c>
      <c r="C65" s="72" t="s">
        <v>9</v>
      </c>
      <c r="D65" s="85">
        <f>IF($C$4="inner",(-0.000001*($B54-$B52)/((D54-D52)/($G$6))),(-0.000001*(#REF!-#REF!)/((D54-D52)/($I$6))))</f>
        <v>1.2345532595795115</v>
      </c>
      <c r="E65" s="86">
        <f>IF($C$4="inner",(-0.000001*($B54-$B52)/((E54-E52)/($G$6))),(-0.000001*(#REF!-#REF!)/((E54-E52)/($I$6))))</f>
        <v>1.176456635599299</v>
      </c>
      <c r="F65" s="86">
        <f>IF($C$4="inner",(-0.000001*($B54-$B52)/((F54-F52)/($G$6))),(-0.000001*(#REF!-#REF!)/((F54-F52)/($I$6))))</f>
        <v>1.1764566355992983</v>
      </c>
      <c r="G65" s="86">
        <f>IF($C$4="inner",(-0.000001*($B54-$B52)/((G54-G52)/($G$6))),(-0.000001*(#REF!-#REF!)/((G54-G52)/($I$6))))</f>
        <v>1.2658077724802588</v>
      </c>
      <c r="H65" s="86"/>
      <c r="I65" s="86">
        <f>IF($C$4="inner",(-0.000001*($B54-$B52)/((I54-I52)/($G$6))),(-0.000001*(#REF!-#REF!)/((I54-I52)/($I$6))))</f>
        <v>1.0869436307167428</v>
      </c>
      <c r="J65" s="86">
        <f>IF($C$4="inner",(-0.000001*($B54-$B52)/((J54-J52)/($G$6))),(-0.000001*(#REF!-#REF!)/((J54-J52)/($I$6))))</f>
        <v>1.1110979336215594</v>
      </c>
      <c r="K65" s="86">
        <f>IF($C$4="inner",(-0.000001*($B54-$B52)/((K54-K52)/($G$6))),(-0.000001*(#REF!-#REF!)/((K54-K52)/($I$6))))</f>
        <v>1.1494116554705793</v>
      </c>
      <c r="L65" s="86"/>
      <c r="M65" s="86">
        <f>IF($C$4="inner",(-0.000001*($B54-$B52)/((M54-M52)/($G$6))),(-0.000001*(#REF!-#REF!)/((M54-M52)/($I$6))))</f>
        <v>1.063817170488727</v>
      </c>
      <c r="N65" s="86">
        <f>IF($C$4="inner",(-0.000001*($B54-$B52)/((N54-N52)/($G$6))),(-0.000001*(#REF!-#REF!)/((N54-N52)/($I$6))))</f>
        <v>1.098888066219124</v>
      </c>
      <c r="O65" s="86">
        <f>IF($C$4="inner",(-0.000001*($B54-$B52)/((O54-O52)/($G$6))),(-0.000001*(#REF!-#REF!)/((O54-O52)/($I$6))))</f>
        <v>1.1494116554705793</v>
      </c>
      <c r="P65" s="86"/>
      <c r="Q65" s="86"/>
      <c r="R65" s="86">
        <f>IF($C$4="inner",(-0.000001*($B54-$B52)/((R54-R52)/($G$6))),(-0.000001*(#REF!-#REF!)/((R54-R52)/($I$6))))</f>
        <v>0.9900872675835678</v>
      </c>
      <c r="S65" s="86">
        <f>IF($C$4="inner",(-0.000001*($B54-$B52)/((S54-S52)/($G$6))),(-0.000001*(#REF!-#REF!)/((S54-S52)/($I$6))))</f>
        <v>1.020396061489187</v>
      </c>
      <c r="T65" s="86">
        <f>IF($C$4="inner",(-0.000001*($B54-$B52)/((T54-T52)/($G$6))),(-0.000001*(#REF!-#REF!)/((T54-T52)/($I$6))))</f>
        <v>1.2499851753242548</v>
      </c>
      <c r="U65" s="460"/>
      <c r="V65" s="464"/>
      <c r="W65" s="477">
        <f>AVERAGE(D65:G65,I65:K65,M65:O65,R65:T65)</f>
        <v>1.136408686126361</v>
      </c>
      <c r="X65" s="478">
        <f>STDEV(D65:G65,I65:K65,M65:O65,R65:T65)</f>
        <v>0.08536957315253642</v>
      </c>
      <c r="Y65" s="177">
        <v>0.5705052406586181</v>
      </c>
      <c r="Z65" s="86"/>
    </row>
    <row r="66" spans="1:26" s="51" customFormat="1" ht="12.75" customHeight="1">
      <c r="A66" s="85">
        <v>12</v>
      </c>
      <c r="B66" s="86">
        <v>14</v>
      </c>
      <c r="C66" s="72" t="s">
        <v>7</v>
      </c>
      <c r="D66" s="85">
        <f>IF($C$4="inner",(-0.000001*($B55-$B53)/((D55-D53)/($G$6))),(-0.000001*(#REF!-#REF!)/((D55-D53)/($I$6))))</f>
        <v>1.19759058713701</v>
      </c>
      <c r="E66" s="86">
        <f>IF($C$4="inner",(-0.000001*($B55-$B53)/((E55-E53)/($G$6))),(-0.000001*(#REF!-#REF!)/((E55-E53)/($I$6))))</f>
        <v>1.1428435888678883</v>
      </c>
      <c r="F66" s="86">
        <f>IF($C$4="inner",(-0.000001*($B55-$B53)/((F55-F53)/($G$6))),(-0.000001*(#REF!-#REF!)/((F55-F53)/($I$6))))</f>
        <v>1.2269793132017206</v>
      </c>
      <c r="G66" s="86"/>
      <c r="H66" s="86"/>
      <c r="I66" s="86">
        <f>IF($C$4="inner",(-0.000001*($B55-$B53)/((I55-I53)/($G$6))),(-0.000001*(#REF!-#REF!)/((I55-I53)/($I$6))))</f>
        <v>1.1428435888678894</v>
      </c>
      <c r="J66" s="86">
        <f>IF($C$4="inner",(-0.000001*($B55-$B53)/((J55-J53)/($G$6))),(-0.000001*(#REF!-#REF!)/((J55-J53)/($I$6))))</f>
        <v>1.212106836678064</v>
      </c>
      <c r="K66" s="86">
        <f>IF($C$4="inner",(-0.000001*($B55-$B53)/((K55-K53)/($G$6))),(-0.000001*(#REF!-#REF!)/((K55-K53)/($I$6))))</f>
        <v>1.307174039554775</v>
      </c>
      <c r="L66" s="86"/>
      <c r="M66" s="86">
        <f>IF($C$4="inner",(-0.000001*($B55-$B53)/((M55-M53)/($G$6))),(-0.000001*(#REF!-#REF!)/((M55-M53)/($I$6))))</f>
        <v>1.1834179174667487</v>
      </c>
      <c r="N66" s="86">
        <f>IF($C$4="inner",(-0.000001*($B55-$B53)/((N55-N53)/($G$6))),(-0.000001*(#REF!-#REF!)/((N55-N53)/($I$6))))</f>
        <v>1.1695767722332202</v>
      </c>
      <c r="O66" s="86">
        <f>IF($C$4="inner",(-0.000001*($B55-$B53)/((O55-O53)/($G$6))),(-0.000001*(#REF!-#REF!)/((O55-O53)/($I$6))))</f>
        <v>1.226979313201722</v>
      </c>
      <c r="P66" s="86"/>
      <c r="Q66" s="86"/>
      <c r="R66" s="86">
        <f>IF($C$4="inner",(-0.000001*($B55-$B53)/((R55-R53)/($G$6))),(-0.000001*(#REF!-#REF!)/((R55-R53)/($I$6))))</f>
        <v>1.1049592710048652</v>
      </c>
      <c r="S66" s="86">
        <f>IF($C$4="inner",(-0.000001*($B55-$B53)/((S55-S53)/($G$6))),(-0.000001*(#REF!-#REF!)/((S55-S53)/($I$6))))</f>
        <v>1.212106836678064</v>
      </c>
      <c r="T66" s="86">
        <f>IF($C$4="inner",(-0.000001*($B55-$B53)/((T55-T53)/($G$6))),(-0.000001*(#REF!-#REF!)/((T55-T53)/($I$6))))</f>
        <v>1.2121068366780654</v>
      </c>
      <c r="U66" s="460"/>
      <c r="V66" s="464"/>
      <c r="W66" s="477">
        <f>AVERAGE(D66:F66,I66:K66,M66:O66,R66:T66)</f>
        <v>1.1948904084641696</v>
      </c>
      <c r="X66" s="478">
        <f>STDEV(D66:F66,I66:K66,M66:O66,R66:T66)</f>
        <v>0.05208495434944044</v>
      </c>
      <c r="Y66" s="177">
        <v>0.6714426174840732</v>
      </c>
      <c r="Z66" s="86"/>
    </row>
    <row r="67" spans="1:26" s="51" customFormat="1" ht="12.75" customHeight="1">
      <c r="A67" s="85">
        <v>10</v>
      </c>
      <c r="B67" s="86">
        <v>14</v>
      </c>
      <c r="C67" s="72" t="s">
        <v>9</v>
      </c>
      <c r="D67" s="85">
        <f aca="true" t="shared" si="3" ref="D67:T68">IF($C$4="inner",(-0.000001*($B54-$B50)/((D54-D50)/($G$6))),(-0.000001*($B54-$B50)/((D54-D50)/($I$6))))</f>
        <v>1.0666540162766969</v>
      </c>
      <c r="E67" s="86">
        <f t="shared" si="3"/>
        <v>1.0498563152329694</v>
      </c>
      <c r="F67" s="86">
        <f t="shared" si="3"/>
        <v>1.0781543291206503</v>
      </c>
      <c r="G67" s="86">
        <f t="shared" si="3"/>
        <v>1.0781543291206506</v>
      </c>
      <c r="H67" s="86"/>
      <c r="I67" s="86">
        <f t="shared" si="3"/>
        <v>0.9925440598108218</v>
      </c>
      <c r="J67" s="86">
        <f t="shared" si="3"/>
        <v>1.002494376199903</v>
      </c>
      <c r="K67" s="86">
        <f t="shared" si="3"/>
        <v>1.0389487171526268</v>
      </c>
      <c r="L67" s="86"/>
      <c r="M67" s="86">
        <f t="shared" si="3"/>
        <v>0.9827893270362684</v>
      </c>
      <c r="N67" s="86">
        <f t="shared" si="3"/>
        <v>0.9974944042487811</v>
      </c>
      <c r="O67" s="86">
        <f t="shared" si="3"/>
        <v>1.0335794731363341</v>
      </c>
      <c r="P67" s="86"/>
      <c r="Q67" s="86"/>
      <c r="R67" s="86">
        <f t="shared" si="3"/>
        <v>0.9111509250655153</v>
      </c>
      <c r="S67" s="86">
        <f t="shared" si="3"/>
        <v>0.9153209521825201</v>
      </c>
      <c r="T67" s="86">
        <f t="shared" si="3"/>
        <v>1.0553964540996341</v>
      </c>
      <c r="U67" s="460"/>
      <c r="V67" s="464"/>
      <c r="W67" s="477">
        <f>AVERAGE(D67:G67,I67:K67,M67:O67,R67:T67)</f>
        <v>1.0155798214371825</v>
      </c>
      <c r="X67" s="478">
        <f>STDEV(D67:G67,I67:K67,M67:O67,R67:T67)</f>
        <v>0.055626324481795594</v>
      </c>
      <c r="Y67" s="177">
        <v>0.6503348931170524</v>
      </c>
      <c r="Z67" s="86"/>
    </row>
    <row r="68" spans="1:26" s="51" customFormat="1" ht="12.75" customHeight="1">
      <c r="A68" s="87">
        <v>10</v>
      </c>
      <c r="B68" s="88">
        <v>14</v>
      </c>
      <c r="C68" s="89" t="s">
        <v>7</v>
      </c>
      <c r="D68" s="87">
        <f t="shared" si="3"/>
        <v>1.0282654398554276</v>
      </c>
      <c r="E68" s="88">
        <f t="shared" si="3"/>
        <v>1.0282654398554272</v>
      </c>
      <c r="F68" s="88">
        <f t="shared" si="3"/>
        <v>1.049856315232969</v>
      </c>
      <c r="G68" s="88"/>
      <c r="H68" s="88"/>
      <c r="I68" s="88">
        <f t="shared" si="3"/>
        <v>1.0230057700863457</v>
      </c>
      <c r="J68" s="88">
        <f t="shared" si="3"/>
        <v>1.0443740368244419</v>
      </c>
      <c r="K68" s="88">
        <f t="shared" si="3"/>
        <v>1.049856315232969</v>
      </c>
      <c r="L68" s="88"/>
      <c r="M68" s="88">
        <f t="shared" si="3"/>
        <v>1.0282654398554274</v>
      </c>
      <c r="N68" s="88">
        <f t="shared" si="3"/>
        <v>1.012646217984206</v>
      </c>
      <c r="O68" s="88">
        <f t="shared" si="3"/>
        <v>1.0498563152329694</v>
      </c>
      <c r="P68" s="88"/>
      <c r="Q68" s="88"/>
      <c r="R68" s="88">
        <f t="shared" si="3"/>
        <v>1.0126462179842057</v>
      </c>
      <c r="S68" s="88">
        <f t="shared" si="3"/>
        <v>1.0335794731363337</v>
      </c>
      <c r="T68" s="88">
        <f t="shared" si="3"/>
        <v>1.0335794731363341</v>
      </c>
      <c r="U68" s="472"/>
      <c r="V68" s="473"/>
      <c r="W68" s="482">
        <f>AVERAGE(D68:F68,I68:K68,M68:O68,R68:T68)</f>
        <v>1.0328497045347544</v>
      </c>
      <c r="X68" s="483">
        <f>STDEV(D68:F68,I68:K68,M68:O68,R68:T68)</f>
        <v>0.013409159055900384</v>
      </c>
      <c r="Y68" s="177">
        <v>0.655979508273607</v>
      </c>
      <c r="Z68" s="88"/>
    </row>
    <row r="69" spans="1:26" s="49" customFormat="1" ht="12.75" customHeight="1">
      <c r="A69" s="3"/>
      <c r="B69" s="3"/>
      <c r="C69" s="3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Y69" s="481"/>
      <c r="Z69" s="3"/>
    </row>
    <row r="70" spans="1:31" s="49" customFormat="1" ht="12.75" customHeight="1">
      <c r="A70" s="67" t="s">
        <v>69</v>
      </c>
      <c r="D70" s="462" t="str">
        <f>$C$3</f>
        <v>I-001 5th sizing</v>
      </c>
      <c r="E70" s="462"/>
      <c r="F70" s="462" t="str">
        <f>$C$4</f>
        <v>inner</v>
      </c>
      <c r="G70" s="462" t="s">
        <v>115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7"/>
      <c r="Y70" s="481"/>
      <c r="AA70" s="67" t="s">
        <v>69</v>
      </c>
      <c r="AD70" s="51" t="str">
        <f>D70</f>
        <v>I-001 5th sizing</v>
      </c>
      <c r="AE70" s="51" t="str">
        <f>F70</f>
        <v>inner</v>
      </c>
    </row>
    <row r="71" spans="1:31" s="173" customFormat="1" ht="12.75" customHeight="1">
      <c r="A71" s="144" t="s">
        <v>116</v>
      </c>
      <c r="B71" s="141"/>
      <c r="C71" s="142"/>
      <c r="D71" s="170">
        <v>1</v>
      </c>
      <c r="E71" s="171">
        <f aca="true" t="shared" si="4" ref="E71:V71">D71+1</f>
        <v>2</v>
      </c>
      <c r="F71" s="171">
        <f t="shared" si="4"/>
        <v>3</v>
      </c>
      <c r="G71" s="171">
        <f t="shared" si="4"/>
        <v>4</v>
      </c>
      <c r="H71" s="171">
        <f t="shared" si="4"/>
        <v>5</v>
      </c>
      <c r="I71" s="171">
        <f t="shared" si="4"/>
        <v>6</v>
      </c>
      <c r="J71" s="171">
        <f t="shared" si="4"/>
        <v>7</v>
      </c>
      <c r="K71" s="171">
        <f t="shared" si="4"/>
        <v>8</v>
      </c>
      <c r="L71" s="171">
        <f t="shared" si="4"/>
        <v>9</v>
      </c>
      <c r="M71" s="171">
        <f t="shared" si="4"/>
        <v>10</v>
      </c>
      <c r="N71" s="171">
        <f t="shared" si="4"/>
        <v>11</v>
      </c>
      <c r="O71" s="171">
        <f t="shared" si="4"/>
        <v>12</v>
      </c>
      <c r="P71" s="171">
        <f t="shared" si="4"/>
        <v>13</v>
      </c>
      <c r="Q71" s="171">
        <f t="shared" si="4"/>
        <v>14</v>
      </c>
      <c r="R71" s="171">
        <f t="shared" si="4"/>
        <v>15</v>
      </c>
      <c r="S71" s="171">
        <f t="shared" si="4"/>
        <v>16</v>
      </c>
      <c r="T71" s="171">
        <f t="shared" si="4"/>
        <v>17</v>
      </c>
      <c r="U71" s="171">
        <f t="shared" si="4"/>
        <v>18</v>
      </c>
      <c r="V71" s="171">
        <f t="shared" si="4"/>
        <v>19</v>
      </c>
      <c r="W71" s="422" t="s">
        <v>0</v>
      </c>
      <c r="X71" s="429" t="s">
        <v>117</v>
      </c>
      <c r="Y71" s="481"/>
      <c r="Z71" s="148"/>
      <c r="AA71" s="144" t="s">
        <v>116</v>
      </c>
      <c r="AB71" s="141"/>
      <c r="AC71" s="142"/>
      <c r="AD71" s="171" t="s">
        <v>0</v>
      </c>
      <c r="AE71" s="172" t="s">
        <v>117</v>
      </c>
    </row>
    <row r="72" spans="1:31" s="173" customFormat="1" ht="12.75" customHeight="1">
      <c r="A72" s="144" t="s">
        <v>118</v>
      </c>
      <c r="B72" s="141"/>
      <c r="C72" s="142"/>
      <c r="D72" s="170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2"/>
      <c r="Y72" s="481"/>
      <c r="Z72" s="148"/>
      <c r="AA72" s="144" t="s">
        <v>118</v>
      </c>
      <c r="AB72" s="141"/>
      <c r="AC72" s="142"/>
      <c r="AD72" s="171"/>
      <c r="AE72" s="172"/>
    </row>
    <row r="73" spans="1:31" s="49" customFormat="1" ht="12.75" customHeight="1">
      <c r="A73" s="82" t="s">
        <v>114</v>
      </c>
      <c r="B73" s="83"/>
      <c r="C73" s="84" t="s">
        <v>35</v>
      </c>
      <c r="D73" s="124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6"/>
      <c r="W73" s="151"/>
      <c r="X73" s="129"/>
      <c r="Y73" s="481"/>
      <c r="Z73" s="154"/>
      <c r="AA73" s="82" t="s">
        <v>114</v>
      </c>
      <c r="AB73" s="83"/>
      <c r="AC73" s="84" t="s">
        <v>35</v>
      </c>
      <c r="AD73" s="151"/>
      <c r="AE73" s="129"/>
    </row>
    <row r="74" spans="1:31" s="51" customFormat="1" ht="12.75" customHeight="1">
      <c r="A74" s="71">
        <f aca="true" t="shared" si="5" ref="A74:B81">A61</f>
        <v>8</v>
      </c>
      <c r="B74" s="56">
        <f t="shared" si="5"/>
        <v>10</v>
      </c>
      <c r="C74" s="72" t="s">
        <v>6</v>
      </c>
      <c r="D74" s="80">
        <f aca="true" t="shared" si="6" ref="D74:T81">D61</f>
        <v>1.183417917466749</v>
      </c>
      <c r="E74" s="81">
        <f t="shared" si="6"/>
        <v>1.1975905871370094</v>
      </c>
      <c r="F74" s="81">
        <f t="shared" si="6"/>
        <v>1.1560556534790787</v>
      </c>
      <c r="G74" s="81">
        <f t="shared" si="6"/>
        <v>1.2578467173074253</v>
      </c>
      <c r="H74" s="81"/>
      <c r="I74" s="81">
        <f t="shared" si="6"/>
        <v>1.1428435888678894</v>
      </c>
      <c r="J74" s="81">
        <f t="shared" si="6"/>
        <v>1.1049592710048652</v>
      </c>
      <c r="K74" s="81">
        <f t="shared" si="6"/>
        <v>1.1695767722332195</v>
      </c>
      <c r="L74" s="81"/>
      <c r="M74" s="81">
        <f t="shared" si="6"/>
        <v>1.1049592710048652</v>
      </c>
      <c r="N74" s="81">
        <f t="shared" si="6"/>
        <v>1.1695767722332198</v>
      </c>
      <c r="O74" s="81">
        <f t="shared" si="6"/>
        <v>1.1695767722332202</v>
      </c>
      <c r="P74" s="81"/>
      <c r="Q74" s="81"/>
      <c r="R74" s="81">
        <f t="shared" si="6"/>
        <v>1.047108000271626</v>
      </c>
      <c r="S74" s="81">
        <f t="shared" si="6"/>
        <v>1.069506032362998</v>
      </c>
      <c r="T74" s="81">
        <f t="shared" si="6"/>
        <v>1.1834179174667492</v>
      </c>
      <c r="U74" s="460"/>
      <c r="V74" s="464"/>
      <c r="W74" s="86">
        <f>W61</f>
        <v>1.1504950210053013</v>
      </c>
      <c r="X74" s="72">
        <f>X61</f>
        <v>0.056632675640009095</v>
      </c>
      <c r="Y74" s="481"/>
      <c r="Z74" s="86"/>
      <c r="AA74" s="71">
        <f aca="true" t="shared" si="7" ref="AA74:AB81">A74</f>
        <v>8</v>
      </c>
      <c r="AB74" s="56">
        <f t="shared" si="7"/>
        <v>10</v>
      </c>
      <c r="AC74" s="72" t="s">
        <v>9</v>
      </c>
      <c r="AD74" s="86">
        <f aca="true" t="shared" si="8" ref="AD74:AE81">W74</f>
        <v>1.1504950210053013</v>
      </c>
      <c r="AE74" s="72">
        <f t="shared" si="8"/>
        <v>0.056632675640009095</v>
      </c>
    </row>
    <row r="75" spans="1:31" s="51" customFormat="1" ht="12.75" customHeight="1">
      <c r="A75" s="71">
        <f t="shared" si="5"/>
        <v>8</v>
      </c>
      <c r="B75" s="56">
        <f t="shared" si="5"/>
        <v>10</v>
      </c>
      <c r="C75" s="72" t="s">
        <v>8</v>
      </c>
      <c r="D75" s="80">
        <f t="shared" si="6"/>
        <v>1.183417917466749</v>
      </c>
      <c r="E75" s="81">
        <f t="shared" si="6"/>
        <v>1.1560556534790787</v>
      </c>
      <c r="F75" s="81">
        <f t="shared" si="6"/>
        <v>1.16957677223322</v>
      </c>
      <c r="G75" s="81"/>
      <c r="H75" s="81"/>
      <c r="I75" s="81">
        <f t="shared" si="6"/>
        <v>1.1834179174667494</v>
      </c>
      <c r="J75" s="81">
        <f t="shared" si="6"/>
        <v>1.1428435888678892</v>
      </c>
      <c r="K75" s="81">
        <f t="shared" si="6"/>
        <v>1.16957677223322</v>
      </c>
      <c r="L75" s="81"/>
      <c r="M75" s="81">
        <f t="shared" si="6"/>
        <v>1.1428435888678892</v>
      </c>
      <c r="N75" s="81">
        <f t="shared" si="6"/>
        <v>1.1428435888678892</v>
      </c>
      <c r="O75" s="81">
        <f t="shared" si="6"/>
        <v>1.1299301019880257</v>
      </c>
      <c r="P75" s="81"/>
      <c r="Q75" s="81"/>
      <c r="R75" s="81">
        <f t="shared" si="6"/>
        <v>1.092883213398255</v>
      </c>
      <c r="S75" s="81">
        <f t="shared" si="6"/>
        <v>1.1173051846473776</v>
      </c>
      <c r="T75" s="81">
        <f t="shared" si="6"/>
        <v>1.1560556534790787</v>
      </c>
      <c r="U75" s="460"/>
      <c r="V75" s="464"/>
      <c r="W75" s="86">
        <f aca="true" t="shared" si="9" ref="W75:X81">W62</f>
        <v>1.148895829416285</v>
      </c>
      <c r="X75" s="72">
        <f t="shared" si="9"/>
        <v>0.02687758060928573</v>
      </c>
      <c r="Y75" s="481"/>
      <c r="Z75" s="86"/>
      <c r="AA75" s="71">
        <f t="shared" si="7"/>
        <v>8</v>
      </c>
      <c r="AB75" s="56">
        <f t="shared" si="7"/>
        <v>10</v>
      </c>
      <c r="AC75" s="72" t="s">
        <v>7</v>
      </c>
      <c r="AD75" s="86">
        <f t="shared" si="8"/>
        <v>1.148895829416285</v>
      </c>
      <c r="AE75" s="72">
        <f t="shared" si="8"/>
        <v>0.02687758060928573</v>
      </c>
    </row>
    <row r="76" spans="1:31" s="51" customFormat="1" ht="12.75" customHeight="1">
      <c r="A76" s="71">
        <f t="shared" si="5"/>
        <v>10</v>
      </c>
      <c r="B76" s="56">
        <f t="shared" si="5"/>
        <v>12</v>
      </c>
      <c r="C76" s="72" t="s">
        <v>6</v>
      </c>
      <c r="D76" s="80">
        <f t="shared" si="6"/>
        <v>0.9389560002435706</v>
      </c>
      <c r="E76" s="81">
        <f t="shared" si="6"/>
        <v>0.9478560571179174</v>
      </c>
      <c r="F76" s="81">
        <f t="shared" si="6"/>
        <v>0.9950130748849779</v>
      </c>
      <c r="G76" s="81">
        <f t="shared" si="6"/>
        <v>0.9389560002435706</v>
      </c>
      <c r="H76" s="81"/>
      <c r="I76" s="81">
        <f t="shared" si="6"/>
        <v>0.9132311783190893</v>
      </c>
      <c r="J76" s="81">
        <f t="shared" si="6"/>
        <v>0.9132311783190896</v>
      </c>
      <c r="K76" s="81">
        <f t="shared" si="6"/>
        <v>0.9478560571179174</v>
      </c>
      <c r="L76" s="81"/>
      <c r="M76" s="81">
        <f t="shared" si="6"/>
        <v>0.9132311783190896</v>
      </c>
      <c r="N76" s="81">
        <f t="shared" si="6"/>
        <v>0.91323117831909</v>
      </c>
      <c r="O76" s="81">
        <f t="shared" si="6"/>
        <v>0.9389560002435706</v>
      </c>
      <c r="P76" s="81"/>
      <c r="Q76" s="81"/>
      <c r="R76" s="81">
        <f t="shared" si="6"/>
        <v>0.8438718483201711</v>
      </c>
      <c r="S76" s="81">
        <f t="shared" si="6"/>
        <v>0.82986567656382</v>
      </c>
      <c r="T76" s="81">
        <f t="shared" si="6"/>
        <v>0.9132311783190896</v>
      </c>
      <c r="U76" s="460"/>
      <c r="V76" s="464"/>
      <c r="W76" s="86">
        <f t="shared" si="9"/>
        <v>0.9190374312562282</v>
      </c>
      <c r="X76" s="72">
        <f t="shared" si="9"/>
        <v>0.04319876787239103</v>
      </c>
      <c r="Y76" s="481"/>
      <c r="Z76" s="86"/>
      <c r="AA76" s="71">
        <f t="shared" si="7"/>
        <v>10</v>
      </c>
      <c r="AB76" s="56">
        <f t="shared" si="7"/>
        <v>12</v>
      </c>
      <c r="AC76" s="72" t="s">
        <v>9</v>
      </c>
      <c r="AD76" s="86">
        <f t="shared" si="8"/>
        <v>0.9190374312562282</v>
      </c>
      <c r="AE76" s="72">
        <f t="shared" si="8"/>
        <v>0.04319876787239103</v>
      </c>
    </row>
    <row r="77" spans="1:31" s="51" customFormat="1" ht="12.75" customHeight="1">
      <c r="A77" s="71">
        <f t="shared" si="5"/>
        <v>10</v>
      </c>
      <c r="B77" s="56">
        <f t="shared" si="5"/>
        <v>12</v>
      </c>
      <c r="C77" s="72" t="s">
        <v>8</v>
      </c>
      <c r="D77" s="80">
        <f t="shared" si="6"/>
        <v>0.9008902164499127</v>
      </c>
      <c r="E77" s="81">
        <f t="shared" si="6"/>
        <v>0.9345683553826201</v>
      </c>
      <c r="F77" s="81">
        <f t="shared" si="6"/>
        <v>0.9174203121645901</v>
      </c>
      <c r="G77" s="81"/>
      <c r="H77" s="81"/>
      <c r="I77" s="81">
        <f t="shared" si="6"/>
        <v>0.9259149446846323</v>
      </c>
      <c r="J77" s="81">
        <f t="shared" si="6"/>
        <v>0.9174203121645901</v>
      </c>
      <c r="K77" s="81">
        <f t="shared" si="6"/>
        <v>0.8771825791749147</v>
      </c>
      <c r="L77" s="81"/>
      <c r="M77" s="81">
        <f t="shared" si="6"/>
        <v>0.9090801275085485</v>
      </c>
      <c r="N77" s="81">
        <f t="shared" si="6"/>
        <v>0.8928465538030386</v>
      </c>
      <c r="O77" s="81">
        <f t="shared" si="6"/>
        <v>0.9174203121645901</v>
      </c>
      <c r="P77" s="81"/>
      <c r="Q77" s="81"/>
      <c r="R77" s="81">
        <f t="shared" si="6"/>
        <v>0.9345683553826197</v>
      </c>
      <c r="S77" s="81">
        <f t="shared" si="6"/>
        <v>0.9008902164499124</v>
      </c>
      <c r="T77" s="81">
        <f t="shared" si="6"/>
        <v>0.9008902164499124</v>
      </c>
      <c r="U77" s="460"/>
      <c r="V77" s="464"/>
      <c r="W77" s="86">
        <f t="shared" si="9"/>
        <v>0.9107577084816568</v>
      </c>
      <c r="X77" s="72">
        <f t="shared" si="9"/>
        <v>0.017161854448695685</v>
      </c>
      <c r="Y77" s="481"/>
      <c r="Z77" s="86"/>
      <c r="AA77" s="71">
        <f t="shared" si="7"/>
        <v>10</v>
      </c>
      <c r="AB77" s="56">
        <f t="shared" si="7"/>
        <v>12</v>
      </c>
      <c r="AC77" s="72" t="s">
        <v>7</v>
      </c>
      <c r="AD77" s="86">
        <f t="shared" si="8"/>
        <v>0.9107577084816568</v>
      </c>
      <c r="AE77" s="72">
        <f t="shared" si="8"/>
        <v>0.017161854448695685</v>
      </c>
    </row>
    <row r="78" spans="1:31" s="51" customFormat="1" ht="12.75" customHeight="1">
      <c r="A78" s="71">
        <f t="shared" si="5"/>
        <v>12</v>
      </c>
      <c r="B78" s="56">
        <f t="shared" si="5"/>
        <v>14</v>
      </c>
      <c r="C78" s="72" t="s">
        <v>6</v>
      </c>
      <c r="D78" s="80">
        <f t="shared" si="6"/>
        <v>1.2345532595795115</v>
      </c>
      <c r="E78" s="81">
        <f t="shared" si="6"/>
        <v>1.176456635599299</v>
      </c>
      <c r="F78" s="81">
        <f t="shared" si="6"/>
        <v>1.1764566355992983</v>
      </c>
      <c r="G78" s="81">
        <f t="shared" si="6"/>
        <v>1.2658077724802588</v>
      </c>
      <c r="H78" s="81"/>
      <c r="I78" s="81">
        <f t="shared" si="6"/>
        <v>1.0869436307167428</v>
      </c>
      <c r="J78" s="81">
        <f t="shared" si="6"/>
        <v>1.1110979336215594</v>
      </c>
      <c r="K78" s="81">
        <f t="shared" si="6"/>
        <v>1.1494116554705793</v>
      </c>
      <c r="L78" s="81"/>
      <c r="M78" s="81">
        <f t="shared" si="6"/>
        <v>1.063817170488727</v>
      </c>
      <c r="N78" s="81">
        <f t="shared" si="6"/>
        <v>1.098888066219124</v>
      </c>
      <c r="O78" s="81">
        <f t="shared" si="6"/>
        <v>1.1494116554705793</v>
      </c>
      <c r="P78" s="81"/>
      <c r="Q78" s="81"/>
      <c r="R78" s="81">
        <f t="shared" si="6"/>
        <v>0.9900872675835678</v>
      </c>
      <c r="S78" s="81">
        <f t="shared" si="6"/>
        <v>1.020396061489187</v>
      </c>
      <c r="T78" s="81">
        <f t="shared" si="6"/>
        <v>1.2499851753242548</v>
      </c>
      <c r="U78" s="460"/>
      <c r="V78" s="464"/>
      <c r="W78" s="86">
        <f t="shared" si="9"/>
        <v>1.136408686126361</v>
      </c>
      <c r="X78" s="72">
        <f t="shared" si="9"/>
        <v>0.08536957315253642</v>
      </c>
      <c r="Y78" s="481"/>
      <c r="Z78" s="86"/>
      <c r="AA78" s="71">
        <f t="shared" si="7"/>
        <v>12</v>
      </c>
      <c r="AB78" s="56">
        <f t="shared" si="7"/>
        <v>14</v>
      </c>
      <c r="AC78" s="72" t="s">
        <v>9</v>
      </c>
      <c r="AD78" s="86">
        <f t="shared" si="8"/>
        <v>1.136408686126361</v>
      </c>
      <c r="AE78" s="72">
        <f t="shared" si="8"/>
        <v>0.08536957315253642</v>
      </c>
    </row>
    <row r="79" spans="1:31" s="51" customFormat="1" ht="12.75" customHeight="1">
      <c r="A79" s="71">
        <f t="shared" si="5"/>
        <v>12</v>
      </c>
      <c r="B79" s="56">
        <f t="shared" si="5"/>
        <v>14</v>
      </c>
      <c r="C79" s="72" t="s">
        <v>8</v>
      </c>
      <c r="D79" s="80">
        <f t="shared" si="6"/>
        <v>1.19759058713701</v>
      </c>
      <c r="E79" s="81">
        <f t="shared" si="6"/>
        <v>1.1428435888678883</v>
      </c>
      <c r="F79" s="81">
        <f t="shared" si="6"/>
        <v>1.2269793132017206</v>
      </c>
      <c r="G79" s="81"/>
      <c r="H79" s="81"/>
      <c r="I79" s="81">
        <f t="shared" si="6"/>
        <v>1.1428435888678894</v>
      </c>
      <c r="J79" s="81">
        <f t="shared" si="6"/>
        <v>1.212106836678064</v>
      </c>
      <c r="K79" s="81">
        <f t="shared" si="6"/>
        <v>1.307174039554775</v>
      </c>
      <c r="L79" s="81"/>
      <c r="M79" s="81">
        <f t="shared" si="6"/>
        <v>1.1834179174667487</v>
      </c>
      <c r="N79" s="81">
        <f t="shared" si="6"/>
        <v>1.1695767722332202</v>
      </c>
      <c r="O79" s="81">
        <f t="shared" si="6"/>
        <v>1.226979313201722</v>
      </c>
      <c r="P79" s="81"/>
      <c r="Q79" s="81"/>
      <c r="R79" s="81">
        <f t="shared" si="6"/>
        <v>1.1049592710048652</v>
      </c>
      <c r="S79" s="81">
        <f t="shared" si="6"/>
        <v>1.212106836678064</v>
      </c>
      <c r="T79" s="81">
        <f t="shared" si="6"/>
        <v>1.2121068366780654</v>
      </c>
      <c r="U79" s="460"/>
      <c r="V79" s="464"/>
      <c r="W79" s="86">
        <f t="shared" si="9"/>
        <v>1.1948904084641696</v>
      </c>
      <c r="X79" s="72">
        <f t="shared" si="9"/>
        <v>0.05208495434944044</v>
      </c>
      <c r="Y79" s="481"/>
      <c r="Z79" s="86"/>
      <c r="AA79" s="71">
        <f t="shared" si="7"/>
        <v>12</v>
      </c>
      <c r="AB79" s="56">
        <f t="shared" si="7"/>
        <v>14</v>
      </c>
      <c r="AC79" s="72" t="s">
        <v>7</v>
      </c>
      <c r="AD79" s="86">
        <f t="shared" si="8"/>
        <v>1.1948904084641696</v>
      </c>
      <c r="AE79" s="72">
        <f t="shared" si="8"/>
        <v>0.05208495434944044</v>
      </c>
    </row>
    <row r="80" spans="1:31" s="51" customFormat="1" ht="12.75" customHeight="1">
      <c r="A80" s="71">
        <f t="shared" si="5"/>
        <v>10</v>
      </c>
      <c r="B80" s="56">
        <f t="shared" si="5"/>
        <v>14</v>
      </c>
      <c r="C80" s="72" t="s">
        <v>6</v>
      </c>
      <c r="D80" s="80">
        <f t="shared" si="6"/>
        <v>1.0666540162766969</v>
      </c>
      <c r="E80" s="81">
        <f t="shared" si="6"/>
        <v>1.0498563152329694</v>
      </c>
      <c r="F80" s="81">
        <f t="shared" si="6"/>
        <v>1.0781543291206503</v>
      </c>
      <c r="G80" s="81">
        <f t="shared" si="6"/>
        <v>1.0781543291206506</v>
      </c>
      <c r="H80" s="81"/>
      <c r="I80" s="81">
        <f t="shared" si="6"/>
        <v>0.9925440598108218</v>
      </c>
      <c r="J80" s="81">
        <f t="shared" si="6"/>
        <v>1.002494376199903</v>
      </c>
      <c r="K80" s="81">
        <f t="shared" si="6"/>
        <v>1.0389487171526268</v>
      </c>
      <c r="L80" s="81"/>
      <c r="M80" s="81">
        <f t="shared" si="6"/>
        <v>0.9827893270362684</v>
      </c>
      <c r="N80" s="81">
        <f t="shared" si="6"/>
        <v>0.9974944042487811</v>
      </c>
      <c r="O80" s="81">
        <f t="shared" si="6"/>
        <v>1.0335794731363341</v>
      </c>
      <c r="P80" s="81"/>
      <c r="Q80" s="81"/>
      <c r="R80" s="81">
        <f t="shared" si="6"/>
        <v>0.9111509250655153</v>
      </c>
      <c r="S80" s="81">
        <f t="shared" si="6"/>
        <v>0.9153209521825201</v>
      </c>
      <c r="T80" s="81">
        <f t="shared" si="6"/>
        <v>1.0553964540996341</v>
      </c>
      <c r="U80" s="460"/>
      <c r="V80" s="464"/>
      <c r="W80" s="86">
        <f t="shared" si="9"/>
        <v>1.0155798214371825</v>
      </c>
      <c r="X80" s="72">
        <f t="shared" si="9"/>
        <v>0.055626324481795594</v>
      </c>
      <c r="Y80" s="481"/>
      <c r="Z80" s="86"/>
      <c r="AA80" s="71">
        <f t="shared" si="7"/>
        <v>10</v>
      </c>
      <c r="AB80" s="56">
        <f t="shared" si="7"/>
        <v>14</v>
      </c>
      <c r="AC80" s="72" t="s">
        <v>9</v>
      </c>
      <c r="AD80" s="86">
        <f t="shared" si="8"/>
        <v>1.0155798214371825</v>
      </c>
      <c r="AE80" s="72">
        <f t="shared" si="8"/>
        <v>0.055626324481795594</v>
      </c>
    </row>
    <row r="81" spans="1:31" s="51" customFormat="1" ht="12.75" customHeight="1">
      <c r="A81" s="71">
        <f t="shared" si="5"/>
        <v>10</v>
      </c>
      <c r="B81" s="56">
        <f t="shared" si="5"/>
        <v>14</v>
      </c>
      <c r="C81" s="72" t="s">
        <v>8</v>
      </c>
      <c r="D81" s="80">
        <f t="shared" si="6"/>
        <v>1.0282654398554276</v>
      </c>
      <c r="E81" s="81">
        <f t="shared" si="6"/>
        <v>1.0282654398554272</v>
      </c>
      <c r="F81" s="81">
        <f t="shared" si="6"/>
        <v>1.049856315232969</v>
      </c>
      <c r="G81" s="81"/>
      <c r="H81" s="81"/>
      <c r="I81" s="81">
        <f t="shared" si="6"/>
        <v>1.0230057700863457</v>
      </c>
      <c r="J81" s="81">
        <f t="shared" si="6"/>
        <v>1.0443740368244419</v>
      </c>
      <c r="K81" s="81">
        <f t="shared" si="6"/>
        <v>1.049856315232969</v>
      </c>
      <c r="L81" s="81"/>
      <c r="M81" s="81">
        <f t="shared" si="6"/>
        <v>1.0282654398554274</v>
      </c>
      <c r="N81" s="81">
        <f t="shared" si="6"/>
        <v>1.012646217984206</v>
      </c>
      <c r="O81" s="81">
        <f t="shared" si="6"/>
        <v>1.0498563152329694</v>
      </c>
      <c r="P81" s="81"/>
      <c r="Q81" s="81"/>
      <c r="R81" s="81">
        <f t="shared" si="6"/>
        <v>1.0126462179842057</v>
      </c>
      <c r="S81" s="81">
        <f t="shared" si="6"/>
        <v>1.0335794731363337</v>
      </c>
      <c r="T81" s="81">
        <f t="shared" si="6"/>
        <v>1.0335794731363341</v>
      </c>
      <c r="U81" s="460"/>
      <c r="V81" s="464"/>
      <c r="W81" s="86">
        <f t="shared" si="9"/>
        <v>1.0328497045347544</v>
      </c>
      <c r="X81" s="72">
        <f t="shared" si="9"/>
        <v>0.013409159055900384</v>
      </c>
      <c r="Y81" s="481"/>
      <c r="Z81" s="86"/>
      <c r="AA81" s="71">
        <f t="shared" si="7"/>
        <v>10</v>
      </c>
      <c r="AB81" s="56">
        <f t="shared" si="7"/>
        <v>14</v>
      </c>
      <c r="AC81" s="72" t="s">
        <v>7</v>
      </c>
      <c r="AD81" s="86">
        <f t="shared" si="8"/>
        <v>1.0328497045347544</v>
      </c>
      <c r="AE81" s="72">
        <f t="shared" si="8"/>
        <v>0.013409159055900384</v>
      </c>
    </row>
    <row r="82" spans="1:31" s="51" customFormat="1" ht="12.75" customHeight="1">
      <c r="A82" s="71"/>
      <c r="B82" s="56"/>
      <c r="C82" s="72"/>
      <c r="D82" s="80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460"/>
      <c r="V82" s="464"/>
      <c r="W82" s="86"/>
      <c r="X82" s="72"/>
      <c r="Y82" s="481"/>
      <c r="Z82" s="86"/>
      <c r="AA82" s="71"/>
      <c r="AB82" s="56"/>
      <c r="AC82" s="72"/>
      <c r="AD82" s="86"/>
      <c r="AE82" s="72"/>
    </row>
    <row r="83" spans="1:31" s="51" customFormat="1" ht="12.75" customHeight="1">
      <c r="A83" s="71"/>
      <c r="B83" s="56"/>
      <c r="C83" s="72"/>
      <c r="D83" s="80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460"/>
      <c r="V83" s="464"/>
      <c r="W83" s="86"/>
      <c r="X83" s="72"/>
      <c r="Y83" s="481"/>
      <c r="Z83" s="86"/>
      <c r="AA83" s="71"/>
      <c r="AB83" s="56"/>
      <c r="AC83" s="72"/>
      <c r="AD83" s="86"/>
      <c r="AE83" s="72"/>
    </row>
    <row r="84" spans="1:31" s="51" customFormat="1" ht="12.75" customHeight="1">
      <c r="A84" s="73" t="s">
        <v>119</v>
      </c>
      <c r="B84" s="58"/>
      <c r="C84" s="72"/>
      <c r="D84" s="80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460"/>
      <c r="V84" s="464"/>
      <c r="W84" s="86"/>
      <c r="X84" s="72"/>
      <c r="Y84" s="481"/>
      <c r="Z84" s="86"/>
      <c r="AA84" s="73" t="s">
        <v>119</v>
      </c>
      <c r="AB84" s="58"/>
      <c r="AC84" s="72"/>
      <c r="AD84" s="86"/>
      <c r="AE84" s="72"/>
    </row>
    <row r="85" spans="1:31" s="49" customFormat="1" ht="12.75" customHeight="1">
      <c r="A85" s="71" t="str">
        <f>$C$3</f>
        <v>I-001 5th sizing</v>
      </c>
      <c r="B85" s="56" t="str">
        <f>$C$4</f>
        <v>inner</v>
      </c>
      <c r="C85" s="69" t="s">
        <v>9</v>
      </c>
      <c r="D85" s="80">
        <f aca="true" t="shared" si="10" ref="D85:T86">D52*1000</f>
        <v>-3.930000000000001</v>
      </c>
      <c r="E85" s="81">
        <f t="shared" si="10"/>
        <v>-3.850000000000001</v>
      </c>
      <c r="F85" s="81">
        <f t="shared" si="10"/>
        <v>-2.6900000000000004</v>
      </c>
      <c r="G85" s="81">
        <f t="shared" si="10"/>
        <v>-5.090000000000001</v>
      </c>
      <c r="H85" s="81"/>
      <c r="I85" s="81">
        <f t="shared" si="10"/>
        <v>-3.730000000000001</v>
      </c>
      <c r="J85" s="81">
        <f t="shared" si="10"/>
        <v>-4.25</v>
      </c>
      <c r="K85" s="81">
        <f t="shared" si="10"/>
        <v>-4.270000000000001</v>
      </c>
      <c r="L85" s="81"/>
      <c r="M85" s="81">
        <f t="shared" si="10"/>
        <v>-4.13</v>
      </c>
      <c r="N85" s="81">
        <f t="shared" si="10"/>
        <v>-3.6699999999999995</v>
      </c>
      <c r="O85" s="81">
        <f t="shared" si="10"/>
        <v>-3.9900000000000007</v>
      </c>
      <c r="P85" s="81"/>
      <c r="Q85" s="81"/>
      <c r="R85" s="81">
        <f t="shared" si="10"/>
        <v>-3.850000000000001</v>
      </c>
      <c r="S85" s="81">
        <f t="shared" si="10"/>
        <v>-5.289999999999999</v>
      </c>
      <c r="T85" s="81">
        <f t="shared" si="10"/>
        <v>-4.21</v>
      </c>
      <c r="U85" s="460"/>
      <c r="V85" s="464"/>
      <c r="W85" s="81">
        <f>W52*1000</f>
        <v>-4.073076923076923</v>
      </c>
      <c r="X85" s="413">
        <f>X52*1000</f>
        <v>0.640772770636943</v>
      </c>
      <c r="Y85" s="481"/>
      <c r="Z85" s="56"/>
      <c r="AA85" s="71" t="str">
        <f>$C$3</f>
        <v>I-001 5th sizing</v>
      </c>
      <c r="AB85" s="56" t="str">
        <f>$C$4</f>
        <v>inner</v>
      </c>
      <c r="AC85" s="69" t="s">
        <v>9</v>
      </c>
      <c r="AD85" s="86">
        <f>W85</f>
        <v>-4.073076923076923</v>
      </c>
      <c r="AE85" s="72">
        <f>X85</f>
        <v>0.640772770636943</v>
      </c>
    </row>
    <row r="86" spans="1:31" s="49" customFormat="1" ht="12.75" customHeight="1">
      <c r="A86" s="74" t="str">
        <f>$C$3</f>
        <v>I-001 5th sizing</v>
      </c>
      <c r="B86" s="52" t="str">
        <f>$C$4</f>
        <v>inner</v>
      </c>
      <c r="C86" s="70" t="s">
        <v>7</v>
      </c>
      <c r="D86" s="130">
        <f t="shared" si="10"/>
        <v>-3.83</v>
      </c>
      <c r="E86" s="131">
        <f t="shared" si="10"/>
        <v>-3.5099999999999993</v>
      </c>
      <c r="F86" s="131">
        <f t="shared" si="10"/>
        <v>-4.6499999999999995</v>
      </c>
      <c r="G86" s="131"/>
      <c r="H86" s="131"/>
      <c r="I86" s="131">
        <f t="shared" si="10"/>
        <v>-3.6100000000000003</v>
      </c>
      <c r="J86" s="131">
        <f t="shared" si="10"/>
        <v>-4.01</v>
      </c>
      <c r="K86" s="131">
        <f t="shared" si="10"/>
        <v>-4.110000000000001</v>
      </c>
      <c r="L86" s="131"/>
      <c r="M86" s="131">
        <f t="shared" si="10"/>
        <v>-4.01</v>
      </c>
      <c r="N86" s="131">
        <f t="shared" si="10"/>
        <v>-3.79</v>
      </c>
      <c r="O86" s="131">
        <f t="shared" si="10"/>
        <v>-4.17</v>
      </c>
      <c r="P86" s="131"/>
      <c r="Q86" s="131"/>
      <c r="R86" s="131">
        <f t="shared" si="10"/>
        <v>-2.4499999999999997</v>
      </c>
      <c r="S86" s="131">
        <f t="shared" si="10"/>
        <v>-4.450000000000001</v>
      </c>
      <c r="T86" s="131">
        <f t="shared" si="10"/>
        <v>-4.150000000000001</v>
      </c>
      <c r="U86" s="472"/>
      <c r="V86" s="473"/>
      <c r="W86" s="131">
        <f>W53*1000</f>
        <v>-3.8950000000000005</v>
      </c>
      <c r="X86" s="414">
        <f>X53*1000</f>
        <v>0.5579263555181959</v>
      </c>
      <c r="Y86" s="481"/>
      <c r="Z86" s="52"/>
      <c r="AA86" s="74" t="str">
        <f>$C$3</f>
        <v>I-001 5th sizing</v>
      </c>
      <c r="AB86" s="52" t="str">
        <f>$C$4</f>
        <v>inner</v>
      </c>
      <c r="AC86" s="70" t="s">
        <v>7</v>
      </c>
      <c r="AD86" s="88">
        <f>W86</f>
        <v>-3.8950000000000005</v>
      </c>
      <c r="AE86" s="89">
        <f>X86</f>
        <v>0.5579263555181959</v>
      </c>
    </row>
    <row r="87" spans="1:26" s="49" customFormat="1" ht="12.75" customHeight="1">
      <c r="A87" s="53"/>
      <c r="B87" s="56"/>
      <c r="C87" s="3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86"/>
      <c r="X87" s="127"/>
      <c r="Y87" s="481"/>
      <c r="Z87" s="3"/>
    </row>
    <row r="88" spans="1:31" s="49" customFormat="1" ht="12.75" customHeight="1">
      <c r="A88" s="66" t="s">
        <v>69</v>
      </c>
      <c r="B88" s="57"/>
      <c r="C88" s="3"/>
      <c r="D88" s="462" t="str">
        <f>$C$3</f>
        <v>I-001 5th sizing</v>
      </c>
      <c r="E88" s="462"/>
      <c r="F88" s="462" t="str">
        <f>$C$4</f>
        <v>inner</v>
      </c>
      <c r="G88" s="462" t="s">
        <v>115</v>
      </c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86"/>
      <c r="X88" s="127"/>
      <c r="Y88" s="481"/>
      <c r="Z88" s="3"/>
      <c r="AA88" s="66" t="s">
        <v>69</v>
      </c>
      <c r="AB88" s="54"/>
      <c r="AC88" s="54"/>
      <c r="AD88" s="169" t="str">
        <f>D88</f>
        <v>I-001 5th sizing</v>
      </c>
      <c r="AE88" s="185" t="str">
        <f>F88</f>
        <v>inner</v>
      </c>
    </row>
    <row r="89" spans="1:31" s="176" customFormat="1" ht="12.75" customHeight="1">
      <c r="A89" s="147" t="s">
        <v>116</v>
      </c>
      <c r="B89" s="148"/>
      <c r="C89" s="149"/>
      <c r="D89" s="170">
        <v>1</v>
      </c>
      <c r="E89" s="171">
        <f aca="true" t="shared" si="11" ref="E89:V89">D89+1</f>
        <v>2</v>
      </c>
      <c r="F89" s="171">
        <f t="shared" si="11"/>
        <v>3</v>
      </c>
      <c r="G89" s="171">
        <f t="shared" si="11"/>
        <v>4</v>
      </c>
      <c r="H89" s="171">
        <f t="shared" si="11"/>
        <v>5</v>
      </c>
      <c r="I89" s="171">
        <f t="shared" si="11"/>
        <v>6</v>
      </c>
      <c r="J89" s="171">
        <f t="shared" si="11"/>
        <v>7</v>
      </c>
      <c r="K89" s="171">
        <f t="shared" si="11"/>
        <v>8</v>
      </c>
      <c r="L89" s="171">
        <f t="shared" si="11"/>
        <v>9</v>
      </c>
      <c r="M89" s="171">
        <f t="shared" si="11"/>
        <v>10</v>
      </c>
      <c r="N89" s="171">
        <f t="shared" si="11"/>
        <v>11</v>
      </c>
      <c r="O89" s="171">
        <f t="shared" si="11"/>
        <v>12</v>
      </c>
      <c r="P89" s="171">
        <f t="shared" si="11"/>
        <v>13</v>
      </c>
      <c r="Q89" s="171">
        <f t="shared" si="11"/>
        <v>14</v>
      </c>
      <c r="R89" s="171">
        <f t="shared" si="11"/>
        <v>15</v>
      </c>
      <c r="S89" s="171">
        <f t="shared" si="11"/>
        <v>16</v>
      </c>
      <c r="T89" s="171">
        <f t="shared" si="11"/>
        <v>17</v>
      </c>
      <c r="U89" s="171">
        <f t="shared" si="11"/>
        <v>18</v>
      </c>
      <c r="V89" s="171">
        <f t="shared" si="11"/>
        <v>19</v>
      </c>
      <c r="W89" s="422" t="s">
        <v>0</v>
      </c>
      <c r="X89" s="429" t="s">
        <v>117</v>
      </c>
      <c r="Y89" s="481"/>
      <c r="Z89" s="481"/>
      <c r="AA89" s="157" t="str">
        <f aca="true" t="shared" si="12" ref="AA89:AB99">A89</f>
        <v>Axial location from lead end </v>
      </c>
      <c r="AB89" s="158"/>
      <c r="AC89" s="159"/>
      <c r="AD89" s="174" t="s">
        <v>0</v>
      </c>
      <c r="AE89" s="175" t="s">
        <v>117</v>
      </c>
    </row>
    <row r="90" spans="1:31" s="54" customFormat="1" ht="12.75" customHeight="1">
      <c r="A90" s="78" t="s">
        <v>120</v>
      </c>
      <c r="B90" s="75"/>
      <c r="C90" s="415"/>
      <c r="D90" s="132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424"/>
      <c r="W90" s="152"/>
      <c r="X90" s="134"/>
      <c r="Y90" s="516"/>
      <c r="Z90" s="516"/>
      <c r="AA90" s="157" t="str">
        <f t="shared" si="12"/>
        <v>Coil modulus [GPa]</v>
      </c>
      <c r="AB90" s="158"/>
      <c r="AC90" s="159"/>
      <c r="AD90" s="174"/>
      <c r="AE90" s="175"/>
    </row>
    <row r="91" spans="1:31" s="55" customFormat="1" ht="12.75" customHeight="1">
      <c r="A91" s="160" t="s">
        <v>121</v>
      </c>
      <c r="B91" s="161"/>
      <c r="C91" s="416" t="s">
        <v>35</v>
      </c>
      <c r="D91" s="135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417"/>
      <c r="W91" s="153"/>
      <c r="X91" s="137"/>
      <c r="Y91" s="516"/>
      <c r="Z91" s="516"/>
      <c r="AA91" s="160" t="str">
        <f t="shared" si="12"/>
        <v>Pressure range [MPa]</v>
      </c>
      <c r="AB91" s="161"/>
      <c r="AC91" s="162" t="s">
        <v>35</v>
      </c>
      <c r="AD91" s="152"/>
      <c r="AE91" s="134"/>
    </row>
    <row r="92" spans="1:31" s="55" customFormat="1" ht="12.75" customHeight="1">
      <c r="A92" s="91">
        <f aca="true" t="shared" si="13" ref="A92:B99">A74*6.895</f>
        <v>55.16</v>
      </c>
      <c r="B92" s="92">
        <f t="shared" si="13"/>
        <v>68.94999999999999</v>
      </c>
      <c r="C92" s="60" t="str">
        <f aca="true" t="shared" si="14" ref="C92:C99">C74</f>
        <v>A</v>
      </c>
      <c r="D92" s="135">
        <f aca="true" t="shared" si="15" ref="D92:T99">D74*6.895</f>
        <v>8.159666540933234</v>
      </c>
      <c r="E92" s="136">
        <f t="shared" si="15"/>
        <v>8.25738709830968</v>
      </c>
      <c r="F92" s="136">
        <f t="shared" si="15"/>
        <v>7.971003730738247</v>
      </c>
      <c r="G92" s="136">
        <f t="shared" si="15"/>
        <v>8.672853115834696</v>
      </c>
      <c r="H92" s="136"/>
      <c r="I92" s="136">
        <f t="shared" si="15"/>
        <v>7.879906545244097</v>
      </c>
      <c r="J92" s="136">
        <f t="shared" si="15"/>
        <v>7.618694173578545</v>
      </c>
      <c r="K92" s="136">
        <f t="shared" si="15"/>
        <v>8.064231844548049</v>
      </c>
      <c r="L92" s="136"/>
      <c r="M92" s="136">
        <f t="shared" si="15"/>
        <v>7.618694173578545</v>
      </c>
      <c r="N92" s="136">
        <f t="shared" si="15"/>
        <v>8.06423184454805</v>
      </c>
      <c r="O92" s="136">
        <f t="shared" si="15"/>
        <v>8.064231844548052</v>
      </c>
      <c r="P92" s="136"/>
      <c r="Q92" s="136"/>
      <c r="R92" s="136">
        <f t="shared" si="15"/>
        <v>7.219809661872861</v>
      </c>
      <c r="S92" s="136">
        <f t="shared" si="15"/>
        <v>7.37424409314287</v>
      </c>
      <c r="T92" s="136">
        <f t="shared" si="15"/>
        <v>8.159666540933236</v>
      </c>
      <c r="U92" s="517"/>
      <c r="V92" s="518"/>
      <c r="W92" s="153">
        <f aca="true" t="shared" si="16" ref="W92:X99">W74*6.895</f>
        <v>7.932663169831552</v>
      </c>
      <c r="X92" s="137">
        <f t="shared" si="16"/>
        <v>0.3904822985378627</v>
      </c>
      <c r="Y92" s="516"/>
      <c r="Z92" s="516"/>
      <c r="AA92" s="79">
        <f t="shared" si="12"/>
        <v>55.16</v>
      </c>
      <c r="AB92" s="60">
        <f t="shared" si="12"/>
        <v>68.94999999999999</v>
      </c>
      <c r="AC92" s="137" t="s">
        <v>9</v>
      </c>
      <c r="AD92" s="153">
        <f aca="true" t="shared" si="17" ref="AD92:AE99">W92</f>
        <v>7.932663169831552</v>
      </c>
      <c r="AE92" s="137">
        <f t="shared" si="17"/>
        <v>0.3904822985378627</v>
      </c>
    </row>
    <row r="93" spans="1:31" s="55" customFormat="1" ht="12.75" customHeight="1">
      <c r="A93" s="91">
        <f t="shared" si="13"/>
        <v>55.16</v>
      </c>
      <c r="B93" s="92">
        <f t="shared" si="13"/>
        <v>68.94999999999999</v>
      </c>
      <c r="C93" s="60" t="str">
        <f t="shared" si="14"/>
        <v>B</v>
      </c>
      <c r="D93" s="135">
        <f t="shared" si="15"/>
        <v>8.159666540933234</v>
      </c>
      <c r="E93" s="136">
        <f t="shared" si="15"/>
        <v>7.971003730738247</v>
      </c>
      <c r="F93" s="136">
        <f t="shared" si="15"/>
        <v>8.06423184454805</v>
      </c>
      <c r="G93" s="136"/>
      <c r="H93" s="136"/>
      <c r="I93" s="136">
        <f t="shared" si="15"/>
        <v>8.159666540933237</v>
      </c>
      <c r="J93" s="136">
        <f t="shared" si="15"/>
        <v>7.879906545244095</v>
      </c>
      <c r="K93" s="136">
        <f t="shared" si="15"/>
        <v>8.06423184454805</v>
      </c>
      <c r="L93" s="136"/>
      <c r="M93" s="136">
        <f t="shared" si="15"/>
        <v>7.879906545244095</v>
      </c>
      <c r="N93" s="136">
        <f t="shared" si="15"/>
        <v>7.879906545244095</v>
      </c>
      <c r="O93" s="136">
        <f t="shared" si="15"/>
        <v>7.790868053207436</v>
      </c>
      <c r="P93" s="136"/>
      <c r="Q93" s="136"/>
      <c r="R93" s="136">
        <f t="shared" si="15"/>
        <v>7.535429756380967</v>
      </c>
      <c r="S93" s="136">
        <f t="shared" si="15"/>
        <v>7.7038192481436685</v>
      </c>
      <c r="T93" s="136">
        <f t="shared" si="15"/>
        <v>7.971003730738247</v>
      </c>
      <c r="U93" s="517"/>
      <c r="V93" s="518"/>
      <c r="W93" s="153">
        <f t="shared" si="16"/>
        <v>7.921636743825284</v>
      </c>
      <c r="X93" s="137">
        <f t="shared" si="16"/>
        <v>0.1853209183010251</v>
      </c>
      <c r="Y93" s="516"/>
      <c r="Z93" s="516"/>
      <c r="AA93" s="79">
        <f t="shared" si="12"/>
        <v>55.16</v>
      </c>
      <c r="AB93" s="60">
        <f t="shared" si="12"/>
        <v>68.94999999999999</v>
      </c>
      <c r="AC93" s="137" t="s">
        <v>7</v>
      </c>
      <c r="AD93" s="153">
        <f t="shared" si="17"/>
        <v>7.921636743825284</v>
      </c>
      <c r="AE93" s="137">
        <f t="shared" si="17"/>
        <v>0.1853209183010251</v>
      </c>
    </row>
    <row r="94" spans="1:31" s="55" customFormat="1" ht="12.75" customHeight="1">
      <c r="A94" s="91">
        <f t="shared" si="13"/>
        <v>68.94999999999999</v>
      </c>
      <c r="B94" s="92">
        <f t="shared" si="13"/>
        <v>82.74</v>
      </c>
      <c r="C94" s="60" t="str">
        <f t="shared" si="14"/>
        <v>A</v>
      </c>
      <c r="D94" s="135">
        <f t="shared" si="15"/>
        <v>6.474101621679419</v>
      </c>
      <c r="E94" s="136">
        <f t="shared" si="15"/>
        <v>6.53546751382804</v>
      </c>
      <c r="F94" s="136">
        <f t="shared" si="15"/>
        <v>6.860615151331922</v>
      </c>
      <c r="G94" s="136">
        <f t="shared" si="15"/>
        <v>6.474101621679419</v>
      </c>
      <c r="H94" s="136"/>
      <c r="I94" s="136">
        <f t="shared" si="15"/>
        <v>6.2967289745101205</v>
      </c>
      <c r="J94" s="136">
        <f t="shared" si="15"/>
        <v>6.296728974510122</v>
      </c>
      <c r="K94" s="136">
        <f t="shared" si="15"/>
        <v>6.53546751382804</v>
      </c>
      <c r="L94" s="136"/>
      <c r="M94" s="136">
        <f t="shared" si="15"/>
        <v>6.296728974510122</v>
      </c>
      <c r="N94" s="136">
        <f t="shared" si="15"/>
        <v>6.296728974510125</v>
      </c>
      <c r="O94" s="136">
        <f t="shared" si="15"/>
        <v>6.474101621679419</v>
      </c>
      <c r="P94" s="136"/>
      <c r="Q94" s="136"/>
      <c r="R94" s="136">
        <f t="shared" si="15"/>
        <v>5.81849639416758</v>
      </c>
      <c r="S94" s="136">
        <f t="shared" si="15"/>
        <v>5.7219238399075385</v>
      </c>
      <c r="T94" s="136">
        <f t="shared" si="15"/>
        <v>6.296728974510122</v>
      </c>
      <c r="U94" s="517"/>
      <c r="V94" s="518"/>
      <c r="W94" s="153">
        <f t="shared" si="16"/>
        <v>6.336763088511693</v>
      </c>
      <c r="X94" s="137">
        <f t="shared" si="16"/>
        <v>0.29785550448013615</v>
      </c>
      <c r="Y94" s="516"/>
      <c r="Z94" s="516"/>
      <c r="AA94" s="79">
        <f t="shared" si="12"/>
        <v>68.94999999999999</v>
      </c>
      <c r="AB94" s="60">
        <f t="shared" si="12"/>
        <v>82.74</v>
      </c>
      <c r="AC94" s="137" t="s">
        <v>9</v>
      </c>
      <c r="AD94" s="153">
        <f t="shared" si="17"/>
        <v>6.336763088511693</v>
      </c>
      <c r="AE94" s="137">
        <f t="shared" si="17"/>
        <v>0.29785550448013615</v>
      </c>
    </row>
    <row r="95" spans="1:31" s="55" customFormat="1" ht="12.75" customHeight="1">
      <c r="A95" s="91">
        <f t="shared" si="13"/>
        <v>68.94999999999999</v>
      </c>
      <c r="B95" s="92">
        <f t="shared" si="13"/>
        <v>82.74</v>
      </c>
      <c r="C95" s="60" t="str">
        <f t="shared" si="14"/>
        <v>B</v>
      </c>
      <c r="D95" s="135">
        <f t="shared" si="15"/>
        <v>6.211638042422148</v>
      </c>
      <c r="E95" s="136">
        <f t="shared" si="15"/>
        <v>6.443848810363165</v>
      </c>
      <c r="F95" s="136">
        <f t="shared" si="15"/>
        <v>6.325613052374848</v>
      </c>
      <c r="G95" s="136"/>
      <c r="H95" s="136"/>
      <c r="I95" s="136">
        <f t="shared" si="15"/>
        <v>6.384183543600539</v>
      </c>
      <c r="J95" s="136">
        <f t="shared" si="15"/>
        <v>6.325613052374848</v>
      </c>
      <c r="K95" s="136">
        <f t="shared" si="15"/>
        <v>6.048173883411036</v>
      </c>
      <c r="L95" s="136"/>
      <c r="M95" s="136">
        <f t="shared" si="15"/>
        <v>6.268107479171442</v>
      </c>
      <c r="N95" s="136">
        <f t="shared" si="15"/>
        <v>6.156176988471951</v>
      </c>
      <c r="O95" s="136">
        <f t="shared" si="15"/>
        <v>6.325613052374848</v>
      </c>
      <c r="P95" s="136"/>
      <c r="Q95" s="136"/>
      <c r="R95" s="136">
        <f t="shared" si="15"/>
        <v>6.443848810363162</v>
      </c>
      <c r="S95" s="136">
        <f t="shared" si="15"/>
        <v>6.211638042422146</v>
      </c>
      <c r="T95" s="136">
        <f t="shared" si="15"/>
        <v>6.211638042422146</v>
      </c>
      <c r="U95" s="517"/>
      <c r="V95" s="518"/>
      <c r="W95" s="153">
        <f t="shared" si="16"/>
        <v>6.279674399981023</v>
      </c>
      <c r="X95" s="137">
        <f t="shared" si="16"/>
        <v>0.11833098642375674</v>
      </c>
      <c r="Y95" s="516"/>
      <c r="Z95" s="516"/>
      <c r="AA95" s="79">
        <f t="shared" si="12"/>
        <v>68.94999999999999</v>
      </c>
      <c r="AB95" s="60">
        <f t="shared" si="12"/>
        <v>82.74</v>
      </c>
      <c r="AC95" s="137" t="s">
        <v>7</v>
      </c>
      <c r="AD95" s="153">
        <f t="shared" si="17"/>
        <v>6.279674399981023</v>
      </c>
      <c r="AE95" s="137">
        <f t="shared" si="17"/>
        <v>0.11833098642375674</v>
      </c>
    </row>
    <row r="96" spans="1:31" s="55" customFormat="1" ht="12.75" customHeight="1">
      <c r="A96" s="91">
        <f t="shared" si="13"/>
        <v>82.74</v>
      </c>
      <c r="B96" s="92">
        <f t="shared" si="13"/>
        <v>96.53</v>
      </c>
      <c r="C96" s="60" t="str">
        <f t="shared" si="14"/>
        <v>A</v>
      </c>
      <c r="D96" s="135">
        <f t="shared" si="15"/>
        <v>8.51224472480073</v>
      </c>
      <c r="E96" s="136">
        <f t="shared" si="15"/>
        <v>8.111668502457166</v>
      </c>
      <c r="F96" s="136">
        <f t="shared" si="15"/>
        <v>8.11166850245716</v>
      </c>
      <c r="G96" s="136">
        <f t="shared" si="15"/>
        <v>8.727744591251383</v>
      </c>
      <c r="H96" s="136"/>
      <c r="I96" s="136">
        <f t="shared" si="15"/>
        <v>7.494476333791941</v>
      </c>
      <c r="J96" s="136">
        <f t="shared" si="15"/>
        <v>7.661020252320651</v>
      </c>
      <c r="K96" s="136">
        <f t="shared" si="15"/>
        <v>7.925193364469644</v>
      </c>
      <c r="L96" s="136"/>
      <c r="M96" s="136">
        <f t="shared" si="15"/>
        <v>7.335019390519772</v>
      </c>
      <c r="N96" s="136">
        <f t="shared" si="15"/>
        <v>7.57683321658086</v>
      </c>
      <c r="O96" s="136">
        <f t="shared" si="15"/>
        <v>7.925193364469644</v>
      </c>
      <c r="P96" s="136"/>
      <c r="Q96" s="136"/>
      <c r="R96" s="136">
        <f t="shared" si="15"/>
        <v>6.8266517099887</v>
      </c>
      <c r="S96" s="136">
        <f t="shared" si="15"/>
        <v>7.035630843967944</v>
      </c>
      <c r="T96" s="136">
        <f t="shared" si="15"/>
        <v>8.618647783860736</v>
      </c>
      <c r="U96" s="517"/>
      <c r="V96" s="518"/>
      <c r="W96" s="153">
        <f t="shared" si="16"/>
        <v>7.835537890841258</v>
      </c>
      <c r="X96" s="137">
        <f t="shared" si="16"/>
        <v>0.5886232068867385</v>
      </c>
      <c r="Y96" s="516"/>
      <c r="Z96" s="516"/>
      <c r="AA96" s="79">
        <f t="shared" si="12"/>
        <v>82.74</v>
      </c>
      <c r="AB96" s="60">
        <f t="shared" si="12"/>
        <v>96.53</v>
      </c>
      <c r="AC96" s="137" t="s">
        <v>9</v>
      </c>
      <c r="AD96" s="153">
        <f t="shared" si="17"/>
        <v>7.835537890841258</v>
      </c>
      <c r="AE96" s="137">
        <f t="shared" si="17"/>
        <v>0.5886232068867385</v>
      </c>
    </row>
    <row r="97" spans="1:31" s="55" customFormat="1" ht="12.75" customHeight="1">
      <c r="A97" s="91">
        <f t="shared" si="13"/>
        <v>82.74</v>
      </c>
      <c r="B97" s="92">
        <f t="shared" si="13"/>
        <v>96.53</v>
      </c>
      <c r="C97" s="60" t="str">
        <f t="shared" si="14"/>
        <v>B</v>
      </c>
      <c r="D97" s="135">
        <f t="shared" si="15"/>
        <v>8.257387098309684</v>
      </c>
      <c r="E97" s="136">
        <f t="shared" si="15"/>
        <v>7.879906545244089</v>
      </c>
      <c r="F97" s="136">
        <f t="shared" si="15"/>
        <v>8.460022364525862</v>
      </c>
      <c r="G97" s="136"/>
      <c r="H97" s="136"/>
      <c r="I97" s="136">
        <f t="shared" si="15"/>
        <v>7.879906545244097</v>
      </c>
      <c r="J97" s="136">
        <f t="shared" si="15"/>
        <v>8.357476638895251</v>
      </c>
      <c r="K97" s="136">
        <f t="shared" si="15"/>
        <v>9.012965002730173</v>
      </c>
      <c r="L97" s="136"/>
      <c r="M97" s="136">
        <f t="shared" si="15"/>
        <v>8.159666540933232</v>
      </c>
      <c r="N97" s="136">
        <f t="shared" si="15"/>
        <v>8.064231844548052</v>
      </c>
      <c r="O97" s="136">
        <f t="shared" si="15"/>
        <v>8.460022364525873</v>
      </c>
      <c r="P97" s="136"/>
      <c r="Q97" s="136"/>
      <c r="R97" s="136">
        <f t="shared" si="15"/>
        <v>7.618694173578545</v>
      </c>
      <c r="S97" s="136">
        <f t="shared" si="15"/>
        <v>8.357476638895251</v>
      </c>
      <c r="T97" s="136">
        <f t="shared" si="15"/>
        <v>8.35747663889526</v>
      </c>
      <c r="U97" s="517"/>
      <c r="V97" s="518"/>
      <c r="W97" s="153">
        <f t="shared" si="16"/>
        <v>8.238769366360449</v>
      </c>
      <c r="X97" s="137">
        <f t="shared" si="16"/>
        <v>0.3591257602393918</v>
      </c>
      <c r="Y97" s="516"/>
      <c r="Z97" s="516"/>
      <c r="AA97" s="79">
        <f t="shared" si="12"/>
        <v>82.74</v>
      </c>
      <c r="AB97" s="60">
        <f t="shared" si="12"/>
        <v>96.53</v>
      </c>
      <c r="AC97" s="137" t="s">
        <v>7</v>
      </c>
      <c r="AD97" s="153">
        <f t="shared" si="17"/>
        <v>8.238769366360449</v>
      </c>
      <c r="AE97" s="137">
        <f t="shared" si="17"/>
        <v>0.3591257602393918</v>
      </c>
    </row>
    <row r="98" spans="1:31" s="55" customFormat="1" ht="12.75" customHeight="1">
      <c r="A98" s="91">
        <f t="shared" si="13"/>
        <v>68.94999999999999</v>
      </c>
      <c r="B98" s="92">
        <f t="shared" si="13"/>
        <v>96.53</v>
      </c>
      <c r="C98" s="60" t="str">
        <f t="shared" si="14"/>
        <v>A</v>
      </c>
      <c r="D98" s="135">
        <f t="shared" si="15"/>
        <v>7.354579442227824</v>
      </c>
      <c r="E98" s="136">
        <f t="shared" si="15"/>
        <v>7.238759293531324</v>
      </c>
      <c r="F98" s="136">
        <f t="shared" si="15"/>
        <v>7.433874099286884</v>
      </c>
      <c r="G98" s="136">
        <f t="shared" si="15"/>
        <v>7.433874099286885</v>
      </c>
      <c r="H98" s="136"/>
      <c r="I98" s="136">
        <f t="shared" si="15"/>
        <v>6.843591292395616</v>
      </c>
      <c r="J98" s="136">
        <f t="shared" si="15"/>
        <v>6.912198723898331</v>
      </c>
      <c r="K98" s="136">
        <f t="shared" si="15"/>
        <v>7.163551404767362</v>
      </c>
      <c r="L98" s="136"/>
      <c r="M98" s="136">
        <f t="shared" si="15"/>
        <v>6.776332409915071</v>
      </c>
      <c r="N98" s="136">
        <f t="shared" si="15"/>
        <v>6.877723917295345</v>
      </c>
      <c r="O98" s="136">
        <f t="shared" si="15"/>
        <v>7.126530467275024</v>
      </c>
      <c r="P98" s="136"/>
      <c r="Q98" s="136"/>
      <c r="R98" s="136">
        <f t="shared" si="15"/>
        <v>6.282385628326728</v>
      </c>
      <c r="S98" s="136">
        <f t="shared" si="15"/>
        <v>6.311137965298475</v>
      </c>
      <c r="T98" s="136">
        <f t="shared" si="15"/>
        <v>7.2769585510169765</v>
      </c>
      <c r="U98" s="517"/>
      <c r="V98" s="518"/>
      <c r="W98" s="153">
        <f t="shared" si="16"/>
        <v>7.002422868809373</v>
      </c>
      <c r="X98" s="137">
        <f t="shared" si="16"/>
        <v>0.3835435073019806</v>
      </c>
      <c r="Y98" s="516"/>
      <c r="Z98" s="516"/>
      <c r="AA98" s="79">
        <f t="shared" si="12"/>
        <v>68.94999999999999</v>
      </c>
      <c r="AB98" s="60">
        <f t="shared" si="12"/>
        <v>96.53</v>
      </c>
      <c r="AC98" s="137" t="s">
        <v>9</v>
      </c>
      <c r="AD98" s="153">
        <f t="shared" si="17"/>
        <v>7.002422868809373</v>
      </c>
      <c r="AE98" s="137">
        <f t="shared" si="17"/>
        <v>0.3835435073019806</v>
      </c>
    </row>
    <row r="99" spans="1:31" s="55" customFormat="1" ht="12.75" customHeight="1">
      <c r="A99" s="91">
        <f t="shared" si="13"/>
        <v>68.94999999999999</v>
      </c>
      <c r="B99" s="92">
        <f t="shared" si="13"/>
        <v>96.53</v>
      </c>
      <c r="C99" s="60" t="str">
        <f t="shared" si="14"/>
        <v>B</v>
      </c>
      <c r="D99" s="135">
        <f t="shared" si="15"/>
        <v>7.089890207803173</v>
      </c>
      <c r="E99" s="136">
        <f t="shared" si="15"/>
        <v>7.08989020780317</v>
      </c>
      <c r="F99" s="136">
        <f t="shared" si="15"/>
        <v>7.238759293531321</v>
      </c>
      <c r="G99" s="136"/>
      <c r="H99" s="136"/>
      <c r="I99" s="136">
        <f t="shared" si="15"/>
        <v>7.053624784745353</v>
      </c>
      <c r="J99" s="136">
        <f t="shared" si="15"/>
        <v>7.200958983904526</v>
      </c>
      <c r="K99" s="136">
        <f t="shared" si="15"/>
        <v>7.238759293531321</v>
      </c>
      <c r="L99" s="136"/>
      <c r="M99" s="136">
        <f t="shared" si="15"/>
        <v>7.089890207803172</v>
      </c>
      <c r="N99" s="136">
        <f t="shared" si="15"/>
        <v>6.982195673001099</v>
      </c>
      <c r="O99" s="136">
        <f t="shared" si="15"/>
        <v>7.238759293531324</v>
      </c>
      <c r="P99" s="136"/>
      <c r="Q99" s="136"/>
      <c r="R99" s="136">
        <f t="shared" si="15"/>
        <v>6.982195673001098</v>
      </c>
      <c r="S99" s="136">
        <f t="shared" si="15"/>
        <v>7.12653046727502</v>
      </c>
      <c r="T99" s="136">
        <f t="shared" si="15"/>
        <v>7.126530467275024</v>
      </c>
      <c r="U99" s="517"/>
      <c r="V99" s="518"/>
      <c r="W99" s="153">
        <f t="shared" si="16"/>
        <v>7.121498712767131</v>
      </c>
      <c r="X99" s="137">
        <f t="shared" si="16"/>
        <v>0.09245615169043314</v>
      </c>
      <c r="Y99" s="516"/>
      <c r="Z99" s="516"/>
      <c r="AA99" s="79">
        <f t="shared" si="12"/>
        <v>68.94999999999999</v>
      </c>
      <c r="AB99" s="60">
        <f t="shared" si="12"/>
        <v>96.53</v>
      </c>
      <c r="AC99" s="137" t="s">
        <v>7</v>
      </c>
      <c r="AD99" s="153">
        <f t="shared" si="17"/>
        <v>7.121498712767131</v>
      </c>
      <c r="AE99" s="137">
        <f t="shared" si="17"/>
        <v>0.09245615169043314</v>
      </c>
    </row>
    <row r="100" spans="1:31" s="55" customFormat="1" ht="12.75" customHeight="1">
      <c r="A100" s="79"/>
      <c r="B100" s="60"/>
      <c r="C100" s="60" t="s">
        <v>0</v>
      </c>
      <c r="D100" s="135">
        <f>AVERAGE(D92:D97)</f>
        <v>7.629117428179742</v>
      </c>
      <c r="E100" s="136">
        <f aca="true" t="shared" si="18" ref="E100:T100">AVERAGE(E92:E97)</f>
        <v>7.533213700156732</v>
      </c>
      <c r="F100" s="136">
        <f t="shared" si="18"/>
        <v>7.632192440996016</v>
      </c>
      <c r="G100" s="136">
        <f t="shared" si="18"/>
        <v>7.958233109588499</v>
      </c>
      <c r="H100" s="136"/>
      <c r="I100" s="136">
        <f t="shared" si="18"/>
        <v>7.349144747220673</v>
      </c>
      <c r="J100" s="136">
        <f t="shared" si="18"/>
        <v>7.356573272820586</v>
      </c>
      <c r="K100" s="136">
        <f t="shared" si="18"/>
        <v>7.608377242255831</v>
      </c>
      <c r="L100" s="136"/>
      <c r="M100" s="136">
        <f t="shared" si="18"/>
        <v>7.259687183992867</v>
      </c>
      <c r="N100" s="136">
        <f t="shared" si="18"/>
        <v>7.339684902317189</v>
      </c>
      <c r="O100" s="136">
        <f t="shared" si="18"/>
        <v>7.506671716800878</v>
      </c>
      <c r="P100" s="136"/>
      <c r="Q100" s="136"/>
      <c r="R100" s="136">
        <f t="shared" si="18"/>
        <v>6.910488417725304</v>
      </c>
      <c r="S100" s="136">
        <f t="shared" si="18"/>
        <v>7.067455451079902</v>
      </c>
      <c r="T100" s="136">
        <f t="shared" si="18"/>
        <v>7.602526951893291</v>
      </c>
      <c r="U100" s="517"/>
      <c r="V100" s="518"/>
      <c r="W100" s="136">
        <f>AVERAGE(W92:W97)</f>
        <v>7.424174109891877</v>
      </c>
      <c r="X100" s="417">
        <f>AVERAGE(X92:X97)</f>
        <v>0.3232897791448185</v>
      </c>
      <c r="Y100" s="516"/>
      <c r="Z100" s="516"/>
      <c r="AA100" s="79"/>
      <c r="AB100" s="60"/>
      <c r="AC100" s="137" t="s">
        <v>0</v>
      </c>
      <c r="AD100" s="153">
        <f>W100</f>
        <v>7.424174109891877</v>
      </c>
      <c r="AE100" s="153">
        <f>X100</f>
        <v>0.3232897791448185</v>
      </c>
    </row>
    <row r="101" spans="1:31" s="55" customFormat="1" ht="12.75" customHeight="1">
      <c r="A101" s="79"/>
      <c r="B101" s="516"/>
      <c r="C101" s="60"/>
      <c r="D101" s="135"/>
      <c r="E101" s="517"/>
      <c r="F101" s="517"/>
      <c r="G101" s="517"/>
      <c r="H101" s="517"/>
      <c r="I101" s="517"/>
      <c r="J101" s="517"/>
      <c r="K101" s="517"/>
      <c r="L101" s="517"/>
      <c r="M101" s="517"/>
      <c r="N101" s="517"/>
      <c r="O101" s="517"/>
      <c r="P101" s="517"/>
      <c r="Q101" s="517"/>
      <c r="R101" s="517"/>
      <c r="S101" s="517"/>
      <c r="T101" s="517"/>
      <c r="U101" s="517"/>
      <c r="V101" s="518"/>
      <c r="W101" s="517"/>
      <c r="X101" s="137"/>
      <c r="Y101" s="516"/>
      <c r="Z101" s="516"/>
      <c r="AA101" s="79"/>
      <c r="AB101" s="60"/>
      <c r="AC101" s="137"/>
      <c r="AD101" s="153"/>
      <c r="AE101" s="137"/>
    </row>
    <row r="102" spans="1:31" s="90" customFormat="1" ht="12.75" customHeight="1">
      <c r="A102" s="77" t="s">
        <v>122</v>
      </c>
      <c r="B102" s="59"/>
      <c r="C102" s="60"/>
      <c r="D102" s="135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517"/>
      <c r="V102" s="518"/>
      <c r="W102" s="153"/>
      <c r="X102" s="137"/>
      <c r="Y102" s="516"/>
      <c r="Z102" s="516"/>
      <c r="AA102" s="77" t="str">
        <f>A102</f>
        <v>Coil size at 83 MPa coil pressure [µm]</v>
      </c>
      <c r="AB102" s="163"/>
      <c r="AC102" s="137"/>
      <c r="AD102" s="153"/>
      <c r="AE102" s="137"/>
    </row>
    <row r="103" spans="1:31" s="90" customFormat="1" ht="12.75" customHeight="1">
      <c r="A103" s="79" t="str">
        <f>$C$3</f>
        <v>I-001 5th sizing</v>
      </c>
      <c r="B103" s="60" t="str">
        <f>$C$4</f>
        <v>inner</v>
      </c>
      <c r="C103" s="92" t="s">
        <v>9</v>
      </c>
      <c r="D103" s="155">
        <f aca="true" t="shared" si="19" ref="D103:T104">D85*1000/39.37</f>
        <v>-99.82219964439932</v>
      </c>
      <c r="E103" s="156">
        <f t="shared" si="19"/>
        <v>-97.79019558039118</v>
      </c>
      <c r="F103" s="156">
        <f t="shared" si="19"/>
        <v>-68.32613665227332</v>
      </c>
      <c r="G103" s="156">
        <f t="shared" si="19"/>
        <v>-129.28625857251717</v>
      </c>
      <c r="H103" s="156"/>
      <c r="I103" s="156">
        <f t="shared" si="19"/>
        <v>-94.742189484379</v>
      </c>
      <c r="J103" s="156">
        <f t="shared" si="19"/>
        <v>-107.95021590043181</v>
      </c>
      <c r="K103" s="156">
        <f t="shared" si="19"/>
        <v>-108.45821691643387</v>
      </c>
      <c r="L103" s="156"/>
      <c r="M103" s="156">
        <f t="shared" si="19"/>
        <v>-104.90220980441961</v>
      </c>
      <c r="N103" s="156">
        <f t="shared" si="19"/>
        <v>-93.21818643637286</v>
      </c>
      <c r="O103" s="156">
        <f t="shared" si="19"/>
        <v>-101.3462026924054</v>
      </c>
      <c r="P103" s="156"/>
      <c r="Q103" s="156"/>
      <c r="R103" s="156">
        <f t="shared" si="19"/>
        <v>-97.79019558039118</v>
      </c>
      <c r="S103" s="156">
        <f t="shared" si="19"/>
        <v>-134.36626873253746</v>
      </c>
      <c r="T103" s="156">
        <f t="shared" si="19"/>
        <v>-106.93421386842775</v>
      </c>
      <c r="U103" s="517"/>
      <c r="V103" s="518"/>
      <c r="W103" s="156">
        <f>W85*1000/39.37</f>
        <v>-103.45636075887536</v>
      </c>
      <c r="X103" s="418">
        <f>X85*1000/39.37</f>
        <v>16.275660925500205</v>
      </c>
      <c r="Y103" s="516"/>
      <c r="Z103" s="516"/>
      <c r="AA103" s="79" t="str">
        <f>$C$3</f>
        <v>I-001 5th sizing</v>
      </c>
      <c r="AB103" s="60" t="str">
        <f>$C$4</f>
        <v>inner</v>
      </c>
      <c r="AC103" s="76" t="s">
        <v>9</v>
      </c>
      <c r="AD103" s="153">
        <f>W103</f>
        <v>-103.45636075887536</v>
      </c>
      <c r="AE103" s="137">
        <f>X103</f>
        <v>16.275660925500205</v>
      </c>
    </row>
    <row r="104" spans="1:31" ht="12.75" customHeight="1">
      <c r="A104" s="164" t="str">
        <f>$C$3</f>
        <v>I-001 5th sizing</v>
      </c>
      <c r="B104" s="165" t="str">
        <f>$C$4</f>
        <v>inner</v>
      </c>
      <c r="C104" s="93" t="s">
        <v>7</v>
      </c>
      <c r="D104" s="94">
        <f t="shared" si="19"/>
        <v>-97.28219456438913</v>
      </c>
      <c r="E104" s="95">
        <f t="shared" si="19"/>
        <v>-89.1541783083566</v>
      </c>
      <c r="F104" s="95">
        <f t="shared" si="19"/>
        <v>-118.11023622047243</v>
      </c>
      <c r="G104" s="95"/>
      <c r="H104" s="95"/>
      <c r="I104" s="95">
        <f t="shared" si="19"/>
        <v>-91.6941833883668</v>
      </c>
      <c r="J104" s="95">
        <f t="shared" si="19"/>
        <v>-101.85420370840743</v>
      </c>
      <c r="K104" s="95">
        <f t="shared" si="19"/>
        <v>-104.3942087884176</v>
      </c>
      <c r="L104" s="95"/>
      <c r="M104" s="95">
        <f t="shared" si="19"/>
        <v>-101.85420370840743</v>
      </c>
      <c r="N104" s="95">
        <f t="shared" si="19"/>
        <v>-96.26619253238508</v>
      </c>
      <c r="O104" s="95">
        <f t="shared" si="19"/>
        <v>-105.91821183642368</v>
      </c>
      <c r="P104" s="95"/>
      <c r="Q104" s="95"/>
      <c r="R104" s="95">
        <f t="shared" si="19"/>
        <v>-62.230124460248916</v>
      </c>
      <c r="S104" s="95">
        <f t="shared" si="19"/>
        <v>-113.03022606045215</v>
      </c>
      <c r="T104" s="95">
        <f t="shared" si="19"/>
        <v>-105.41021082042167</v>
      </c>
      <c r="U104" s="536"/>
      <c r="V104" s="537"/>
      <c r="W104" s="95">
        <f>W86*1000/39.37</f>
        <v>-98.93319786639574</v>
      </c>
      <c r="X104" s="419">
        <f>X86*1000/39.37</f>
        <v>14.171357772877723</v>
      </c>
      <c r="AA104" s="164" t="str">
        <f>$C$3</f>
        <v>I-001 5th sizing</v>
      </c>
      <c r="AB104" s="165" t="str">
        <f>$C$4</f>
        <v>inner</v>
      </c>
      <c r="AC104" s="166" t="s">
        <v>7</v>
      </c>
      <c r="AD104" s="167">
        <f>W104</f>
        <v>-98.93319786639574</v>
      </c>
      <c r="AE104" s="168">
        <f>X104</f>
        <v>14.171357772877723</v>
      </c>
    </row>
    <row r="105" spans="4:24" ht="12.75" customHeight="1">
      <c r="D105" s="520"/>
      <c r="X105" s="516"/>
    </row>
  </sheetData>
  <printOptions horizontalCentered="1" verticalCentered="1"/>
  <pageMargins left="0" right="0" top="0" bottom="0" header="0.5" footer="0.5"/>
  <pageSetup fitToHeight="1" fitToWidth="1" orientation="portrait" scale="49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5"/>
  <sheetViews>
    <sheetView view="pageBreakPreview" zoomScale="60" workbookViewId="0" topLeftCell="A22">
      <selection activeCell="F44" sqref="F44"/>
    </sheetView>
  </sheetViews>
  <sheetFormatPr defaultColWidth="9.00390625" defaultRowHeight="12.75"/>
  <cols>
    <col min="1" max="3" width="13.25390625" style="516" customWidth="1"/>
    <col min="4" max="4" width="9.375" style="516" customWidth="1"/>
    <col min="5" max="24" width="9.375" style="520" customWidth="1"/>
    <col min="25" max="16384" width="8.00390625" style="516" customWidth="1"/>
  </cols>
  <sheetData>
    <row r="1" spans="1:25" s="481" customFormat="1" ht="12.75">
      <c r="A1" s="68" t="s">
        <v>72</v>
      </c>
      <c r="B1" s="22"/>
      <c r="C1" s="22"/>
      <c r="D1" s="22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22"/>
    </row>
    <row r="2" spans="1:22" s="481" customFormat="1" ht="12.75">
      <c r="A2" s="22"/>
      <c r="B2" s="22"/>
      <c r="C2" s="22"/>
      <c r="D2" s="22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s="481" customFormat="1" ht="12.75">
      <c r="A3" s="23" t="s">
        <v>73</v>
      </c>
      <c r="B3" s="461" t="s">
        <v>156</v>
      </c>
      <c r="C3" s="24" t="s">
        <v>137</v>
      </c>
      <c r="D3" s="25"/>
      <c r="E3" s="100"/>
      <c r="F3" s="101"/>
      <c r="G3" s="102" t="s">
        <v>19</v>
      </c>
      <c r="H3" s="103"/>
      <c r="I3" s="102" t="s">
        <v>20</v>
      </c>
      <c r="J3" s="103"/>
      <c r="M3" s="462"/>
      <c r="N3" s="96"/>
      <c r="O3" s="96"/>
      <c r="P3" s="96"/>
      <c r="Q3" s="96"/>
      <c r="R3" s="96"/>
      <c r="S3" s="96"/>
      <c r="T3" s="96"/>
      <c r="U3" s="96"/>
      <c r="V3" s="96"/>
    </row>
    <row r="4" spans="1:22" s="481" customFormat="1" ht="12.75">
      <c r="A4" s="23" t="s">
        <v>74</v>
      </c>
      <c r="B4" s="461" t="s">
        <v>157</v>
      </c>
      <c r="C4" s="24" t="s">
        <v>75</v>
      </c>
      <c r="D4" s="25"/>
      <c r="E4" s="104" t="s">
        <v>76</v>
      </c>
      <c r="F4" s="105"/>
      <c r="G4" s="106">
        <v>34</v>
      </c>
      <c r="H4" s="107"/>
      <c r="I4" s="106">
        <v>24.6</v>
      </c>
      <c r="J4" s="107"/>
      <c r="M4" s="462"/>
      <c r="N4" s="96"/>
      <c r="O4" s="96"/>
      <c r="P4" s="96"/>
      <c r="Q4" s="96"/>
      <c r="R4" s="96"/>
      <c r="S4" s="96"/>
      <c r="T4" s="96"/>
      <c r="U4" s="96"/>
      <c r="V4" s="96"/>
    </row>
    <row r="5" spans="1:22" s="481" customFormat="1" ht="12.75">
      <c r="A5" s="23" t="s">
        <v>77</v>
      </c>
      <c r="B5" s="461"/>
      <c r="C5" s="24" t="s">
        <v>78</v>
      </c>
      <c r="D5" s="25"/>
      <c r="E5" s="108" t="s">
        <v>79</v>
      </c>
      <c r="F5" s="109"/>
      <c r="G5" s="110">
        <v>1.68515</v>
      </c>
      <c r="H5" s="111"/>
      <c r="I5" s="110">
        <v>2.31845</v>
      </c>
      <c r="J5" s="112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63" s="481" customFormat="1" ht="12.75">
      <c r="A6" s="23" t="s">
        <v>53</v>
      </c>
      <c r="B6" s="461"/>
      <c r="C6" s="24"/>
      <c r="D6" s="25"/>
      <c r="E6" s="113" t="s">
        <v>80</v>
      </c>
      <c r="F6" s="114"/>
      <c r="G6" s="115">
        <f>G5*G4*PI()/180</f>
        <v>0.9999881402594031</v>
      </c>
      <c r="H6" s="116"/>
      <c r="I6" s="115">
        <f>I5*I4*PI()/180</f>
        <v>0.9954288166544184</v>
      </c>
      <c r="J6" s="117"/>
      <c r="K6" s="96"/>
      <c r="L6" s="96"/>
      <c r="M6" s="462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22"/>
      <c r="BI6" s="9"/>
      <c r="BJ6" s="12"/>
      <c r="BK6" s="12"/>
    </row>
    <row r="7" spans="1:63" s="481" customFormat="1" ht="12.75">
      <c r="A7" s="96" t="s">
        <v>81</v>
      </c>
      <c r="B7" s="96"/>
      <c r="C7" s="178">
        <v>34129</v>
      </c>
      <c r="D7" s="25"/>
      <c r="E7" s="96"/>
      <c r="F7" s="96"/>
      <c r="G7" s="96"/>
      <c r="H7" s="96"/>
      <c r="I7" s="96"/>
      <c r="J7" s="96"/>
      <c r="K7" s="96"/>
      <c r="L7" s="96"/>
      <c r="M7" s="462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22"/>
      <c r="BI7" s="9"/>
      <c r="BJ7" s="12"/>
      <c r="BK7" s="12"/>
    </row>
    <row r="8" spans="1:63" s="481" customFormat="1" ht="12.75">
      <c r="A8" s="96" t="s">
        <v>82</v>
      </c>
      <c r="B8" s="96"/>
      <c r="C8" s="179" t="s">
        <v>83</v>
      </c>
      <c r="D8" s="25"/>
      <c r="E8" s="96"/>
      <c r="F8" s="96"/>
      <c r="G8" s="96"/>
      <c r="H8" s="96"/>
      <c r="I8" s="96"/>
      <c r="J8" s="96"/>
      <c r="K8" s="96"/>
      <c r="L8" s="96"/>
      <c r="M8" s="462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22"/>
      <c r="BI8" s="9"/>
      <c r="BJ8" s="12"/>
      <c r="BK8" s="12"/>
    </row>
    <row r="9" spans="1:63" s="481" customFormat="1" ht="12.75">
      <c r="A9" s="23"/>
      <c r="B9" s="461"/>
      <c r="C9" s="47"/>
      <c r="D9" s="47"/>
      <c r="E9" s="96"/>
      <c r="F9" s="96"/>
      <c r="G9" s="96"/>
      <c r="H9" s="96"/>
      <c r="I9" s="96"/>
      <c r="J9" s="96"/>
      <c r="K9" s="96"/>
      <c r="L9" s="96"/>
      <c r="M9" s="462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22"/>
      <c r="BF9" s="9"/>
      <c r="BI9" s="10"/>
      <c r="BJ9" s="12"/>
      <c r="BK9" s="12"/>
    </row>
    <row r="10" spans="1:63" s="481" customFormat="1" ht="12.75">
      <c r="A10" s="523"/>
      <c r="B10" s="523" t="s">
        <v>84</v>
      </c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4"/>
      <c r="N10" s="525"/>
      <c r="O10" s="525" t="s">
        <v>84</v>
      </c>
      <c r="P10" s="525"/>
      <c r="Q10" s="525"/>
      <c r="R10" s="525"/>
      <c r="S10" s="525"/>
      <c r="T10" s="525"/>
      <c r="U10" s="525"/>
      <c r="V10" s="525"/>
      <c r="W10" s="525"/>
      <c r="X10" s="525"/>
      <c r="Y10" s="525"/>
      <c r="Z10" s="526"/>
      <c r="AA10" s="526"/>
      <c r="AB10" s="526"/>
      <c r="AC10" s="526"/>
      <c r="AD10" s="526"/>
      <c r="AE10" s="526"/>
      <c r="AF10" s="526"/>
      <c r="AG10" s="526"/>
      <c r="AH10" s="526"/>
      <c r="AI10" s="526"/>
      <c r="AJ10" s="526"/>
      <c r="AK10" s="526"/>
      <c r="AL10" s="526"/>
      <c r="AM10" s="526"/>
      <c r="AN10" s="526"/>
      <c r="AO10" s="526"/>
      <c r="AP10" s="526"/>
      <c r="AQ10" s="526"/>
      <c r="AR10" s="526"/>
      <c r="AS10" s="526"/>
      <c r="AT10" s="526"/>
      <c r="AU10" s="526"/>
      <c r="AV10" s="526"/>
      <c r="AW10" s="526"/>
      <c r="AX10" s="526"/>
      <c r="AY10" s="526"/>
      <c r="AZ10" s="526"/>
      <c r="BA10" s="526"/>
      <c r="BB10" s="526"/>
      <c r="BC10" s="526"/>
      <c r="BD10" s="526"/>
      <c r="BE10" s="526"/>
      <c r="BF10" s="9"/>
      <c r="BI10" s="10"/>
      <c r="BJ10" s="12"/>
      <c r="BK10" s="12"/>
    </row>
    <row r="11" spans="1:63" s="481" customFormat="1" ht="12.75">
      <c r="A11" s="494"/>
      <c r="B11" s="497" t="s">
        <v>85</v>
      </c>
      <c r="C11" s="498"/>
      <c r="D11" s="497" t="s">
        <v>85</v>
      </c>
      <c r="E11" s="498"/>
      <c r="F11" s="497" t="s">
        <v>85</v>
      </c>
      <c r="G11" s="498"/>
      <c r="H11" s="497" t="s">
        <v>85</v>
      </c>
      <c r="I11" s="498"/>
      <c r="J11" s="497" t="s">
        <v>85</v>
      </c>
      <c r="K11" s="498"/>
      <c r="L11" s="494"/>
      <c r="M11" s="462"/>
      <c r="N11" s="494"/>
      <c r="O11" s="497" t="s">
        <v>85</v>
      </c>
      <c r="P11" s="498"/>
      <c r="Q11" s="497" t="s">
        <v>85</v>
      </c>
      <c r="R11" s="498"/>
      <c r="S11" s="497" t="s">
        <v>85</v>
      </c>
      <c r="T11" s="498"/>
      <c r="U11" s="497" t="s">
        <v>85</v>
      </c>
      <c r="V11" s="498"/>
      <c r="W11" s="497" t="s">
        <v>85</v>
      </c>
      <c r="X11" s="498"/>
      <c r="Y11" s="494"/>
      <c r="BF11" s="9"/>
      <c r="BI11" s="10"/>
      <c r="BJ11" s="12"/>
      <c r="BK11" s="12"/>
    </row>
    <row r="12" spans="1:63" s="481" customFormat="1" ht="12.75">
      <c r="A12" s="494" t="s">
        <v>86</v>
      </c>
      <c r="B12" s="500"/>
      <c r="C12" s="501"/>
      <c r="D12" s="500"/>
      <c r="E12" s="501"/>
      <c r="F12" s="500"/>
      <c r="G12" s="501"/>
      <c r="H12" s="500"/>
      <c r="I12" s="501"/>
      <c r="J12" s="500"/>
      <c r="K12" s="501"/>
      <c r="L12" s="494" t="s">
        <v>86</v>
      </c>
      <c r="M12" s="462"/>
      <c r="N12" s="494" t="s">
        <v>86</v>
      </c>
      <c r="O12" s="500"/>
      <c r="P12" s="501"/>
      <c r="Q12" s="500"/>
      <c r="R12" s="501"/>
      <c r="S12" s="500"/>
      <c r="T12" s="501"/>
      <c r="U12" s="500"/>
      <c r="V12" s="501"/>
      <c r="W12" s="500"/>
      <c r="X12" s="501"/>
      <c r="Y12" s="494" t="s">
        <v>86</v>
      </c>
      <c r="BF12" s="9"/>
      <c r="BI12" s="10"/>
      <c r="BJ12" s="12"/>
      <c r="BK12" s="12"/>
    </row>
    <row r="13" spans="1:63" s="481" customFormat="1" ht="12.75">
      <c r="A13" s="494" t="s">
        <v>87</v>
      </c>
      <c r="B13" s="503" t="s">
        <v>88</v>
      </c>
      <c r="C13" s="504"/>
      <c r="D13" s="503" t="s">
        <v>89</v>
      </c>
      <c r="E13" s="504"/>
      <c r="F13" s="503" t="s">
        <v>90</v>
      </c>
      <c r="G13" s="504"/>
      <c r="H13" s="503" t="s">
        <v>91</v>
      </c>
      <c r="I13" s="504"/>
      <c r="J13" s="503" t="s">
        <v>92</v>
      </c>
      <c r="K13" s="504"/>
      <c r="L13" s="494" t="s">
        <v>87</v>
      </c>
      <c r="M13" s="462"/>
      <c r="N13" s="494" t="s">
        <v>87</v>
      </c>
      <c r="O13" s="503" t="s">
        <v>88</v>
      </c>
      <c r="P13" s="504"/>
      <c r="Q13" s="503" t="s">
        <v>89</v>
      </c>
      <c r="R13" s="504"/>
      <c r="S13" s="503" t="s">
        <v>90</v>
      </c>
      <c r="T13" s="504"/>
      <c r="U13" s="503" t="s">
        <v>91</v>
      </c>
      <c r="V13" s="504"/>
      <c r="W13" s="503" t="s">
        <v>92</v>
      </c>
      <c r="X13" s="504"/>
      <c r="Y13" s="494" t="s">
        <v>87</v>
      </c>
      <c r="BF13" s="9"/>
      <c r="BI13" s="10"/>
      <c r="BJ13" s="12"/>
      <c r="BK13" s="12"/>
    </row>
    <row r="14" spans="1:63" s="481" customFormat="1" ht="12.75">
      <c r="A14" s="494" t="s">
        <v>93</v>
      </c>
      <c r="B14" s="494"/>
      <c r="C14" s="494"/>
      <c r="D14" s="494"/>
      <c r="E14" s="494"/>
      <c r="F14" s="494"/>
      <c r="G14" s="494"/>
      <c r="H14" s="494"/>
      <c r="I14" s="494"/>
      <c r="J14" s="494"/>
      <c r="K14" s="494"/>
      <c r="L14" s="494" t="s">
        <v>93</v>
      </c>
      <c r="M14" s="462"/>
      <c r="N14" s="494" t="s">
        <v>93</v>
      </c>
      <c r="O14" s="494"/>
      <c r="P14" s="494"/>
      <c r="Q14" s="494"/>
      <c r="R14" s="494"/>
      <c r="S14" s="494"/>
      <c r="T14" s="494"/>
      <c r="U14" s="494"/>
      <c r="V14" s="494"/>
      <c r="W14" s="494"/>
      <c r="X14" s="494"/>
      <c r="Y14" s="494" t="s">
        <v>93</v>
      </c>
      <c r="BF14" s="9"/>
      <c r="BI14" s="10"/>
      <c r="BJ14" s="12"/>
      <c r="BK14" s="12"/>
    </row>
    <row r="15" spans="1:63" s="481" customFormat="1" ht="12.75">
      <c r="A15" s="494" t="s">
        <v>6</v>
      </c>
      <c r="B15" s="494" t="s">
        <v>94</v>
      </c>
      <c r="C15" s="494" t="s">
        <v>95</v>
      </c>
      <c r="D15" s="494" t="s">
        <v>94</v>
      </c>
      <c r="E15" s="494" t="s">
        <v>95</v>
      </c>
      <c r="F15" s="494" t="s">
        <v>94</v>
      </c>
      <c r="G15" s="494" t="s">
        <v>95</v>
      </c>
      <c r="H15" s="494" t="s">
        <v>94</v>
      </c>
      <c r="I15" s="494" t="s">
        <v>95</v>
      </c>
      <c r="J15" s="494" t="s">
        <v>94</v>
      </c>
      <c r="K15" s="494" t="s">
        <v>95</v>
      </c>
      <c r="L15" s="494" t="s">
        <v>6</v>
      </c>
      <c r="M15" s="462"/>
      <c r="N15" s="494" t="s">
        <v>8</v>
      </c>
      <c r="O15" s="494" t="s">
        <v>94</v>
      </c>
      <c r="P15" s="494" t="s">
        <v>95</v>
      </c>
      <c r="Q15" s="494" t="s">
        <v>94</v>
      </c>
      <c r="R15" s="494" t="s">
        <v>95</v>
      </c>
      <c r="S15" s="494" t="s">
        <v>94</v>
      </c>
      <c r="T15" s="494" t="s">
        <v>95</v>
      </c>
      <c r="U15" s="494" t="s">
        <v>94</v>
      </c>
      <c r="V15" s="494" t="s">
        <v>95</v>
      </c>
      <c r="W15" s="494" t="s">
        <v>94</v>
      </c>
      <c r="X15" s="494" t="s">
        <v>95</v>
      </c>
      <c r="Y15" s="494" t="s">
        <v>8</v>
      </c>
      <c r="BF15" s="9"/>
      <c r="BI15" s="10"/>
      <c r="BJ15" s="12"/>
      <c r="BK15" s="12"/>
    </row>
    <row r="16" spans="1:63" s="481" customFormat="1" ht="12.75" customHeight="1">
      <c r="A16" s="494" t="s">
        <v>96</v>
      </c>
      <c r="C16" s="507"/>
      <c r="D16" s="507">
        <v>-0.00188</v>
      </c>
      <c r="E16" s="507">
        <v>0</v>
      </c>
      <c r="F16" s="507">
        <v>0.00246</v>
      </c>
      <c r="G16" s="507">
        <v>0.00216</v>
      </c>
      <c r="H16" s="507">
        <v>0.00676</v>
      </c>
      <c r="I16" s="507">
        <v>0.0042</v>
      </c>
      <c r="J16" s="507">
        <v>0.0111</v>
      </c>
      <c r="K16" s="507">
        <v>0.00628</v>
      </c>
      <c r="L16" s="494" t="s">
        <v>96</v>
      </c>
      <c r="M16" s="462"/>
      <c r="N16" s="494" t="s">
        <v>96</v>
      </c>
      <c r="O16" s="494"/>
      <c r="P16" s="494"/>
      <c r="Q16" s="494">
        <v>-0.00208</v>
      </c>
      <c r="R16" s="494">
        <v>0</v>
      </c>
      <c r="S16" s="494">
        <v>0.00244</v>
      </c>
      <c r="T16" s="494">
        <v>0.00222</v>
      </c>
      <c r="U16" s="494">
        <v>0.0069</v>
      </c>
      <c r="V16" s="494">
        <v>0.00426</v>
      </c>
      <c r="W16" s="494">
        <v>0.0112</v>
      </c>
      <c r="X16" s="494">
        <v>0.00634</v>
      </c>
      <c r="Y16" s="494" t="s">
        <v>96</v>
      </c>
      <c r="BF16" s="9"/>
      <c r="BI16" s="10"/>
      <c r="BJ16" s="12"/>
      <c r="BK16" s="12"/>
    </row>
    <row r="17" spans="1:63" s="182" customFormat="1" ht="12.75" customHeight="1">
      <c r="A17" s="494" t="s">
        <v>97</v>
      </c>
      <c r="B17" s="507"/>
      <c r="C17" s="507"/>
      <c r="D17" s="507">
        <v>0.00514</v>
      </c>
      <c r="E17" s="507">
        <v>0.00206</v>
      </c>
      <c r="F17" s="507">
        <v>0.00806</v>
      </c>
      <c r="G17" s="507">
        <v>0.0039</v>
      </c>
      <c r="H17" s="507">
        <v>0.01072</v>
      </c>
      <c r="I17" s="507">
        <v>0.00554</v>
      </c>
      <c r="J17" s="507">
        <v>0.01134</v>
      </c>
      <c r="K17" s="507">
        <v>0.00628</v>
      </c>
      <c r="L17" s="494" t="s">
        <v>97</v>
      </c>
      <c r="M17" s="181"/>
      <c r="N17" s="527" t="s">
        <v>97</v>
      </c>
      <c r="O17" s="527"/>
      <c r="P17" s="527"/>
      <c r="Q17" s="527">
        <v>0.00538</v>
      </c>
      <c r="R17" s="527">
        <v>0.00212</v>
      </c>
      <c r="S17" s="527">
        <v>0.00832</v>
      </c>
      <c r="T17" s="527">
        <v>0.00398</v>
      </c>
      <c r="U17" s="527">
        <v>0.011</v>
      </c>
      <c r="V17" s="527">
        <v>0.00562</v>
      </c>
      <c r="W17" s="527">
        <v>0.01154</v>
      </c>
      <c r="X17" s="527">
        <v>0.00634</v>
      </c>
      <c r="Y17" s="527" t="s">
        <v>97</v>
      </c>
      <c r="BF17" s="68"/>
      <c r="BI17" s="183"/>
      <c r="BJ17" s="184"/>
      <c r="BK17" s="184"/>
    </row>
    <row r="18" spans="1:63" s="481" customFormat="1" ht="12.75" customHeight="1">
      <c r="A18" s="527">
        <v>2</v>
      </c>
      <c r="B18" s="528"/>
      <c r="C18" s="528"/>
      <c r="D18" s="528">
        <v>-0.00128</v>
      </c>
      <c r="E18" s="528"/>
      <c r="F18" s="528">
        <v>0.00312</v>
      </c>
      <c r="G18" s="528"/>
      <c r="H18" s="528">
        <v>0.00732</v>
      </c>
      <c r="I18" s="528"/>
      <c r="J18" s="528">
        <v>0.0116</v>
      </c>
      <c r="K18" s="528"/>
      <c r="L18" s="527">
        <v>2</v>
      </c>
      <c r="M18" s="529"/>
      <c r="N18" s="527">
        <v>2</v>
      </c>
      <c r="O18" s="527"/>
      <c r="P18" s="527"/>
      <c r="Q18" s="527">
        <v>-0.0023</v>
      </c>
      <c r="R18" s="527"/>
      <c r="S18" s="527">
        <v>0.00226</v>
      </c>
      <c r="T18" s="527"/>
      <c r="U18" s="527">
        <v>0.00688</v>
      </c>
      <c r="V18" s="527"/>
      <c r="W18" s="527">
        <v>0.01134</v>
      </c>
      <c r="X18" s="527"/>
      <c r="Y18" s="527">
        <v>2</v>
      </c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9"/>
      <c r="BI18" s="10"/>
      <c r="BJ18" s="12"/>
      <c r="BK18" s="12"/>
    </row>
    <row r="19" spans="1:63" s="481" customFormat="1" ht="12.75" customHeight="1">
      <c r="A19" s="494">
        <v>3</v>
      </c>
      <c r="B19" s="507"/>
      <c r="C19" s="507"/>
      <c r="D19" s="507">
        <v>-0.00296</v>
      </c>
      <c r="E19" s="507"/>
      <c r="F19" s="507">
        <v>0.00132</v>
      </c>
      <c r="G19" s="507"/>
      <c r="H19" s="507">
        <v>0.00568</v>
      </c>
      <c r="I19" s="507"/>
      <c r="J19" s="507">
        <v>0.01</v>
      </c>
      <c r="K19" s="507"/>
      <c r="L19" s="494">
        <v>3</v>
      </c>
      <c r="M19" s="462"/>
      <c r="N19" s="494">
        <v>3</v>
      </c>
      <c r="O19" s="494"/>
      <c r="P19" s="494"/>
      <c r="Q19" s="494">
        <v>-0.00186</v>
      </c>
      <c r="R19" s="494"/>
      <c r="S19" s="494">
        <v>0.00256</v>
      </c>
      <c r="T19" s="494"/>
      <c r="U19" s="568">
        <f>AVERAGE(U18,U20)</f>
        <v>0.0069700000000000005</v>
      </c>
      <c r="V19" s="527"/>
      <c r="W19" s="527">
        <v>0.01152</v>
      </c>
      <c r="X19" s="527"/>
      <c r="Y19" s="527">
        <v>3</v>
      </c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9"/>
      <c r="BI19" s="10"/>
      <c r="BJ19" s="12"/>
      <c r="BK19" s="12"/>
    </row>
    <row r="20" spans="1:63" s="481" customFormat="1" ht="12.75" customHeight="1">
      <c r="A20" s="494" t="s">
        <v>98</v>
      </c>
      <c r="B20" s="507"/>
      <c r="C20" s="507"/>
      <c r="D20" s="507">
        <v>-0.00072</v>
      </c>
      <c r="E20" s="507"/>
      <c r="F20" s="507">
        <v>0.00348</v>
      </c>
      <c r="G20" s="507"/>
      <c r="H20" s="507">
        <v>0.00766</v>
      </c>
      <c r="I20" s="507"/>
      <c r="J20" s="507">
        <v>0.012</v>
      </c>
      <c r="K20" s="507"/>
      <c r="L20" s="494" t="s">
        <v>98</v>
      </c>
      <c r="M20" s="462"/>
      <c r="N20" s="494" t="s">
        <v>98</v>
      </c>
      <c r="O20" s="494"/>
      <c r="P20" s="494"/>
      <c r="Q20" s="494">
        <v>-0.001168</v>
      </c>
      <c r="R20" s="494"/>
      <c r="S20" s="494">
        <v>0.0027</v>
      </c>
      <c r="T20" s="494"/>
      <c r="U20" s="494">
        <v>0.00706</v>
      </c>
      <c r="V20" s="494"/>
      <c r="W20" s="494">
        <v>0.0115</v>
      </c>
      <c r="X20" s="494"/>
      <c r="Y20" s="494" t="s">
        <v>98</v>
      </c>
      <c r="BF20" s="9"/>
      <c r="BI20" s="10"/>
      <c r="BJ20" s="12"/>
      <c r="BK20" s="12"/>
    </row>
    <row r="21" spans="1:63" s="182" customFormat="1" ht="12.75" customHeight="1">
      <c r="A21" s="494" t="s">
        <v>99</v>
      </c>
      <c r="B21" s="507"/>
      <c r="C21" s="507"/>
      <c r="D21" s="507">
        <v>0.00626</v>
      </c>
      <c r="E21" s="507"/>
      <c r="F21" s="507">
        <v>0.00906</v>
      </c>
      <c r="G21" s="507"/>
      <c r="H21" s="507">
        <v>0.01176</v>
      </c>
      <c r="I21" s="507"/>
      <c r="J21" s="507">
        <v>0.01222</v>
      </c>
      <c r="K21" s="507"/>
      <c r="L21" s="494" t="s">
        <v>99</v>
      </c>
      <c r="M21" s="181"/>
      <c r="N21" s="527" t="s">
        <v>99</v>
      </c>
      <c r="O21" s="527"/>
      <c r="P21" s="527"/>
      <c r="Q21" s="527">
        <v>0.00568</v>
      </c>
      <c r="R21" s="527"/>
      <c r="S21" s="527">
        <v>0.00854</v>
      </c>
      <c r="T21" s="527"/>
      <c r="U21" s="527">
        <v>0.01128</v>
      </c>
      <c r="V21" s="527"/>
      <c r="W21" s="527">
        <v>0.01172</v>
      </c>
      <c r="X21" s="527"/>
      <c r="Y21" s="527" t="s">
        <v>99</v>
      </c>
      <c r="BF21" s="68"/>
      <c r="BI21" s="183"/>
      <c r="BJ21" s="184"/>
      <c r="BK21" s="184"/>
    </row>
    <row r="22" spans="1:63" s="481" customFormat="1" ht="12.75" customHeight="1">
      <c r="A22" s="527">
        <v>5</v>
      </c>
      <c r="B22" s="528"/>
      <c r="C22" s="528"/>
      <c r="D22" s="528">
        <v>-0.0015</v>
      </c>
      <c r="E22" s="528"/>
      <c r="F22" s="528">
        <v>0.0029</v>
      </c>
      <c r="G22" s="528"/>
      <c r="H22" s="528">
        <v>0.00728</v>
      </c>
      <c r="I22" s="528"/>
      <c r="J22" s="528">
        <v>0.01174</v>
      </c>
      <c r="K22" s="528"/>
      <c r="L22" s="527">
        <v>5</v>
      </c>
      <c r="M22" s="529"/>
      <c r="N22" s="527">
        <v>5</v>
      </c>
      <c r="O22" s="527"/>
      <c r="P22" s="527"/>
      <c r="Q22" s="527">
        <v>-0.00364</v>
      </c>
      <c r="R22" s="527"/>
      <c r="S22" s="527">
        <v>0.00062</v>
      </c>
      <c r="T22" s="527"/>
      <c r="U22" s="527">
        <v>0.00498</v>
      </c>
      <c r="V22" s="527"/>
      <c r="W22" s="527">
        <v>0.00954</v>
      </c>
      <c r="X22" s="527"/>
      <c r="Y22" s="527">
        <v>5</v>
      </c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9"/>
      <c r="BI22" s="10"/>
      <c r="BJ22" s="12"/>
      <c r="BK22" s="12"/>
    </row>
    <row r="23" spans="1:63" s="481" customFormat="1" ht="12.75">
      <c r="A23" s="494">
        <v>6</v>
      </c>
      <c r="B23" s="507"/>
      <c r="C23" s="507"/>
      <c r="D23" s="507">
        <v>-0.00244</v>
      </c>
      <c r="E23" s="507"/>
      <c r="F23" s="507">
        <v>0.00212</v>
      </c>
      <c r="G23" s="507"/>
      <c r="H23" s="507">
        <v>0.00658</v>
      </c>
      <c r="I23" s="507"/>
      <c r="J23" s="507">
        <v>0.0112</v>
      </c>
      <c r="K23" s="507"/>
      <c r="L23" s="494">
        <v>6</v>
      </c>
      <c r="M23" s="462"/>
      <c r="N23" s="494">
        <v>6</v>
      </c>
      <c r="O23" s="494"/>
      <c r="P23" s="494"/>
      <c r="Q23" s="494">
        <v>-0.00202</v>
      </c>
      <c r="R23" s="494"/>
      <c r="S23" s="494">
        <v>0.00236</v>
      </c>
      <c r="T23" s="494"/>
      <c r="U23" s="494">
        <v>0.00684</v>
      </c>
      <c r="V23" s="494"/>
      <c r="W23" s="494">
        <v>0.01134</v>
      </c>
      <c r="X23" s="494"/>
      <c r="Y23" s="494">
        <v>6</v>
      </c>
      <c r="BF23" s="9"/>
      <c r="BI23" s="10"/>
      <c r="BJ23" s="12"/>
      <c r="BK23" s="12"/>
    </row>
    <row r="24" spans="1:63" s="481" customFormat="1" ht="12" customHeight="1">
      <c r="A24" s="494" t="s">
        <v>100</v>
      </c>
      <c r="B24" s="507"/>
      <c r="C24" s="507"/>
      <c r="D24" s="507">
        <v>-0.0023</v>
      </c>
      <c r="E24" s="507"/>
      <c r="F24" s="507">
        <v>0.0022</v>
      </c>
      <c r="G24" s="507"/>
      <c r="H24" s="507">
        <v>0.00666</v>
      </c>
      <c r="I24" s="507"/>
      <c r="J24" s="507">
        <v>0.0113</v>
      </c>
      <c r="K24" s="507"/>
      <c r="L24" s="494" t="s">
        <v>100</v>
      </c>
      <c r="M24" s="462"/>
      <c r="N24" s="494" t="s">
        <v>100</v>
      </c>
      <c r="O24" s="494"/>
      <c r="P24" s="494"/>
      <c r="Q24" s="494">
        <v>-0.00196</v>
      </c>
      <c r="R24" s="494"/>
      <c r="S24" s="494">
        <v>0.00236</v>
      </c>
      <c r="T24" s="494"/>
      <c r="U24" s="494">
        <v>0.0068</v>
      </c>
      <c r="V24" s="494"/>
      <c r="W24" s="494">
        <v>0.01136</v>
      </c>
      <c r="X24" s="494"/>
      <c r="Y24" s="494" t="s">
        <v>100</v>
      </c>
      <c r="BF24" s="9"/>
      <c r="BI24" s="10"/>
      <c r="BJ24" s="12"/>
      <c r="BK24" s="12"/>
    </row>
    <row r="25" spans="1:63" s="182" customFormat="1" ht="12" customHeight="1">
      <c r="A25" s="494" t="s">
        <v>101</v>
      </c>
      <c r="B25" s="507"/>
      <c r="C25" s="507"/>
      <c r="D25" s="507">
        <v>0.00538</v>
      </c>
      <c r="E25" s="507"/>
      <c r="F25" s="507">
        <v>0.00832</v>
      </c>
      <c r="G25" s="507"/>
      <c r="H25" s="507">
        <v>0.0111</v>
      </c>
      <c r="I25" s="507"/>
      <c r="J25" s="507">
        <v>0.01158</v>
      </c>
      <c r="K25" s="507"/>
      <c r="L25" s="494" t="s">
        <v>101</v>
      </c>
      <c r="M25" s="181"/>
      <c r="N25" s="527" t="s">
        <v>101</v>
      </c>
      <c r="O25" s="527"/>
      <c r="P25" s="527"/>
      <c r="Q25" s="527">
        <v>0.00548</v>
      </c>
      <c r="R25" s="527"/>
      <c r="S25" s="527">
        <v>0.00828</v>
      </c>
      <c r="T25" s="527"/>
      <c r="U25" s="527">
        <v>0.01098</v>
      </c>
      <c r="V25" s="527"/>
      <c r="W25" s="527">
        <v>0.01144</v>
      </c>
      <c r="X25" s="527"/>
      <c r="Y25" s="527" t="s">
        <v>101</v>
      </c>
      <c r="BF25" s="68"/>
      <c r="BI25" s="183"/>
      <c r="BJ25" s="184"/>
      <c r="BK25" s="184"/>
    </row>
    <row r="26" spans="1:63" s="481" customFormat="1" ht="12" customHeight="1">
      <c r="A26" s="527">
        <v>8</v>
      </c>
      <c r="B26" s="528"/>
      <c r="C26" s="528"/>
      <c r="D26" s="528">
        <v>-0.00266</v>
      </c>
      <c r="E26" s="528"/>
      <c r="F26" s="528">
        <v>0.00182</v>
      </c>
      <c r="G26" s="528"/>
      <c r="H26" s="528">
        <v>0.00628</v>
      </c>
      <c r="I26" s="528"/>
      <c r="J26" s="528">
        <v>0.01096</v>
      </c>
      <c r="K26" s="528"/>
      <c r="L26" s="527">
        <v>8</v>
      </c>
      <c r="M26" s="529"/>
      <c r="N26" s="527">
        <v>8</v>
      </c>
      <c r="O26" s="527"/>
      <c r="P26" s="527"/>
      <c r="Q26" s="527">
        <v>-0.00234</v>
      </c>
      <c r="R26" s="527"/>
      <c r="S26" s="527">
        <v>0.0021</v>
      </c>
      <c r="T26" s="527"/>
      <c r="U26" s="527">
        <v>0.0066</v>
      </c>
      <c r="V26" s="527"/>
      <c r="W26" s="527">
        <v>0.01114</v>
      </c>
      <c r="X26" s="527"/>
      <c r="Y26" s="527">
        <v>8</v>
      </c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9"/>
      <c r="BI26" s="10"/>
      <c r="BJ26" s="12"/>
      <c r="BK26" s="12"/>
    </row>
    <row r="27" spans="1:63" s="481" customFormat="1" ht="12" customHeight="1">
      <c r="A27" s="494">
        <v>9</v>
      </c>
      <c r="B27" s="507"/>
      <c r="C27" s="507"/>
      <c r="D27" s="507">
        <v>-0.00272</v>
      </c>
      <c r="E27" s="507"/>
      <c r="F27" s="507">
        <v>0.0018</v>
      </c>
      <c r="G27" s="507"/>
      <c r="H27" s="507">
        <v>0.00636</v>
      </c>
      <c r="I27" s="507"/>
      <c r="J27" s="507">
        <v>0.01106</v>
      </c>
      <c r="K27" s="507"/>
      <c r="L27" s="494">
        <v>9</v>
      </c>
      <c r="M27" s="462"/>
      <c r="N27" s="494">
        <v>9</v>
      </c>
      <c r="O27" s="494"/>
      <c r="P27" s="494"/>
      <c r="Q27" s="494">
        <v>-0.00186</v>
      </c>
      <c r="R27" s="494"/>
      <c r="S27" s="494">
        <v>0.0026</v>
      </c>
      <c r="T27" s="494"/>
      <c r="U27" s="494">
        <v>0.00696</v>
      </c>
      <c r="V27" s="494"/>
      <c r="W27" s="494">
        <v>0.01166</v>
      </c>
      <c r="X27" s="494"/>
      <c r="Y27" s="494">
        <v>9</v>
      </c>
      <c r="BF27" s="9"/>
      <c r="BI27" s="10"/>
      <c r="BJ27" s="12"/>
      <c r="BK27" s="12"/>
    </row>
    <row r="28" spans="1:63" s="481" customFormat="1" ht="12" customHeight="1">
      <c r="A28" s="494" t="s">
        <v>102</v>
      </c>
      <c r="B28" s="507"/>
      <c r="C28" s="507"/>
      <c r="D28" s="507">
        <v>-0.00224</v>
      </c>
      <c r="E28" s="507"/>
      <c r="F28" s="507">
        <v>0.00226</v>
      </c>
      <c r="G28" s="507"/>
      <c r="H28" s="507">
        <v>0.00674</v>
      </c>
      <c r="I28" s="507"/>
      <c r="J28" s="507">
        <v>0.0114</v>
      </c>
      <c r="K28" s="507"/>
      <c r="L28" s="494" t="s">
        <v>102</v>
      </c>
      <c r="M28" s="462"/>
      <c r="N28" s="494" t="s">
        <v>102</v>
      </c>
      <c r="O28" s="494"/>
      <c r="P28" s="494"/>
      <c r="Q28" s="494">
        <v>-0.00162</v>
      </c>
      <c r="R28" s="494"/>
      <c r="S28" s="494">
        <v>0.0027</v>
      </c>
      <c r="T28" s="494"/>
      <c r="U28" s="494">
        <v>0.00714</v>
      </c>
      <c r="V28" s="494"/>
      <c r="W28" s="494">
        <v>0.0116</v>
      </c>
      <c r="X28" s="494"/>
      <c r="Y28" s="494" t="s">
        <v>102</v>
      </c>
      <c r="BF28" s="9"/>
      <c r="BI28" s="10"/>
      <c r="BJ28" s="12"/>
      <c r="BK28" s="12"/>
    </row>
    <row r="29" spans="1:63" s="182" customFormat="1" ht="12" customHeight="1">
      <c r="A29" s="494" t="s">
        <v>103</v>
      </c>
      <c r="B29" s="507"/>
      <c r="C29" s="507"/>
      <c r="D29" s="507">
        <v>0.0055</v>
      </c>
      <c r="E29" s="507"/>
      <c r="F29" s="507">
        <v>0.00842</v>
      </c>
      <c r="G29" s="507"/>
      <c r="H29" s="507">
        <v>0.0112</v>
      </c>
      <c r="I29" s="507"/>
      <c r="J29" s="507">
        <v>0.0117</v>
      </c>
      <c r="K29" s="507"/>
      <c r="L29" s="494" t="s">
        <v>103</v>
      </c>
      <c r="M29" s="181"/>
      <c r="N29" s="527" t="s">
        <v>103</v>
      </c>
      <c r="O29" s="527"/>
      <c r="P29" s="527"/>
      <c r="Q29" s="527">
        <v>0.00586</v>
      </c>
      <c r="R29" s="527"/>
      <c r="S29" s="527">
        <v>0.00864</v>
      </c>
      <c r="T29" s="527"/>
      <c r="U29" s="527">
        <v>0.01132</v>
      </c>
      <c r="V29" s="527"/>
      <c r="W29" s="527">
        <v>0.01174</v>
      </c>
      <c r="X29" s="527"/>
      <c r="Y29" s="527" t="s">
        <v>103</v>
      </c>
      <c r="BF29" s="68"/>
      <c r="BI29" s="183"/>
      <c r="BJ29" s="184"/>
      <c r="BK29" s="184"/>
    </row>
    <row r="30" spans="1:63" s="481" customFormat="1" ht="12" customHeight="1">
      <c r="A30" s="527">
        <v>11</v>
      </c>
      <c r="B30" s="528"/>
      <c r="C30" s="528"/>
      <c r="D30" s="528">
        <v>-0.00258</v>
      </c>
      <c r="E30" s="528"/>
      <c r="F30" s="528">
        <v>0.00194</v>
      </c>
      <c r="G30" s="528"/>
      <c r="H30" s="528">
        <v>0.00638</v>
      </c>
      <c r="I30" s="528"/>
      <c r="J30" s="528">
        <v>0.01108</v>
      </c>
      <c r="K30" s="528"/>
      <c r="L30" s="527">
        <v>11</v>
      </c>
      <c r="M30" s="529"/>
      <c r="N30" s="527">
        <v>11</v>
      </c>
      <c r="O30" s="527"/>
      <c r="P30" s="527"/>
      <c r="Q30" s="527">
        <v>-0.00208</v>
      </c>
      <c r="R30" s="527"/>
      <c r="S30" s="527">
        <v>0.00238</v>
      </c>
      <c r="T30" s="527"/>
      <c r="U30" s="527">
        <v>0.00682</v>
      </c>
      <c r="V30" s="527"/>
      <c r="W30" s="527">
        <v>0.01138</v>
      </c>
      <c r="X30" s="527"/>
      <c r="Y30" s="527">
        <v>11</v>
      </c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9"/>
      <c r="BI30" s="10"/>
      <c r="BJ30" s="12"/>
      <c r="BK30" s="12"/>
    </row>
    <row r="31" spans="1:63" s="481" customFormat="1" ht="12" customHeight="1">
      <c r="A31" s="494">
        <v>12</v>
      </c>
      <c r="B31" s="507"/>
      <c r="C31" s="507"/>
      <c r="D31" s="507">
        <v>-0.0024</v>
      </c>
      <c r="E31" s="507"/>
      <c r="F31" s="507">
        <v>0.00222</v>
      </c>
      <c r="G31" s="507"/>
      <c r="H31" s="507">
        <v>0.00662</v>
      </c>
      <c r="I31" s="507"/>
      <c r="J31" s="507">
        <v>0.01118</v>
      </c>
      <c r="K31" s="507"/>
      <c r="L31" s="494">
        <v>12</v>
      </c>
      <c r="M31" s="462"/>
      <c r="N31" s="494">
        <v>12</v>
      </c>
      <c r="O31" s="494"/>
      <c r="P31" s="494"/>
      <c r="Q31" s="494">
        <v>-0.00212</v>
      </c>
      <c r="R31" s="494"/>
      <c r="S31" s="494">
        <v>0.0023</v>
      </c>
      <c r="T31" s="494"/>
      <c r="U31" s="494">
        <v>0.00672</v>
      </c>
      <c r="V31" s="494"/>
      <c r="W31" s="494">
        <v>0.01126</v>
      </c>
      <c r="X31" s="494"/>
      <c r="Y31" s="494">
        <v>12</v>
      </c>
      <c r="BF31" s="9"/>
      <c r="BI31" s="10"/>
      <c r="BJ31" s="12"/>
      <c r="BK31" s="12"/>
    </row>
    <row r="32" spans="1:63" s="481" customFormat="1" ht="12" customHeight="1">
      <c r="A32" s="494" t="s">
        <v>104</v>
      </c>
      <c r="B32" s="507"/>
      <c r="C32" s="507"/>
      <c r="D32" s="569">
        <v>-0.00238</v>
      </c>
      <c r="E32" s="507"/>
      <c r="F32" s="507">
        <v>0.00212</v>
      </c>
      <c r="G32" s="507"/>
      <c r="H32" s="507">
        <v>0.00662</v>
      </c>
      <c r="I32" s="507"/>
      <c r="J32" s="507">
        <v>0.0112</v>
      </c>
      <c r="K32" s="507"/>
      <c r="L32" s="494" t="s">
        <v>104</v>
      </c>
      <c r="M32" s="462"/>
      <c r="N32" s="494" t="s">
        <v>104</v>
      </c>
      <c r="O32" s="494"/>
      <c r="P32" s="494"/>
      <c r="Q32" s="494">
        <v>-0.0019</v>
      </c>
      <c r="R32" s="494"/>
      <c r="S32" s="494">
        <v>0.0025</v>
      </c>
      <c r="T32" s="494"/>
      <c r="U32" s="494">
        <v>0.00694</v>
      </c>
      <c r="V32" s="494"/>
      <c r="W32" s="494">
        <v>0.01136</v>
      </c>
      <c r="X32" s="494"/>
      <c r="Y32" s="494" t="s">
        <v>104</v>
      </c>
      <c r="BF32" s="9"/>
      <c r="BI32" s="10"/>
      <c r="BJ32" s="12"/>
      <c r="BK32" s="12"/>
    </row>
    <row r="33" spans="1:63" s="182" customFormat="1" ht="12" customHeight="1">
      <c r="A33" s="494" t="s">
        <v>105</v>
      </c>
      <c r="B33" s="507"/>
      <c r="C33" s="507"/>
      <c r="D33" s="507">
        <v>0.00524</v>
      </c>
      <c r="E33" s="507"/>
      <c r="F33" s="507">
        <v>0.00822</v>
      </c>
      <c r="G33" s="507"/>
      <c r="H33" s="507">
        <v>0.01092</v>
      </c>
      <c r="I33" s="507"/>
      <c r="J33" s="507">
        <v>0.01146</v>
      </c>
      <c r="K33" s="507"/>
      <c r="L33" s="494" t="s">
        <v>105</v>
      </c>
      <c r="M33" s="181"/>
      <c r="N33" s="527" t="s">
        <v>105</v>
      </c>
      <c r="O33" s="527"/>
      <c r="P33" s="527"/>
      <c r="Q33" s="527">
        <v>0.00546</v>
      </c>
      <c r="R33" s="527"/>
      <c r="S33" s="527">
        <v>0.00832</v>
      </c>
      <c r="T33" s="527"/>
      <c r="U33" s="527">
        <v>0.01106</v>
      </c>
      <c r="V33" s="527"/>
      <c r="W33" s="527">
        <v>0.01148</v>
      </c>
      <c r="X33" s="527"/>
      <c r="Y33" s="527" t="s">
        <v>105</v>
      </c>
      <c r="BF33" s="68"/>
      <c r="BI33" s="183"/>
      <c r="BJ33" s="184"/>
      <c r="BK33" s="184"/>
    </row>
    <row r="34" spans="1:63" s="481" customFormat="1" ht="12" customHeight="1">
      <c r="A34" s="527">
        <v>14</v>
      </c>
      <c r="B34" s="528"/>
      <c r="C34" s="528"/>
      <c r="D34" s="528">
        <v>-0.0022</v>
      </c>
      <c r="E34" s="528"/>
      <c r="F34" s="528">
        <v>0.00228</v>
      </c>
      <c r="G34" s="528"/>
      <c r="H34" s="528">
        <v>0.00676</v>
      </c>
      <c r="I34" s="528"/>
      <c r="J34" s="528">
        <v>0.01146</v>
      </c>
      <c r="K34" s="528"/>
      <c r="L34" s="527">
        <v>14</v>
      </c>
      <c r="M34" s="529"/>
      <c r="N34" s="527">
        <v>14</v>
      </c>
      <c r="O34" s="527"/>
      <c r="P34" s="527"/>
      <c r="Q34" s="527">
        <v>-0.00266</v>
      </c>
      <c r="R34" s="527"/>
      <c r="S34" s="527">
        <v>0.00186</v>
      </c>
      <c r="T34" s="527"/>
      <c r="U34" s="527">
        <v>0.00632</v>
      </c>
      <c r="V34" s="527"/>
      <c r="W34" s="527">
        <v>0.01086</v>
      </c>
      <c r="X34" s="527"/>
      <c r="Y34" s="527">
        <v>14</v>
      </c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9"/>
      <c r="BI34" s="10"/>
      <c r="BJ34" s="12"/>
      <c r="BK34" s="12"/>
    </row>
    <row r="35" spans="1:63" s="481" customFormat="1" ht="12" customHeight="1">
      <c r="A35" s="494">
        <v>15</v>
      </c>
      <c r="B35" s="507"/>
      <c r="C35" s="507"/>
      <c r="D35" s="507">
        <v>-0.00346</v>
      </c>
      <c r="E35" s="507"/>
      <c r="F35" s="507">
        <v>0.00092</v>
      </c>
      <c r="G35" s="507"/>
      <c r="H35" s="507">
        <v>0.00546</v>
      </c>
      <c r="I35" s="507"/>
      <c r="J35" s="507">
        <v>0.01004</v>
      </c>
      <c r="K35" s="507"/>
      <c r="L35" s="494">
        <v>15</v>
      </c>
      <c r="M35" s="462"/>
      <c r="N35" s="494">
        <v>15</v>
      </c>
      <c r="O35" s="494"/>
      <c r="P35" s="494"/>
      <c r="Q35" s="494">
        <v>-0.00336</v>
      </c>
      <c r="R35" s="494"/>
      <c r="S35" s="494">
        <v>0.00096</v>
      </c>
      <c r="T35" s="494"/>
      <c r="U35" s="494">
        <v>0.0054</v>
      </c>
      <c r="V35" s="494"/>
      <c r="W35" s="494">
        <v>0.01</v>
      </c>
      <c r="X35" s="494"/>
      <c r="Y35" s="494">
        <v>15</v>
      </c>
      <c r="BF35" s="9"/>
      <c r="BI35" s="10"/>
      <c r="BJ35" s="12"/>
      <c r="BK35" s="12"/>
    </row>
    <row r="36" spans="1:63" s="481" customFormat="1" ht="12" customHeight="1">
      <c r="A36" s="494" t="s">
        <v>106</v>
      </c>
      <c r="B36" s="507"/>
      <c r="C36" s="507"/>
      <c r="D36" s="507">
        <v>-0.00238</v>
      </c>
      <c r="E36" s="507"/>
      <c r="F36" s="507">
        <v>0.00214</v>
      </c>
      <c r="G36" s="507"/>
      <c r="H36" s="507">
        <v>0.00656</v>
      </c>
      <c r="I36" s="507"/>
      <c r="J36" s="507">
        <v>0.01112</v>
      </c>
      <c r="K36" s="507"/>
      <c r="L36" s="494" t="s">
        <v>106</v>
      </c>
      <c r="M36" s="462"/>
      <c r="N36" s="494" t="s">
        <v>106</v>
      </c>
      <c r="O36" s="494"/>
      <c r="P36" s="494"/>
      <c r="Q36" s="494">
        <v>-0.00182</v>
      </c>
      <c r="R36" s="494"/>
      <c r="S36" s="494">
        <v>0.00274</v>
      </c>
      <c r="T36" s="494"/>
      <c r="U36" s="494">
        <v>0.00716</v>
      </c>
      <c r="V36" s="494"/>
      <c r="W36" s="494">
        <v>0.01164</v>
      </c>
      <c r="X36" s="494"/>
      <c r="Y36" s="494" t="s">
        <v>106</v>
      </c>
      <c r="BF36" s="9"/>
      <c r="BI36" s="10"/>
      <c r="BJ36" s="12"/>
      <c r="BK36" s="12"/>
    </row>
    <row r="37" spans="1:63" s="182" customFormat="1" ht="12" customHeight="1">
      <c r="A37" s="494" t="s">
        <v>107</v>
      </c>
      <c r="B37" s="507"/>
      <c r="C37" s="507"/>
      <c r="D37" s="507">
        <v>0.00516</v>
      </c>
      <c r="E37" s="507"/>
      <c r="F37" s="507">
        <v>0.00812</v>
      </c>
      <c r="G37" s="507"/>
      <c r="H37" s="507">
        <v>0.0109</v>
      </c>
      <c r="I37" s="507"/>
      <c r="J37" s="507">
        <v>0.01138</v>
      </c>
      <c r="K37" s="507"/>
      <c r="L37" s="494" t="s">
        <v>107</v>
      </c>
      <c r="M37" s="181"/>
      <c r="N37" s="527" t="s">
        <v>107</v>
      </c>
      <c r="O37" s="527"/>
      <c r="P37" s="527"/>
      <c r="Q37" s="527">
        <v>0.00594</v>
      </c>
      <c r="R37" s="527"/>
      <c r="S37" s="527">
        <v>0.00868</v>
      </c>
      <c r="T37" s="527"/>
      <c r="U37" s="527">
        <v>0.0114</v>
      </c>
      <c r="V37" s="527"/>
      <c r="W37" s="527">
        <v>0.01178</v>
      </c>
      <c r="X37" s="527"/>
      <c r="Y37" s="527" t="s">
        <v>107</v>
      </c>
      <c r="BF37" s="68"/>
      <c r="BI37" s="183"/>
      <c r="BJ37" s="184"/>
      <c r="BK37" s="184"/>
    </row>
    <row r="38" spans="1:63" s="481" customFormat="1" ht="12" customHeight="1">
      <c r="A38" s="527">
        <v>17</v>
      </c>
      <c r="B38" s="528"/>
      <c r="C38" s="528"/>
      <c r="D38" s="528">
        <v>-0.00272</v>
      </c>
      <c r="E38" s="528">
        <v>0</v>
      </c>
      <c r="F38" s="528">
        <v>0.0018</v>
      </c>
      <c r="G38" s="528">
        <v>0.0022</v>
      </c>
      <c r="H38" s="528">
        <v>0.00634</v>
      </c>
      <c r="I38" s="528">
        <v>0.00418</v>
      </c>
      <c r="J38" s="528">
        <v>0.01104</v>
      </c>
      <c r="K38" s="528">
        <v>0.00626</v>
      </c>
      <c r="L38" s="527">
        <v>17</v>
      </c>
      <c r="M38" s="529"/>
      <c r="N38" s="527">
        <v>17</v>
      </c>
      <c r="O38" s="527"/>
      <c r="P38" s="527"/>
      <c r="Q38" s="527">
        <v>-0.00286</v>
      </c>
      <c r="R38" s="527">
        <v>2E-05</v>
      </c>
      <c r="S38" s="527">
        <v>0.0017</v>
      </c>
      <c r="T38" s="527">
        <v>0.00222</v>
      </c>
      <c r="U38" s="527">
        <v>0.00626</v>
      </c>
      <c r="V38" s="527">
        <v>0.00422</v>
      </c>
      <c r="W38" s="527">
        <v>0.01084</v>
      </c>
      <c r="X38" s="527">
        <v>0.0063</v>
      </c>
      <c r="Y38" s="527">
        <v>17</v>
      </c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9"/>
      <c r="BI38" s="10"/>
      <c r="BJ38" s="12"/>
      <c r="BK38" s="12"/>
    </row>
    <row r="39" spans="1:63" s="481" customFormat="1" ht="12" customHeight="1">
      <c r="A39" s="494">
        <v>18</v>
      </c>
      <c r="B39" s="507"/>
      <c r="C39" s="507"/>
      <c r="D39" s="507"/>
      <c r="E39" s="507">
        <v>0.0021</v>
      </c>
      <c r="F39" s="507"/>
      <c r="G39" s="507">
        <v>0.00396</v>
      </c>
      <c r="H39" s="507"/>
      <c r="I39" s="507">
        <v>0.00564</v>
      </c>
      <c r="J39" s="507"/>
      <c r="K39" s="507">
        <v>0.00626</v>
      </c>
      <c r="L39" s="494">
        <v>18</v>
      </c>
      <c r="M39" s="462"/>
      <c r="N39" s="494">
        <v>18</v>
      </c>
      <c r="O39" s="494"/>
      <c r="P39" s="494"/>
      <c r="Q39" s="494"/>
      <c r="R39" s="494">
        <v>0.00212</v>
      </c>
      <c r="S39" s="494"/>
      <c r="T39" s="494">
        <v>0.00398</v>
      </c>
      <c r="U39" s="494"/>
      <c r="V39" s="494">
        <v>0.00568</v>
      </c>
      <c r="W39" s="494"/>
      <c r="X39" s="494">
        <v>0.0063</v>
      </c>
      <c r="Y39" s="494">
        <v>18</v>
      </c>
      <c r="BF39" s="9"/>
      <c r="BI39" s="10"/>
      <c r="BJ39" s="12"/>
      <c r="BK39" s="12"/>
    </row>
    <row r="40" spans="1:63" s="481" customFormat="1" ht="12" customHeight="1">
      <c r="A40" s="494" t="s">
        <v>108</v>
      </c>
      <c r="B40" s="507"/>
      <c r="C40" s="507"/>
      <c r="D40" s="507"/>
      <c r="E40" s="507"/>
      <c r="F40" s="507"/>
      <c r="G40" s="507"/>
      <c r="H40" s="507"/>
      <c r="I40" s="507"/>
      <c r="J40" s="507"/>
      <c r="K40" s="507"/>
      <c r="L40" s="494" t="s">
        <v>108</v>
      </c>
      <c r="M40" s="462"/>
      <c r="N40" s="494" t="s">
        <v>108</v>
      </c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 t="s">
        <v>108</v>
      </c>
      <c r="BF40" s="9"/>
      <c r="BI40" s="10"/>
      <c r="BJ40" s="12"/>
      <c r="BK40" s="12"/>
    </row>
    <row r="41" spans="1:63" s="182" customFormat="1" ht="12" customHeight="1">
      <c r="A41" s="494" t="s">
        <v>109</v>
      </c>
      <c r="B41" s="507"/>
      <c r="C41" s="507"/>
      <c r="D41" s="494">
        <v>0.00326</v>
      </c>
      <c r="E41" s="494">
        <v>0.0017</v>
      </c>
      <c r="F41" s="494">
        <v>0.006</v>
      </c>
      <c r="G41" s="494">
        <v>0.00376</v>
      </c>
      <c r="H41" s="494">
        <v>0.00858</v>
      </c>
      <c r="I41" s="494">
        <v>0.00538</v>
      </c>
      <c r="J41" s="494">
        <v>0.009</v>
      </c>
      <c r="K41" s="494">
        <v>0.00604</v>
      </c>
      <c r="L41" s="494" t="s">
        <v>109</v>
      </c>
      <c r="M41" s="181"/>
      <c r="N41" s="527" t="s">
        <v>109</v>
      </c>
      <c r="O41" s="527"/>
      <c r="P41" s="527"/>
      <c r="Q41" s="527">
        <v>0.00048</v>
      </c>
      <c r="R41" s="527">
        <v>0.00206</v>
      </c>
      <c r="S41" s="527">
        <v>0.0036</v>
      </c>
      <c r="T41" s="527">
        <v>0.00396</v>
      </c>
      <c r="U41" s="527">
        <v>0.00616</v>
      </c>
      <c r="V41" s="527">
        <v>0.00562</v>
      </c>
      <c r="W41" s="527">
        <v>0.00662</v>
      </c>
      <c r="X41" s="527">
        <v>0.00628</v>
      </c>
      <c r="Y41" s="527" t="s">
        <v>109</v>
      </c>
      <c r="BF41" s="68"/>
      <c r="BI41" s="183"/>
      <c r="BJ41" s="184"/>
      <c r="BK41" s="184"/>
    </row>
    <row r="42" spans="1:63" s="481" customFormat="1" ht="12" customHeight="1">
      <c r="A42" s="23"/>
      <c r="B42" s="461"/>
      <c r="C42" s="47"/>
      <c r="D42" s="495">
        <f>AVERAGE(D16,D18:D20,D22:D24,D26:D28,D30:D32,D34:D36,D38:D40)</f>
        <v>-0.002283529411764706</v>
      </c>
      <c r="E42" s="180">
        <f>STDEV(D16,D18:D20,D22:D24,D26:D28,D30:D32,D34:D36,D38:D40)</f>
        <v>0.00064935488348505</v>
      </c>
      <c r="F42" s="495">
        <f>AVERAGE(F16,F18:F20,F22:F24,F26:F28,F30:F32,F34:F36,F38:F40)</f>
        <v>0.0021705882352941177</v>
      </c>
      <c r="G42" s="180">
        <f>STDEV(F16,F18:F20,F22:F24,F26:F28,F30:F32,F34:F36,F38:F40)</f>
        <v>0.000612336412728283</v>
      </c>
      <c r="H42" s="495">
        <f>AVERAGE(H16,H18:H20,H22:H24,H26:H28,H30:H32,H34:H36,H38:H40)</f>
        <v>0.0065917647058823525</v>
      </c>
      <c r="I42" s="180">
        <f>STDEV(H16,H18:H20,H22:H24,H26:H28,H30:H32,H34:H36,H38:H40)</f>
        <v>0.0005363328641585133</v>
      </c>
      <c r="J42" s="495">
        <f>AVERAGE(J16,J18:J20,J22:J24,J26:J28,J30:J32,J34:J36,J38:J40)</f>
        <v>0.011145882352941176</v>
      </c>
      <c r="K42" s="180">
        <f>STDEV(J16,J18:J20,J22:J24,J26:J28,J30:J32,J34:J36,J38:J40)</f>
        <v>0.000504914087042669</v>
      </c>
      <c r="L42" s="96"/>
      <c r="M42" s="462"/>
      <c r="N42" s="96"/>
      <c r="O42" s="96"/>
      <c r="P42" s="96"/>
      <c r="Q42" s="495">
        <f>AVERAGE(Q16,Q18:Q20,Q22:Q24,Q26:Q28,Q30:Q32,Q34:Q36,Q38:Q40)</f>
        <v>-0.0022145882352941175</v>
      </c>
      <c r="R42" s="180">
        <f>STDEV(Q16,Q18:Q20,Q22:Q24,Q26:Q28,Q30:Q32,Q34:Q36,Q38:Q40)</f>
        <v>0.0006166748595110246</v>
      </c>
      <c r="S42" s="495">
        <f>AVERAGE(S16,S18:S20,S22:S24,S26:S28,S30:S32,S34:S36,S38:S40)</f>
        <v>0.0021847058823529415</v>
      </c>
      <c r="T42" s="180">
        <f>STDEV(S16,S18:S20,S22:S24,S26:S28,S30:S32,S34:S36,S38:S40)</f>
        <v>0.000598520234067515</v>
      </c>
      <c r="U42" s="495">
        <f>AVERAGE(U16,U18:U20,U22:U24,U26:U28,U30:U32,U34:U36,U38:U40)</f>
        <v>0.006632352941176471</v>
      </c>
      <c r="V42" s="180">
        <f>STDEV(U16,U18:U20,U22:U24,U26:U28,U30:U32,U34:U36,U38:U40)</f>
        <v>0.000600432442200668</v>
      </c>
      <c r="W42" s="495">
        <f>AVERAGE(W16,W18:W20,W22:W24,W26:W28,W30:W32,W34:W36,W38:W40)</f>
        <v>0.011149411764705883</v>
      </c>
      <c r="X42" s="180">
        <f>STDEV(W16,W18:W20,W22:W24,W26:W28,W30:W32,W34:W36,W38:W40)</f>
        <v>0.0005747224394026564</v>
      </c>
      <c r="Y42" s="22"/>
      <c r="BF42" s="9"/>
      <c r="BI42" s="10"/>
      <c r="BJ42" s="12"/>
      <c r="BK42" s="12"/>
    </row>
    <row r="43" spans="1:63" s="481" customFormat="1" ht="12.75">
      <c r="A43" s="23" t="s">
        <v>150</v>
      </c>
      <c r="B43" s="461"/>
      <c r="C43" s="47"/>
      <c r="D43" s="180">
        <f>AVERAGE(E16,E18:E20,E22:E24,E26:E28,E30:E32,E34:E36,E38)</f>
        <v>0</v>
      </c>
      <c r="E43" s="180"/>
      <c r="F43" s="180">
        <f>AVERAGE(G16,G18:G20,G22:G24,G26:G28,G30:G32,G34:G36,G38)</f>
        <v>0.00218</v>
      </c>
      <c r="G43" s="180"/>
      <c r="H43" s="180">
        <f>AVERAGE(I16,I18:I20,I22:I24,I26:I28,I30:I32,I34:I36,I38)</f>
        <v>0.004189999999999999</v>
      </c>
      <c r="I43" s="180"/>
      <c r="J43" s="180">
        <f>AVERAGE(K16,K18:K20,K22:K24,K26:K28,K30:K32,K34:K36,K38)</f>
        <v>0.0062699999999999995</v>
      </c>
      <c r="L43" s="96"/>
      <c r="M43" s="462"/>
      <c r="N43" s="96"/>
      <c r="O43" s="96"/>
      <c r="P43" s="96"/>
      <c r="Q43" s="180">
        <f>AVERAGE(R16,R18:R20,R22:R24,R26:R28,R30:R32,R34:R36,R38)</f>
        <v>1E-05</v>
      </c>
      <c r="R43" s="180"/>
      <c r="S43" s="180">
        <f>AVERAGE(T16,T18:T20,T22:T24,T26:T28,T30:T32,T34:T36,T38)</f>
        <v>0.00222</v>
      </c>
      <c r="T43" s="180"/>
      <c r="U43" s="180">
        <f>AVERAGE(V16,V18:V20,V22:V24,V26:V28,V30:V32,V34:V36,V38)</f>
        <v>0.00424</v>
      </c>
      <c r="V43" s="180"/>
      <c r="W43" s="180">
        <f>AVERAGE(X16,X18:X20,X22:X24,X26:X28,X30:X32,X34:X36,X38)</f>
        <v>0.00632</v>
      </c>
      <c r="X43" s="96"/>
      <c r="Y43" s="22"/>
      <c r="BF43" s="9"/>
      <c r="BI43" s="10"/>
      <c r="BJ43" s="12"/>
      <c r="BK43" s="12"/>
    </row>
    <row r="44" spans="1:25" s="481" customFormat="1" ht="12.75">
      <c r="A44" s="25"/>
      <c r="B44" s="25"/>
      <c r="C44" s="25"/>
      <c r="D44" s="25"/>
      <c r="E44" s="97"/>
      <c r="F44" s="509">
        <f>F42-D42</f>
        <v>0.004454117647058824</v>
      </c>
      <c r="G44" s="97"/>
      <c r="H44" s="509">
        <f>H42-F42</f>
        <v>0.004421176470588235</v>
      </c>
      <c r="I44" s="97"/>
      <c r="J44" s="509">
        <f>J42-H42</f>
        <v>0.004554117647058823</v>
      </c>
      <c r="K44" s="97"/>
      <c r="L44" s="97"/>
      <c r="M44" s="97"/>
      <c r="N44" s="97"/>
      <c r="O44" s="97"/>
      <c r="P44" s="97"/>
      <c r="Q44" s="97"/>
      <c r="R44" s="99"/>
      <c r="S44" s="509">
        <f>S42-Q42</f>
        <v>0.0043992941176470585</v>
      </c>
      <c r="T44" s="98"/>
      <c r="U44" s="509">
        <f>U42-S42</f>
        <v>0.00444764705882353</v>
      </c>
      <c r="V44" s="98"/>
      <c r="W44" s="509">
        <f>W42-U42</f>
        <v>0.004517058823529412</v>
      </c>
      <c r="X44" s="98"/>
      <c r="Y44" s="26"/>
    </row>
    <row r="45" spans="1:24" s="481" customFormat="1" ht="12.75">
      <c r="A45" s="68" t="s">
        <v>110</v>
      </c>
      <c r="B45" s="48"/>
      <c r="C45" s="25"/>
      <c r="D45" s="25"/>
      <c r="E45" s="462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9"/>
    </row>
    <row r="46" spans="1:25" s="173" customFormat="1" ht="12.75">
      <c r="A46" s="140" t="s">
        <v>111</v>
      </c>
      <c r="B46" s="141"/>
      <c r="C46" s="142"/>
      <c r="D46" s="422">
        <v>1</v>
      </c>
      <c r="E46" s="423">
        <f aca="true" t="shared" si="0" ref="E46:N46">D46+1</f>
        <v>2</v>
      </c>
      <c r="F46" s="423">
        <f t="shared" si="0"/>
        <v>3</v>
      </c>
      <c r="G46" s="423">
        <f t="shared" si="0"/>
        <v>4</v>
      </c>
      <c r="H46" s="423">
        <f t="shared" si="0"/>
        <v>5</v>
      </c>
      <c r="I46" s="423">
        <f t="shared" si="0"/>
        <v>6</v>
      </c>
      <c r="J46" s="423">
        <f t="shared" si="0"/>
        <v>7</v>
      </c>
      <c r="K46" s="423">
        <f t="shared" si="0"/>
        <v>8</v>
      </c>
      <c r="L46" s="423">
        <f t="shared" si="0"/>
        <v>9</v>
      </c>
      <c r="M46" s="423">
        <f t="shared" si="0"/>
        <v>10</v>
      </c>
      <c r="N46" s="423">
        <f t="shared" si="0"/>
        <v>11</v>
      </c>
      <c r="O46" s="423">
        <f aca="true" t="shared" si="1" ref="O46:V46">N46+1</f>
        <v>12</v>
      </c>
      <c r="P46" s="423">
        <f t="shared" si="1"/>
        <v>13</v>
      </c>
      <c r="Q46" s="423">
        <f t="shared" si="1"/>
        <v>14</v>
      </c>
      <c r="R46" s="423">
        <f t="shared" si="1"/>
        <v>15</v>
      </c>
      <c r="S46" s="423">
        <f t="shared" si="1"/>
        <v>16</v>
      </c>
      <c r="T46" s="423">
        <f t="shared" si="1"/>
        <v>17</v>
      </c>
      <c r="U46" s="423">
        <f t="shared" si="1"/>
        <v>18</v>
      </c>
      <c r="V46" s="423">
        <f t="shared" si="1"/>
        <v>19</v>
      </c>
      <c r="W46" s="422" t="s">
        <v>0</v>
      </c>
      <c r="X46" s="530" t="s">
        <v>68</v>
      </c>
      <c r="Y46" s="481"/>
    </row>
    <row r="47" spans="1:24" s="481" customFormat="1" ht="27" customHeight="1">
      <c r="A47" s="45" t="s">
        <v>112</v>
      </c>
      <c r="B47" s="46" t="s">
        <v>113</v>
      </c>
      <c r="C47" s="65" t="s">
        <v>35</v>
      </c>
      <c r="D47" s="120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2"/>
      <c r="W47" s="121"/>
      <c r="X47" s="463"/>
    </row>
    <row r="48" spans="1:24" s="481" customFormat="1" ht="12.75">
      <c r="A48" s="456">
        <v>1111</v>
      </c>
      <c r="B48" s="25">
        <v>8000</v>
      </c>
      <c r="C48" s="457" t="s">
        <v>9</v>
      </c>
      <c r="D48" s="458">
        <f>-D16+$D$43</f>
        <v>0.00188</v>
      </c>
      <c r="E48" s="459">
        <f>-D18+$D$43</f>
        <v>0.00128</v>
      </c>
      <c r="F48" s="459">
        <f>-D19+$D$43</f>
        <v>0.00296</v>
      </c>
      <c r="G48" s="459">
        <f>-D20+$D$43</f>
        <v>0.00072</v>
      </c>
      <c r="H48" s="459">
        <f>-D22+$D$43</f>
        <v>0.0015</v>
      </c>
      <c r="I48" s="459">
        <f>-D23+$D$43</f>
        <v>0.00244</v>
      </c>
      <c r="J48" s="459">
        <f>-D24+$D$43</f>
        <v>0.0023</v>
      </c>
      <c r="K48" s="459">
        <f>-D26+$D$43</f>
        <v>0.00266</v>
      </c>
      <c r="L48" s="459">
        <f>-D27+$D$43</f>
        <v>0.00272</v>
      </c>
      <c r="M48" s="459">
        <f>-D28+$D$43</f>
        <v>0.00224</v>
      </c>
      <c r="N48" s="459">
        <f>-D30+$D$43</f>
        <v>0.00258</v>
      </c>
      <c r="O48" s="459">
        <f>-D31+$D$43</f>
        <v>0.0024</v>
      </c>
      <c r="P48" s="459">
        <f>-D32+$D$43</f>
        <v>0.00238</v>
      </c>
      <c r="Q48" s="459">
        <f>-D34+$D$43</f>
        <v>0.0022</v>
      </c>
      <c r="R48" s="459">
        <f>-D35+$D$43</f>
        <v>0.00346</v>
      </c>
      <c r="S48" s="459">
        <f>-D36+$D$43</f>
        <v>0.00238</v>
      </c>
      <c r="T48" s="459">
        <f>-D38+$D$43</f>
        <v>0.00272</v>
      </c>
      <c r="U48" s="460"/>
      <c r="V48" s="464"/>
      <c r="W48" s="570">
        <f>AVERAGE(D48:T48)</f>
        <v>0.002283529411764706</v>
      </c>
      <c r="X48" s="465">
        <f>STDEV(D48:T48)</f>
        <v>0.00064935488348505</v>
      </c>
    </row>
    <row r="49" spans="1:24" s="481" customFormat="1" ht="12.75">
      <c r="A49" s="456">
        <v>1111</v>
      </c>
      <c r="B49" s="25">
        <v>8000</v>
      </c>
      <c r="C49" s="457" t="s">
        <v>7</v>
      </c>
      <c r="D49" s="466">
        <f>-Q16+$Q$43</f>
        <v>0.00209</v>
      </c>
      <c r="E49" s="467">
        <f>-Q18+$Q$43</f>
        <v>0.00231</v>
      </c>
      <c r="F49" s="467">
        <f>-Q19+$Q$43</f>
        <v>0.0018700000000000001</v>
      </c>
      <c r="G49" s="467">
        <f>-Q20+$Q$43</f>
        <v>0.001178</v>
      </c>
      <c r="H49" s="467">
        <f>-Q22+$Q$43</f>
        <v>0.00365</v>
      </c>
      <c r="I49" s="467">
        <f>-Q23+$Q$43</f>
        <v>0.00203</v>
      </c>
      <c r="J49" s="467">
        <f>-Q24+$Q$43</f>
        <v>0.00197</v>
      </c>
      <c r="K49" s="467">
        <f>-Q26+$Q$43</f>
        <v>0.00235</v>
      </c>
      <c r="L49" s="467">
        <f>-Q27+$Q$43</f>
        <v>0.0018700000000000001</v>
      </c>
      <c r="M49" s="467">
        <f>-Q28+$Q$43</f>
        <v>0.00163</v>
      </c>
      <c r="N49" s="467">
        <f>-Q30+$Q$43</f>
        <v>0.00209</v>
      </c>
      <c r="O49" s="467">
        <f>-Q31+$Q$43</f>
        <v>0.00213</v>
      </c>
      <c r="P49" s="467">
        <f>-Q32+$Q$43</f>
        <v>0.00191</v>
      </c>
      <c r="Q49" s="467">
        <f>-Q34+$Q$43</f>
        <v>0.00267</v>
      </c>
      <c r="R49" s="467">
        <f>-Q35+$Q$43</f>
        <v>0.00337</v>
      </c>
      <c r="S49" s="467">
        <f>-Q36+$Q$43</f>
        <v>0.00183</v>
      </c>
      <c r="T49" s="467">
        <f>-Q38+$Q$43</f>
        <v>0.00287</v>
      </c>
      <c r="U49" s="460"/>
      <c r="V49" s="464"/>
      <c r="W49" s="570">
        <f aca="true" t="shared" si="2" ref="W49:W55">AVERAGE(D49:T49)</f>
        <v>0.0022245882352941175</v>
      </c>
      <c r="X49" s="465">
        <f aca="true" t="shared" si="3" ref="X49:X55">STDEV(D49:T49)</f>
        <v>0.0006166748595110246</v>
      </c>
    </row>
    <row r="50" spans="1:24" s="481" customFormat="1" ht="12.75">
      <c r="A50" s="456">
        <v>2222</v>
      </c>
      <c r="B50" s="25">
        <v>10000</v>
      </c>
      <c r="C50" s="457" t="s">
        <v>9</v>
      </c>
      <c r="D50" s="458">
        <f>-F16+$F$43</f>
        <v>-0.00027999999999999987</v>
      </c>
      <c r="E50" s="459">
        <f>-F18+$F$43</f>
        <v>-0.0009399999999999999</v>
      </c>
      <c r="F50" s="459">
        <f>-F19+$F$43</f>
        <v>0.0008600000000000001</v>
      </c>
      <c r="G50" s="459">
        <f>-F20+$F$43</f>
        <v>-0.0013</v>
      </c>
      <c r="H50" s="459">
        <f>-F22+$F$43</f>
        <v>-0.0007199999999999997</v>
      </c>
      <c r="I50" s="459">
        <f>-F23+$F$43</f>
        <v>6.000000000000016E-05</v>
      </c>
      <c r="J50" s="459">
        <f>-F24+$F$43</f>
        <v>-2.0000000000000052E-05</v>
      </c>
      <c r="K50" s="459">
        <f>-F26+$F$43</f>
        <v>0.0003600000000000001</v>
      </c>
      <c r="L50" s="459">
        <f>-F27+$F$43</f>
        <v>0.00038000000000000013</v>
      </c>
      <c r="M50" s="459">
        <f>-F28+$F$43</f>
        <v>-7.999999999999978E-05</v>
      </c>
      <c r="N50" s="459">
        <f>-F30+$F$43</f>
        <v>0.00023999999999999998</v>
      </c>
      <c r="O50" s="459">
        <f>-F31+$F$43</f>
        <v>-4.0000000000000105E-05</v>
      </c>
      <c r="P50" s="459">
        <f>-F32+$F$43</f>
        <v>6.000000000000016E-05</v>
      </c>
      <c r="Q50" s="459">
        <f>-F34+$F$43</f>
        <v>-9.999999999999983E-05</v>
      </c>
      <c r="R50" s="459">
        <f>-F35+$F$43</f>
        <v>0.00126</v>
      </c>
      <c r="S50" s="459">
        <f>-F36+$F$43</f>
        <v>4.0000000000000105E-05</v>
      </c>
      <c r="T50" s="459">
        <f>-F38+$F$43</f>
        <v>0.00038000000000000013</v>
      </c>
      <c r="U50" s="460"/>
      <c r="V50" s="464"/>
      <c r="W50" s="570">
        <f t="shared" si="2"/>
        <v>9.411764705882454E-06</v>
      </c>
      <c r="X50" s="465">
        <f t="shared" si="3"/>
        <v>0.0006123364127282822</v>
      </c>
    </row>
    <row r="51" spans="1:24" s="481" customFormat="1" ht="12.75">
      <c r="A51" s="456">
        <v>2222</v>
      </c>
      <c r="B51" s="25">
        <v>10000</v>
      </c>
      <c r="C51" s="457" t="s">
        <v>7</v>
      </c>
      <c r="D51" s="466">
        <f>-S16+$S$43</f>
        <v>-0.0002199999999999997</v>
      </c>
      <c r="E51" s="467">
        <f>-S18+$S$43</f>
        <v>-3.999999999999967E-05</v>
      </c>
      <c r="F51" s="467">
        <f>-S19+$S$43</f>
        <v>-0.00034</v>
      </c>
      <c r="G51" s="467">
        <f>-S20+$S$43</f>
        <v>-0.00047999999999999996</v>
      </c>
      <c r="H51" s="467">
        <f>-S22+$S$43</f>
        <v>0.0016000000000000003</v>
      </c>
      <c r="I51" s="467">
        <f>-S23+$S$43</f>
        <v>-0.00013999999999999993</v>
      </c>
      <c r="J51" s="467">
        <f>-S24+$S$43</f>
        <v>-0.00013999999999999993</v>
      </c>
      <c r="K51" s="467">
        <f>-S26+$S$43</f>
        <v>0.00012000000000000031</v>
      </c>
      <c r="L51" s="467">
        <f>-S27+$S$43</f>
        <v>-0.0003799999999999997</v>
      </c>
      <c r="M51" s="467">
        <f>-S28+$S$43</f>
        <v>-0.00047999999999999996</v>
      </c>
      <c r="N51" s="467">
        <f>-S30+$S$43</f>
        <v>-0.00015999999999999999</v>
      </c>
      <c r="O51" s="467">
        <f>-S31+$S$43</f>
        <v>-7.999999999999978E-05</v>
      </c>
      <c r="P51" s="467">
        <f>-S32+$S$43</f>
        <v>-0.00027999999999999987</v>
      </c>
      <c r="Q51" s="467">
        <f>-S34+$S$43</f>
        <v>0.0003600000000000001</v>
      </c>
      <c r="R51" s="467">
        <f>-S35+$S$43</f>
        <v>0.0012600000000000003</v>
      </c>
      <c r="S51" s="467">
        <f>-S36+$S$43</f>
        <v>-0.0005199999999999996</v>
      </c>
      <c r="T51" s="467">
        <f>-S38+$S$43</f>
        <v>0.0005200000000000003</v>
      </c>
      <c r="U51" s="460"/>
      <c r="V51" s="464"/>
      <c r="W51" s="570">
        <f t="shared" si="2"/>
        <v>3.5294117647059003E-05</v>
      </c>
      <c r="X51" s="465">
        <f t="shared" si="3"/>
        <v>0.000598520234067517</v>
      </c>
    </row>
    <row r="52" spans="1:24" s="481" customFormat="1" ht="12.75">
      <c r="A52" s="456">
        <v>3333</v>
      </c>
      <c r="B52" s="25">
        <v>12000</v>
      </c>
      <c r="C52" s="457" t="s">
        <v>9</v>
      </c>
      <c r="D52" s="458">
        <f>-H16+$H$43</f>
        <v>-0.002570000000000001</v>
      </c>
      <c r="E52" s="459">
        <f>-H18+$H$43</f>
        <v>-0.003130000000000001</v>
      </c>
      <c r="F52" s="459">
        <f>-H19+$H$43</f>
        <v>-0.0014900000000000009</v>
      </c>
      <c r="G52" s="459">
        <f>-H20+$H$43</f>
        <v>-0.003470000000000001</v>
      </c>
      <c r="H52" s="459">
        <f>-H22+$H$43</f>
        <v>-0.0030900000000000007</v>
      </c>
      <c r="I52" s="459">
        <f>-H23+$H$43</f>
        <v>-0.0023900000000000006</v>
      </c>
      <c r="J52" s="459">
        <f>-H24+$H$43</f>
        <v>-0.002470000000000001</v>
      </c>
      <c r="K52" s="459">
        <f>-H26+$H$43</f>
        <v>-0.0020900000000000007</v>
      </c>
      <c r="L52" s="459">
        <f>-H27+$H$43</f>
        <v>-0.002170000000000001</v>
      </c>
      <c r="M52" s="459">
        <f>-H28+$H$43</f>
        <v>-0.002550000000000001</v>
      </c>
      <c r="N52" s="459">
        <f>-H30+$H$43</f>
        <v>-0.002190000000000001</v>
      </c>
      <c r="O52" s="459">
        <f>-H31+$H$43</f>
        <v>-0.0024300000000000007</v>
      </c>
      <c r="P52" s="459">
        <f>-H32+$H$43</f>
        <v>-0.0024300000000000007</v>
      </c>
      <c r="Q52" s="459">
        <f>-H34+$H$43</f>
        <v>-0.002570000000000001</v>
      </c>
      <c r="R52" s="459">
        <f>-H35+$H$43</f>
        <v>-0.0012700000000000003</v>
      </c>
      <c r="S52" s="459">
        <f>-H36+$H$43</f>
        <v>-0.0023700000000000006</v>
      </c>
      <c r="T52" s="459">
        <f>-H38+$H$43</f>
        <v>-0.002150000000000001</v>
      </c>
      <c r="U52" s="460"/>
      <c r="V52" s="464"/>
      <c r="W52" s="570">
        <f t="shared" si="2"/>
        <v>-0.002401764705882354</v>
      </c>
      <c r="X52" s="465">
        <f t="shared" si="3"/>
        <v>0.0005363328641585078</v>
      </c>
    </row>
    <row r="53" spans="1:24" s="481" customFormat="1" ht="12.75">
      <c r="A53" s="456">
        <v>3333</v>
      </c>
      <c r="B53" s="25">
        <v>12000</v>
      </c>
      <c r="C53" s="457" t="s">
        <v>7</v>
      </c>
      <c r="D53" s="466">
        <f>-U16+$U$43</f>
        <v>-0.00266</v>
      </c>
      <c r="E53" s="467">
        <f>-U18+$U$43</f>
        <v>-0.00264</v>
      </c>
      <c r="F53" s="467">
        <f>-U19+$U$43</f>
        <v>-0.0027300000000000007</v>
      </c>
      <c r="G53" s="467">
        <f>-U20+$U$43</f>
        <v>-0.0028200000000000005</v>
      </c>
      <c r="H53" s="467">
        <f>-U22+$U$43</f>
        <v>-0.0007400000000000002</v>
      </c>
      <c r="I53" s="467">
        <f>-U23+$U$43</f>
        <v>-0.0026</v>
      </c>
      <c r="J53" s="467">
        <f>-U24+$U$43</f>
        <v>-0.0025599999999999998</v>
      </c>
      <c r="K53" s="467">
        <f>-U26+$U$43</f>
        <v>-0.00236</v>
      </c>
      <c r="L53" s="467">
        <f>-U27+$U$43</f>
        <v>-0.00272</v>
      </c>
      <c r="M53" s="467">
        <f>-U28+$U$43</f>
        <v>-0.0029</v>
      </c>
      <c r="N53" s="467">
        <f>-U30+$U$43</f>
        <v>-0.00258</v>
      </c>
      <c r="O53" s="467">
        <f>-U31+$U$43</f>
        <v>-0.0024800000000000004</v>
      </c>
      <c r="P53" s="467">
        <f>-U32+$U$43</f>
        <v>-0.0027</v>
      </c>
      <c r="Q53" s="467">
        <f>-U34+$U$43</f>
        <v>-0.0020800000000000003</v>
      </c>
      <c r="R53" s="467">
        <f>-U35+$U$43</f>
        <v>-0.0011600000000000004</v>
      </c>
      <c r="S53" s="467">
        <f>-U36+$U$43</f>
        <v>-0.00292</v>
      </c>
      <c r="T53" s="467">
        <f>-U38+$U$43</f>
        <v>-0.00202</v>
      </c>
      <c r="U53" s="460"/>
      <c r="V53" s="464"/>
      <c r="W53" s="570">
        <f t="shared" si="2"/>
        <v>-0.0023923529411764705</v>
      </c>
      <c r="X53" s="465">
        <f t="shared" si="3"/>
        <v>0.0006004324422006694</v>
      </c>
    </row>
    <row r="54" spans="1:24" s="481" customFormat="1" ht="12.75">
      <c r="A54" s="456">
        <v>4444</v>
      </c>
      <c r="B54" s="25">
        <v>14000</v>
      </c>
      <c r="C54" s="457" t="s">
        <v>9</v>
      </c>
      <c r="D54" s="458">
        <f>-J16+$J$43</f>
        <v>-0.004830000000000001</v>
      </c>
      <c r="E54" s="459">
        <f>-J18+$J$43</f>
        <v>-0.00533</v>
      </c>
      <c r="F54" s="459">
        <f>-J19+$J$43</f>
        <v>-0.0037300000000000007</v>
      </c>
      <c r="G54" s="459">
        <f>-J20+$J$43</f>
        <v>-0.005730000000000001</v>
      </c>
      <c r="H54" s="459">
        <f>-J22+$J$43</f>
        <v>-0.005470000000000001</v>
      </c>
      <c r="I54" s="459">
        <f>-J23+$J$43</f>
        <v>-0.00493</v>
      </c>
      <c r="J54" s="459">
        <f>-J24+$J$43</f>
        <v>-0.00503</v>
      </c>
      <c r="K54" s="459">
        <f>-J26+$J$43</f>
        <v>-0.00469</v>
      </c>
      <c r="L54" s="459">
        <f>-J27+$J$43</f>
        <v>-0.004790000000000001</v>
      </c>
      <c r="M54" s="459">
        <f>-J28+$J$43</f>
        <v>-0.005130000000000001</v>
      </c>
      <c r="N54" s="459">
        <f>-J30+$J$43</f>
        <v>-0.00481</v>
      </c>
      <c r="O54" s="459">
        <f>-J31+$J$43</f>
        <v>-0.004910000000000001</v>
      </c>
      <c r="P54" s="459">
        <f>-J32+$J$43</f>
        <v>-0.00493</v>
      </c>
      <c r="Q54" s="459">
        <f>-J34+$J$43</f>
        <v>-0.00519</v>
      </c>
      <c r="R54" s="459">
        <f>-J35+$J$43</f>
        <v>-0.0037700000000000008</v>
      </c>
      <c r="S54" s="459">
        <f>-J36+$J$43</f>
        <v>-0.00485</v>
      </c>
      <c r="T54" s="459">
        <f>-J38+$J$43</f>
        <v>-0.00477</v>
      </c>
      <c r="U54" s="460"/>
      <c r="V54" s="464"/>
      <c r="W54" s="570">
        <f t="shared" si="2"/>
        <v>-0.004875882352941176</v>
      </c>
      <c r="X54" s="465">
        <f t="shared" si="3"/>
        <v>0.0005049140870426657</v>
      </c>
    </row>
    <row r="55" spans="1:24" s="481" customFormat="1" ht="12.75">
      <c r="A55" s="468">
        <v>4444</v>
      </c>
      <c r="B55" s="24">
        <v>14000</v>
      </c>
      <c r="C55" s="469" t="s">
        <v>7</v>
      </c>
      <c r="D55" s="470">
        <f>-W16+$W$43</f>
        <v>-0.00488</v>
      </c>
      <c r="E55" s="471">
        <f>-W18+$W$43</f>
        <v>-0.005019999999999999</v>
      </c>
      <c r="F55" s="471">
        <f>-W19+$W$43</f>
        <v>-0.005200000000000001</v>
      </c>
      <c r="G55" s="471">
        <f>-W20+$W$43</f>
        <v>-0.00518</v>
      </c>
      <c r="H55" s="471">
        <f>-W22+$W$43</f>
        <v>-0.0032199999999999998</v>
      </c>
      <c r="I55" s="471">
        <f>-W23+$W$43</f>
        <v>-0.005019999999999999</v>
      </c>
      <c r="J55" s="471">
        <f>-W24+$W$43</f>
        <v>-0.00504</v>
      </c>
      <c r="K55" s="471">
        <f>-W26+$W$43</f>
        <v>-0.0048200000000000005</v>
      </c>
      <c r="L55" s="471">
        <f>-W27+$W$43</f>
        <v>-0.00534</v>
      </c>
      <c r="M55" s="471">
        <f>-W28+$W$43</f>
        <v>-0.005279999999999999</v>
      </c>
      <c r="N55" s="471">
        <f>-W30+$W$43</f>
        <v>-0.005059999999999999</v>
      </c>
      <c r="O55" s="471">
        <f>-W31+$W$43</f>
        <v>-0.004939999999999999</v>
      </c>
      <c r="P55" s="471">
        <f>-W32+$W$43</f>
        <v>-0.00504</v>
      </c>
      <c r="Q55" s="471">
        <f>-W34+$W$43</f>
        <v>-0.00454</v>
      </c>
      <c r="R55" s="471">
        <f>-W35+$W$43</f>
        <v>-0.00368</v>
      </c>
      <c r="S55" s="471">
        <f>-W36+$W$43</f>
        <v>-0.005319999999999999</v>
      </c>
      <c r="T55" s="471">
        <f>-W38+$W$43</f>
        <v>-0.004520000000000001</v>
      </c>
      <c r="U55" s="472"/>
      <c r="V55" s="473"/>
      <c r="W55" s="571">
        <f t="shared" si="2"/>
        <v>-0.004829411764705882</v>
      </c>
      <c r="X55" s="474">
        <f t="shared" si="3"/>
        <v>0.0005747224394026504</v>
      </c>
    </row>
    <row r="56" spans="1:24" s="481" customFormat="1" ht="12.75">
      <c r="A56" s="25"/>
      <c r="B56" s="25"/>
      <c r="C56" s="25"/>
      <c r="D56" s="512"/>
      <c r="E56" s="512"/>
      <c r="F56" s="512"/>
      <c r="G56" s="512"/>
      <c r="H56" s="512"/>
      <c r="I56" s="512"/>
      <c r="J56" s="512"/>
      <c r="K56" s="512"/>
      <c r="L56" s="512"/>
      <c r="M56" s="512"/>
      <c r="N56" s="512"/>
      <c r="O56" s="512"/>
      <c r="P56" s="512"/>
      <c r="Q56" s="512"/>
      <c r="R56" s="512"/>
      <c r="S56" s="512"/>
      <c r="T56" s="512"/>
      <c r="U56" s="512"/>
      <c r="V56" s="512"/>
      <c r="W56" s="531"/>
      <c r="X56" s="532"/>
    </row>
    <row r="57" spans="1:24" s="481" customFormat="1" ht="12.75">
      <c r="A57" s="25"/>
      <c r="B57" s="25"/>
      <c r="C57" s="25"/>
      <c r="D57" s="512"/>
      <c r="E57" s="512"/>
      <c r="F57" s="512"/>
      <c r="G57" s="512"/>
      <c r="H57" s="512"/>
      <c r="I57" s="512"/>
      <c r="J57" s="512"/>
      <c r="K57" s="512"/>
      <c r="L57" s="512"/>
      <c r="M57" s="512"/>
      <c r="N57" s="512"/>
      <c r="O57" s="512"/>
      <c r="P57" s="512"/>
      <c r="Q57" s="512"/>
      <c r="R57" s="512"/>
      <c r="S57" s="512"/>
      <c r="T57" s="512"/>
      <c r="U57" s="512"/>
      <c r="V57" s="512"/>
      <c r="W57" s="531"/>
      <c r="X57" s="532"/>
    </row>
    <row r="58" spans="1:24" s="481" customFormat="1" ht="12.75">
      <c r="A58" s="67" t="s">
        <v>66</v>
      </c>
      <c r="B58" s="2"/>
      <c r="C58" s="2"/>
      <c r="D58" s="512"/>
      <c r="E58" s="512"/>
      <c r="F58" s="512"/>
      <c r="G58" s="512"/>
      <c r="H58" s="512"/>
      <c r="I58" s="512"/>
      <c r="J58" s="512"/>
      <c r="K58" s="512"/>
      <c r="L58" s="512"/>
      <c r="M58" s="512"/>
      <c r="N58" s="512"/>
      <c r="O58" s="512"/>
      <c r="P58" s="512"/>
      <c r="Q58" s="512"/>
      <c r="R58" s="512"/>
      <c r="S58" s="512"/>
      <c r="T58" s="512"/>
      <c r="U58" s="512"/>
      <c r="V58" s="512"/>
      <c r="W58" s="531"/>
      <c r="X58" s="532"/>
    </row>
    <row r="59" spans="1:26" s="143" customFormat="1" ht="12.75">
      <c r="A59" s="144" t="s">
        <v>111</v>
      </c>
      <c r="B59" s="145"/>
      <c r="C59" s="146"/>
      <c r="D59" s="533">
        <v>1</v>
      </c>
      <c r="E59" s="534">
        <f aca="true" t="shared" si="4" ref="E59:N59">D59+1</f>
        <v>2</v>
      </c>
      <c r="F59" s="534">
        <f t="shared" si="4"/>
        <v>3</v>
      </c>
      <c r="G59" s="534">
        <f t="shared" si="4"/>
        <v>4</v>
      </c>
      <c r="H59" s="534">
        <f t="shared" si="4"/>
        <v>5</v>
      </c>
      <c r="I59" s="534">
        <f t="shared" si="4"/>
        <v>6</v>
      </c>
      <c r="J59" s="534">
        <f t="shared" si="4"/>
        <v>7</v>
      </c>
      <c r="K59" s="534">
        <f t="shared" si="4"/>
        <v>8</v>
      </c>
      <c r="L59" s="534">
        <f t="shared" si="4"/>
        <v>9</v>
      </c>
      <c r="M59" s="534">
        <f t="shared" si="4"/>
        <v>10</v>
      </c>
      <c r="N59" s="534">
        <f t="shared" si="4"/>
        <v>11</v>
      </c>
      <c r="O59" s="534">
        <f aca="true" t="shared" si="5" ref="O59:V59">N59+1</f>
        <v>12</v>
      </c>
      <c r="P59" s="534">
        <f t="shared" si="5"/>
        <v>13</v>
      </c>
      <c r="Q59" s="534">
        <f t="shared" si="5"/>
        <v>14</v>
      </c>
      <c r="R59" s="534">
        <f t="shared" si="5"/>
        <v>15</v>
      </c>
      <c r="S59" s="534">
        <f t="shared" si="5"/>
        <v>16</v>
      </c>
      <c r="T59" s="534">
        <f t="shared" si="5"/>
        <v>17</v>
      </c>
      <c r="U59" s="534">
        <f t="shared" si="5"/>
        <v>18</v>
      </c>
      <c r="V59" s="534">
        <f t="shared" si="5"/>
        <v>19</v>
      </c>
      <c r="W59" s="170" t="s">
        <v>0</v>
      </c>
      <c r="X59" s="535" t="s">
        <v>68</v>
      </c>
      <c r="Y59" s="481"/>
      <c r="Z59" s="145"/>
    </row>
    <row r="60" spans="1:26" s="49" customFormat="1" ht="12" customHeight="1">
      <c r="A60" s="82" t="s">
        <v>114</v>
      </c>
      <c r="B60" s="83"/>
      <c r="C60" s="84" t="s">
        <v>35</v>
      </c>
      <c r="D60" s="124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6"/>
      <c r="W60" s="121"/>
      <c r="X60" s="463"/>
      <c r="Y60" s="481"/>
      <c r="Z60" s="154"/>
    </row>
    <row r="61" spans="1:26" s="51" customFormat="1" ht="12" customHeight="1">
      <c r="A61" s="85">
        <v>8</v>
      </c>
      <c r="B61" s="86">
        <v>10</v>
      </c>
      <c r="C61" s="72" t="s">
        <v>9</v>
      </c>
      <c r="D61" s="85">
        <f aca="true" t="shared" si="6" ref="D61:M64">IF($C$4="inner",(-0.000001*($B50-$B48)/((D50-D48)/($G$6))),(-0.000001*($B50-$B48)/((D50-D48)/($I$6))))</f>
        <v>0.9259149446846328</v>
      </c>
      <c r="E61" s="86">
        <f t="shared" si="6"/>
        <v>0.9008902164499127</v>
      </c>
      <c r="F61" s="86">
        <f t="shared" si="6"/>
        <v>0.9523696573899078</v>
      </c>
      <c r="G61" s="86">
        <f t="shared" si="6"/>
        <v>0.9900872675835674</v>
      </c>
      <c r="H61" s="86">
        <f t="shared" si="6"/>
        <v>0.9008902164499127</v>
      </c>
      <c r="I61" s="86">
        <f t="shared" si="6"/>
        <v>0.8403261682852128</v>
      </c>
      <c r="J61" s="86">
        <f t="shared" si="6"/>
        <v>0.8620587416029337</v>
      </c>
      <c r="K61" s="86">
        <f t="shared" si="6"/>
        <v>0.869554904573394</v>
      </c>
      <c r="L61" s="86">
        <f t="shared" si="6"/>
        <v>0.85469071817043</v>
      </c>
      <c r="M61" s="86">
        <f t="shared" si="6"/>
        <v>0.8620587416029339</v>
      </c>
      <c r="N61" s="86">
        <f aca="true" t="shared" si="7" ref="N61:T64">IF($C$4="inner",(-0.000001*($B50-$B48)/((N50-N48)/($G$6))),(-0.000001*($B50-$B48)/((N50-N48)/($I$6))))</f>
        <v>0.85469071817043</v>
      </c>
      <c r="O61" s="86">
        <f t="shared" si="7"/>
        <v>0.8196624100486911</v>
      </c>
      <c r="P61" s="86">
        <f t="shared" si="7"/>
        <v>0.8620587416029337</v>
      </c>
      <c r="Q61" s="86">
        <f t="shared" si="7"/>
        <v>0.869554904573394</v>
      </c>
      <c r="R61" s="86">
        <f t="shared" si="7"/>
        <v>0.9090801275085485</v>
      </c>
      <c r="S61" s="86">
        <f t="shared" si="7"/>
        <v>0.85469071817043</v>
      </c>
      <c r="T61" s="86">
        <f t="shared" si="7"/>
        <v>0.85469071817043</v>
      </c>
      <c r="U61" s="460"/>
      <c r="V61" s="464"/>
      <c r="W61" s="572">
        <f>AVERAGE(D61:T61)</f>
        <v>0.8813688185316292</v>
      </c>
      <c r="X61" s="573">
        <f>STDEV(D61:T61)</f>
        <v>0.04338209791946443</v>
      </c>
      <c r="Y61" s="177">
        <v>0.6592380291799633</v>
      </c>
      <c r="Z61" s="86"/>
    </row>
    <row r="62" spans="1:26" s="51" customFormat="1" ht="12" customHeight="1">
      <c r="A62" s="85">
        <v>8</v>
      </c>
      <c r="B62" s="86">
        <v>10</v>
      </c>
      <c r="C62" s="72" t="s">
        <v>7</v>
      </c>
      <c r="D62" s="85">
        <f t="shared" si="6"/>
        <v>0.8657905976271889</v>
      </c>
      <c r="E62" s="86">
        <f t="shared" si="6"/>
        <v>0.8510537363909814</v>
      </c>
      <c r="F62" s="86">
        <f t="shared" si="6"/>
        <v>0.9049666427686905</v>
      </c>
      <c r="G62" s="86">
        <f t="shared" si="6"/>
        <v>1.2062583115312462</v>
      </c>
      <c r="H62" s="86">
        <f t="shared" si="6"/>
        <v>0.97559818561893</v>
      </c>
      <c r="I62" s="86">
        <f t="shared" si="6"/>
        <v>0.9216480555386204</v>
      </c>
      <c r="J62" s="86">
        <f t="shared" si="6"/>
        <v>0.9478560571179178</v>
      </c>
      <c r="K62" s="86">
        <f t="shared" si="6"/>
        <v>0.8968503500084335</v>
      </c>
      <c r="L62" s="86">
        <f t="shared" si="6"/>
        <v>0.8888783468972473</v>
      </c>
      <c r="M62" s="86">
        <f t="shared" si="6"/>
        <v>0.9478560571179178</v>
      </c>
      <c r="N62" s="86">
        <f t="shared" si="7"/>
        <v>0.8888783468972473</v>
      </c>
      <c r="O62" s="86">
        <f t="shared" si="7"/>
        <v>0.9049666427686907</v>
      </c>
      <c r="P62" s="86">
        <f t="shared" si="7"/>
        <v>0.9132311783190896</v>
      </c>
      <c r="Q62" s="86">
        <f t="shared" si="7"/>
        <v>0.8657905976271888</v>
      </c>
      <c r="R62" s="86">
        <f t="shared" si="7"/>
        <v>0.9478560571179178</v>
      </c>
      <c r="S62" s="86">
        <f t="shared" si="7"/>
        <v>0.8510537363909814</v>
      </c>
      <c r="T62" s="86">
        <f t="shared" si="7"/>
        <v>0.8510537363909814</v>
      </c>
      <c r="U62" s="460"/>
      <c r="V62" s="464"/>
      <c r="W62" s="572">
        <f aca="true" t="shared" si="8" ref="W62:W68">AVERAGE(D62:T62)</f>
        <v>0.9193874491840746</v>
      </c>
      <c r="X62" s="573">
        <f aca="true" t="shared" si="9" ref="X62:X68">STDEV(D62:T62)</f>
        <v>0.083091861132976</v>
      </c>
      <c r="Y62" s="177">
        <v>0.5497688153224163</v>
      </c>
      <c r="Z62" s="86"/>
    </row>
    <row r="63" spans="1:26" s="51" customFormat="1" ht="12.75">
      <c r="A63" s="85">
        <v>10</v>
      </c>
      <c r="B63" s="86">
        <v>12</v>
      </c>
      <c r="C63" s="72" t="s">
        <v>9</v>
      </c>
      <c r="D63" s="85">
        <f t="shared" si="6"/>
        <v>0.873352087562797</v>
      </c>
      <c r="E63" s="86">
        <f t="shared" si="6"/>
        <v>0.9132311783190893</v>
      </c>
      <c r="F63" s="86">
        <f t="shared" si="6"/>
        <v>0.8510537363909809</v>
      </c>
      <c r="G63" s="86">
        <f t="shared" si="6"/>
        <v>0.92164805553862</v>
      </c>
      <c r="H63" s="86">
        <f t="shared" si="6"/>
        <v>0.843871848320171</v>
      </c>
      <c r="I63" s="86">
        <f t="shared" si="6"/>
        <v>0.8163168491913492</v>
      </c>
      <c r="J63" s="86">
        <f t="shared" si="6"/>
        <v>0.8163168491913492</v>
      </c>
      <c r="K63" s="86">
        <f t="shared" si="6"/>
        <v>0.8163168491913492</v>
      </c>
      <c r="L63" s="86">
        <f t="shared" si="6"/>
        <v>0.7843044237328648</v>
      </c>
      <c r="M63" s="86">
        <f t="shared" si="6"/>
        <v>0.8097069961614595</v>
      </c>
      <c r="N63" s="86">
        <f t="shared" si="7"/>
        <v>0.8230355063863397</v>
      </c>
      <c r="O63" s="86">
        <f t="shared" si="7"/>
        <v>0.8368101592128894</v>
      </c>
      <c r="P63" s="86">
        <f t="shared" si="7"/>
        <v>0.8032033255095604</v>
      </c>
      <c r="Q63" s="86">
        <f t="shared" si="7"/>
        <v>0.8097069961614595</v>
      </c>
      <c r="R63" s="86">
        <f t="shared" si="7"/>
        <v>0.7905044587030854</v>
      </c>
      <c r="S63" s="86">
        <f t="shared" si="7"/>
        <v>0.8298656765638198</v>
      </c>
      <c r="T63" s="86">
        <f t="shared" si="7"/>
        <v>0.7905044587030852</v>
      </c>
      <c r="U63" s="460"/>
      <c r="V63" s="464"/>
      <c r="W63" s="572">
        <f t="shared" si="8"/>
        <v>0.8311617326376628</v>
      </c>
      <c r="X63" s="573">
        <f t="shared" si="9"/>
        <v>0.03970601685289189</v>
      </c>
      <c r="Y63" s="177">
        <v>0.7566214107974003</v>
      </c>
      <c r="Z63" s="86"/>
    </row>
    <row r="64" spans="1:26" s="51" customFormat="1" ht="12.75">
      <c r="A64" s="85">
        <v>10</v>
      </c>
      <c r="B64" s="86">
        <v>12</v>
      </c>
      <c r="C64" s="72" t="s">
        <v>7</v>
      </c>
      <c r="D64" s="85">
        <f t="shared" si="6"/>
        <v>0.819662410048691</v>
      </c>
      <c r="E64" s="86">
        <f t="shared" si="6"/>
        <v>0.769221646353387</v>
      </c>
      <c r="F64" s="86">
        <f t="shared" si="6"/>
        <v>0.8368101592128894</v>
      </c>
      <c r="G64" s="86">
        <f t="shared" si="6"/>
        <v>0.8546907181704297</v>
      </c>
      <c r="H64" s="86">
        <f t="shared" si="6"/>
        <v>0.8546907181704297</v>
      </c>
      <c r="I64" s="86">
        <f t="shared" si="6"/>
        <v>0.8129984880157749</v>
      </c>
      <c r="J64" s="86">
        <f t="shared" si="6"/>
        <v>0.8264364795532257</v>
      </c>
      <c r="K64" s="86">
        <f t="shared" si="6"/>
        <v>0.8064420485962928</v>
      </c>
      <c r="L64" s="86">
        <f t="shared" si="6"/>
        <v>0.8546907181704297</v>
      </c>
      <c r="M64" s="86">
        <f t="shared" si="6"/>
        <v>0.8264364795532257</v>
      </c>
      <c r="N64" s="86">
        <f t="shared" si="7"/>
        <v>0.8264364795532257</v>
      </c>
      <c r="O64" s="86">
        <f t="shared" si="7"/>
        <v>0.833323450216169</v>
      </c>
      <c r="P64" s="86">
        <f t="shared" si="7"/>
        <v>0.8264364795532255</v>
      </c>
      <c r="Q64" s="86">
        <f t="shared" si="7"/>
        <v>0.819662410048691</v>
      </c>
      <c r="R64" s="86">
        <f t="shared" si="7"/>
        <v>0.8264364795532254</v>
      </c>
      <c r="S64" s="86">
        <f t="shared" si="7"/>
        <v>0.8333234502161692</v>
      </c>
      <c r="T64" s="86">
        <f t="shared" si="7"/>
        <v>0.7873922364247267</v>
      </c>
      <c r="U64" s="460"/>
      <c r="V64" s="464"/>
      <c r="W64" s="572">
        <f t="shared" si="8"/>
        <v>0.8244171089064828</v>
      </c>
      <c r="X64" s="573">
        <f t="shared" si="9"/>
        <v>0.022358135204253348</v>
      </c>
      <c r="Y64" s="177">
        <v>0.6417410813310411</v>
      </c>
      <c r="Z64" s="86"/>
    </row>
    <row r="65" spans="1:26" s="51" customFormat="1" ht="12.75">
      <c r="A65" s="85">
        <v>12</v>
      </c>
      <c r="B65" s="86">
        <v>14</v>
      </c>
      <c r="C65" s="72" t="s">
        <v>9</v>
      </c>
      <c r="D65" s="85">
        <f>IF($C$4="inner",(-0.000001*($B54-$B52)/((D54-D52)/($G$6))),(-0.000001*(#REF!-#REF!)/((D54-D52)/($I$6))))</f>
        <v>0.8849452568667284</v>
      </c>
      <c r="E65" s="86">
        <f>IF($C$4="inner",(-0.000001*($B54-$B52)/((E54-E52)/($G$6))),(-0.000001*(#REF!-#REF!)/((E54-E52)/($I$6))))</f>
        <v>0.9090801275085488</v>
      </c>
      <c r="F65" s="86">
        <f>IF($C$4="inner",(-0.000001*($B54-$B52)/((F54-F52)/($G$6))),(-0.000001*(#REF!-#REF!)/((F54-F52)/($I$6))))</f>
        <v>0.8928465538030386</v>
      </c>
      <c r="G65" s="86">
        <f>IF($C$4="inner",(-0.000001*($B54-$B52)/((G54-G52)/($G$6))),(-0.000001*(#REF!-#REF!)/((G54-G52)/($I$6))))</f>
        <v>0.8849452568667284</v>
      </c>
      <c r="H65" s="86">
        <f>IF($C$4="inner",(-0.000001*($B54-$B52)/((H54-H52)/($G$6))),(-0.000001*(#REF!-#REF!)/((H54-H52)/($I$6))))</f>
        <v>0.8403261682852126</v>
      </c>
      <c r="I65" s="86">
        <f>IF($C$4="inner",(-0.000001*($B54-$B52)/((I54-I52)/($G$6))),(-0.000001*(#REF!-#REF!)/((I54-I52)/($I$6))))</f>
        <v>0.7873922364247269</v>
      </c>
      <c r="J65" s="86">
        <f>IF($C$4="inner",(-0.000001*($B54-$B52)/((J54-J52)/($G$6))),(-0.000001*(#REF!-#REF!)/((J54-J52)/($I$6))))</f>
        <v>0.7812407345776591</v>
      </c>
      <c r="K65" s="86">
        <f>IF($C$4="inner",(-0.000001*($B54-$B52)/((K54-K52)/($G$6))),(-0.000001*(#REF!-#REF!)/((K54-K52)/($I$6))))</f>
        <v>0.7692216463533873</v>
      </c>
      <c r="L65" s="86">
        <f>IF($C$4="inner",(-0.000001*($B54-$B52)/((L54-L52)/($G$6))),(-0.000001*(#REF!-#REF!)/((L54-L52)/($I$6))))</f>
        <v>0.7633497253888574</v>
      </c>
      <c r="M65" s="86">
        <f>IF($C$4="inner",(-0.000001*($B54-$B52)/((M54-M52)/($G$6))),(-0.000001*(#REF!-#REF!)/((M54-M52)/($I$6))))</f>
        <v>0.7751846048522505</v>
      </c>
      <c r="N65" s="86">
        <f>IF($C$4="inner",(-0.000001*($B54-$B52)/((N54-N52)/($G$6))),(-0.000001*(#REF!-#REF!)/((N54-N52)/($I$6))))</f>
        <v>0.7633497253888576</v>
      </c>
      <c r="O65" s="86">
        <f>IF($C$4="inner",(-0.000001*($B54-$B52)/((O54-O52)/($G$6))),(-0.000001*(#REF!-#REF!)/((O54-O52)/($I$6))))</f>
        <v>0.8064420485962928</v>
      </c>
      <c r="P65" s="86">
        <f>IF($C$4="inner",(-0.000001*($B54-$B52)/((P54-P52)/($G$6))),(-0.000001*(#REF!-#REF!)/((P54-P52)/($I$6))))</f>
        <v>0.7999905122075226</v>
      </c>
      <c r="Q65" s="86">
        <f>IF($C$4="inner",(-0.000001*($B54-$B52)/((Q54-Q52)/($G$6))),(-0.000001*(#REF!-#REF!)/((Q54-Q52)/($I$6))))</f>
        <v>0.7633497253888576</v>
      </c>
      <c r="R65" s="86">
        <f>IF($C$4="inner",(-0.000001*($B54-$B52)/((R54-R52)/($G$6))),(-0.000001*(#REF!-#REF!)/((R54-R52)/($I$6))))</f>
        <v>0.7999905122075223</v>
      </c>
      <c r="S65" s="86">
        <f>IF($C$4="inner",(-0.000001*($B54-$B52)/((S54-S52)/($G$6))),(-0.000001*(#REF!-#REF!)/((S54-S52)/($I$6))))</f>
        <v>0.806442048596293</v>
      </c>
      <c r="T65" s="86">
        <f>IF($C$4="inner",(-0.000001*($B54-$B52)/((T54-T52)/($G$6))),(-0.000001*(#REF!-#REF!)/((T54-T52)/($I$6))))</f>
        <v>0.7633497253888576</v>
      </c>
      <c r="U65" s="460"/>
      <c r="V65" s="464"/>
      <c r="W65" s="572">
        <f t="shared" si="8"/>
        <v>0.811261565217726</v>
      </c>
      <c r="X65" s="573">
        <f t="shared" si="9"/>
        <v>0.051204558381861616</v>
      </c>
      <c r="Y65" s="177">
        <v>0.5705052406586181</v>
      </c>
      <c r="Z65" s="86"/>
    </row>
    <row r="66" spans="1:26" s="51" customFormat="1" ht="12.75">
      <c r="A66" s="85">
        <v>12</v>
      </c>
      <c r="B66" s="86">
        <v>14</v>
      </c>
      <c r="C66" s="72" t="s">
        <v>7</v>
      </c>
      <c r="D66" s="85">
        <f>IF($C$4="inner",(-0.000001*($B55-$B53)/((D55-D53)/($G$6))),(-0.000001*(#REF!-#REF!)/((D55-D53)/($I$6))))</f>
        <v>0.9008902164499127</v>
      </c>
      <c r="E66" s="86">
        <f>IF($C$4="inner",(-0.000001*($B55-$B53)/((E55-E53)/($G$6))),(-0.000001*(#REF!-#REF!)/((E55-E53)/($I$6))))</f>
        <v>0.8403261682852129</v>
      </c>
      <c r="F66" s="86">
        <f>IF($C$4="inner",(-0.000001*($B55-$B53)/((F55-F53)/($G$6))),(-0.000001*(#REF!-#REF!)/((F55-F53)/($I$6))))</f>
        <v>0.8097069961614599</v>
      </c>
      <c r="G66" s="86">
        <f>IF($C$4="inner",(-0.000001*($B55-$B53)/((G55-G53)/($G$6))),(-0.000001*(#REF!-#REF!)/((G55-G53)/($I$6))))</f>
        <v>0.8474475764910199</v>
      </c>
      <c r="H66" s="86">
        <f>IF($C$4="inner",(-0.000001*($B55-$B53)/((H55-H53)/($G$6))),(-0.000001*(#REF!-#REF!)/((H55-H53)/($I$6))))</f>
        <v>0.806442048596293</v>
      </c>
      <c r="I66" s="86">
        <f>IF($C$4="inner",(-0.000001*($B55-$B53)/((I55-I53)/($G$6))),(-0.000001*(#REF!-#REF!)/((I55-I53)/($I$6))))</f>
        <v>0.8264364795532259</v>
      </c>
      <c r="J66" s="86">
        <f>IF($C$4="inner",(-0.000001*($B55-$B53)/((J55-J53)/($G$6))),(-0.000001*(#REF!-#REF!)/((J55-J53)/($I$6))))</f>
        <v>0.8064420485962928</v>
      </c>
      <c r="K66" s="86">
        <f>IF($C$4="inner",(-0.000001*($B55-$B53)/((K55-K53)/($G$6))),(-0.000001*(#REF!-#REF!)/((K55-K53)/($I$6))))</f>
        <v>0.8129984880157747</v>
      </c>
      <c r="L66" s="86">
        <f>IF($C$4="inner",(-0.000001*($B55-$B53)/((L55-L53)/($G$6))),(-0.000001*(#REF!-#REF!)/((L55-L53)/($I$6))))</f>
        <v>0.7633497253888574</v>
      </c>
      <c r="M66" s="86">
        <f>IF($C$4="inner",(-0.000001*($B55-$B53)/((M55-M53)/($G$6))),(-0.000001*(#REF!-#REF!)/((M55-M53)/($I$6))))</f>
        <v>0.8403261682852129</v>
      </c>
      <c r="N66" s="86">
        <f>IF($C$4="inner",(-0.000001*($B55-$B53)/((N55-N53)/($G$6))),(-0.000001*(#REF!-#REF!)/((N55-N53)/($I$6))))</f>
        <v>0.806442048596293</v>
      </c>
      <c r="O66" s="86">
        <f>IF($C$4="inner",(-0.000001*($B55-$B53)/((O55-O53)/($G$6))),(-0.000001*(#REF!-#REF!)/((O55-O53)/($I$6))))</f>
        <v>0.8129984880157753</v>
      </c>
      <c r="P66" s="86">
        <f>IF($C$4="inner",(-0.000001*($B55-$B53)/((P55-P53)/($G$6))),(-0.000001*(#REF!-#REF!)/((P55-P53)/($I$6))))</f>
        <v>0.85469071817043</v>
      </c>
      <c r="Q66" s="86">
        <f>IF($C$4="inner",(-0.000001*($B55-$B53)/((Q55-Q53)/($G$6))),(-0.000001*(#REF!-#REF!)/((Q55-Q53)/($I$6))))</f>
        <v>0.812998488015775</v>
      </c>
      <c r="R66" s="86">
        <f>IF($C$4="inner",(-0.000001*($B55-$B53)/((R55-R53)/($G$6))),(-0.000001*(#REF!-#REF!)/((R55-R53)/($I$6))))</f>
        <v>0.7936413811582566</v>
      </c>
      <c r="S66" s="86">
        <f>IF($C$4="inner",(-0.000001*($B55-$B53)/((S55-S53)/($G$6))),(-0.000001*(#REF!-#REF!)/((S55-S53)/($I$6))))</f>
        <v>0.8333234502161695</v>
      </c>
      <c r="T66" s="86">
        <f>IF($C$4="inner",(-0.000001*($B55-$B53)/((T55-T53)/($G$6))),(-0.000001*(#REF!-#REF!)/((T55-T53)/($I$6))))</f>
        <v>0.7999905122075223</v>
      </c>
      <c r="U66" s="460"/>
      <c r="V66" s="464"/>
      <c r="W66" s="572">
        <f t="shared" si="8"/>
        <v>0.8216735883649109</v>
      </c>
      <c r="X66" s="573">
        <f t="shared" si="9"/>
        <v>0.03021438982708962</v>
      </c>
      <c r="Y66" s="177">
        <v>0.6714426174840732</v>
      </c>
      <c r="Z66" s="86"/>
    </row>
    <row r="67" spans="1:26" s="51" customFormat="1" ht="12.75">
      <c r="A67" s="85">
        <v>10</v>
      </c>
      <c r="B67" s="86">
        <v>14</v>
      </c>
      <c r="C67" s="72" t="s">
        <v>9</v>
      </c>
      <c r="D67" s="85">
        <f aca="true" t="shared" si="10" ref="D67:M68">IF($C$4="inner",(-0.000001*($B54-$B50)/((D54-D50)/($G$6))),(-0.000001*($B54-$B50)/((D54-D50)/($I$6))))</f>
        <v>0.8791104529752992</v>
      </c>
      <c r="E67" s="86">
        <f t="shared" si="10"/>
        <v>0.9111509250655153</v>
      </c>
      <c r="F67" s="86">
        <f t="shared" si="10"/>
        <v>0.8714493597031835</v>
      </c>
      <c r="G67" s="86">
        <f t="shared" si="10"/>
        <v>0.9029238286766619</v>
      </c>
      <c r="H67" s="86">
        <f t="shared" si="10"/>
        <v>0.8420952760079183</v>
      </c>
      <c r="I67" s="86">
        <f t="shared" si="10"/>
        <v>0.8015936996067359</v>
      </c>
      <c r="J67" s="86">
        <f t="shared" si="10"/>
        <v>0.7983937247580065</v>
      </c>
      <c r="K67" s="86">
        <f t="shared" si="10"/>
        <v>0.792069814066854</v>
      </c>
      <c r="L67" s="86">
        <f t="shared" si="10"/>
        <v>0.773685214900892</v>
      </c>
      <c r="M67" s="86">
        <f t="shared" si="10"/>
        <v>0.7920698140668538</v>
      </c>
      <c r="N67" s="86">
        <f aca="true" t="shared" si="11" ref="N67:T68">IF($C$4="inner",(-0.000001*($B54-$B50)/((N54-N50)/($G$6))),(-0.000001*($B54-$B50)/((N54-N50)/($I$6))))</f>
        <v>0.792069814066854</v>
      </c>
      <c r="O67" s="86">
        <f t="shared" si="11"/>
        <v>0.8213454950795916</v>
      </c>
      <c r="P67" s="86">
        <f t="shared" si="11"/>
        <v>0.8015936996067359</v>
      </c>
      <c r="Q67" s="86">
        <f t="shared" si="11"/>
        <v>0.7858452968639709</v>
      </c>
      <c r="R67" s="86">
        <f t="shared" si="11"/>
        <v>0.7952191970253701</v>
      </c>
      <c r="S67" s="86">
        <f t="shared" si="11"/>
        <v>0.8179862088011476</v>
      </c>
      <c r="T67" s="86">
        <f t="shared" si="11"/>
        <v>0.7766898176772064</v>
      </c>
      <c r="U67" s="460"/>
      <c r="V67" s="464"/>
      <c r="W67" s="572">
        <f t="shared" si="8"/>
        <v>0.8208995081734588</v>
      </c>
      <c r="X67" s="573">
        <f t="shared" si="9"/>
        <v>0.04408260050609859</v>
      </c>
      <c r="Y67" s="177">
        <v>0.6503348931170524</v>
      </c>
      <c r="Z67" s="86"/>
    </row>
    <row r="68" spans="1:26" s="51" customFormat="1" ht="12.75">
      <c r="A68" s="87">
        <v>10</v>
      </c>
      <c r="B68" s="88">
        <v>14</v>
      </c>
      <c r="C68" s="89" t="s">
        <v>7</v>
      </c>
      <c r="D68" s="87">
        <f t="shared" si="10"/>
        <v>0.8583589186775992</v>
      </c>
      <c r="E68" s="88">
        <f t="shared" si="10"/>
        <v>0.8032033255095608</v>
      </c>
      <c r="F68" s="88">
        <f t="shared" si="10"/>
        <v>0.8230355063863398</v>
      </c>
      <c r="G68" s="88">
        <f t="shared" si="10"/>
        <v>0.8510537363909814</v>
      </c>
      <c r="H68" s="88">
        <f t="shared" si="10"/>
        <v>0.82986567656382</v>
      </c>
      <c r="I68" s="88">
        <f t="shared" si="10"/>
        <v>0.8196624100486913</v>
      </c>
      <c r="J68" s="88">
        <f t="shared" si="10"/>
        <v>0.8163168491913495</v>
      </c>
      <c r="K68" s="88">
        <f t="shared" si="10"/>
        <v>0.8097069961614598</v>
      </c>
      <c r="L68" s="88">
        <f t="shared" si="10"/>
        <v>0.8064420485962928</v>
      </c>
      <c r="M68" s="88">
        <f t="shared" si="10"/>
        <v>0.8333234502161695</v>
      </c>
      <c r="N68" s="88">
        <f t="shared" si="11"/>
        <v>0.8163168491913495</v>
      </c>
      <c r="O68" s="88">
        <f t="shared" si="11"/>
        <v>0.8230355063863399</v>
      </c>
      <c r="P68" s="88">
        <f t="shared" si="11"/>
        <v>0.8403261682852126</v>
      </c>
      <c r="Q68" s="88">
        <f t="shared" si="11"/>
        <v>0.8163168491913495</v>
      </c>
      <c r="R68" s="88">
        <f t="shared" si="11"/>
        <v>0.8097069961614599</v>
      </c>
      <c r="S68" s="88">
        <f t="shared" si="11"/>
        <v>0.8333234502161694</v>
      </c>
      <c r="T68" s="88">
        <f t="shared" si="11"/>
        <v>0.7936413811582563</v>
      </c>
      <c r="U68" s="472"/>
      <c r="V68" s="473"/>
      <c r="W68" s="574">
        <f t="shared" si="8"/>
        <v>0.8225668304901412</v>
      </c>
      <c r="X68" s="575">
        <f t="shared" si="9"/>
        <v>0.016994672580033707</v>
      </c>
      <c r="Y68" s="177">
        <v>0.655979508273607</v>
      </c>
      <c r="Z68" s="88"/>
    </row>
    <row r="69" spans="1:26" s="49" customFormat="1" ht="12.75">
      <c r="A69" s="3"/>
      <c r="B69" s="3"/>
      <c r="C69" s="3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Y69" s="481"/>
      <c r="Z69" s="3"/>
    </row>
    <row r="70" spans="1:31" s="49" customFormat="1" ht="12.75">
      <c r="A70" s="67" t="s">
        <v>69</v>
      </c>
      <c r="D70" s="462" t="str">
        <f>$C$3</f>
        <v>I-001 2nd sizing</v>
      </c>
      <c r="E70" s="462"/>
      <c r="F70" s="462" t="str">
        <f>$C$4</f>
        <v>inner</v>
      </c>
      <c r="G70" s="462" t="s">
        <v>115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7"/>
      <c r="Y70" s="481"/>
      <c r="AA70" s="67" t="s">
        <v>69</v>
      </c>
      <c r="AD70" s="51" t="str">
        <f>D70</f>
        <v>I-001 2nd sizing</v>
      </c>
      <c r="AE70" s="51" t="str">
        <f>F70</f>
        <v>inner</v>
      </c>
    </row>
    <row r="71" spans="1:31" s="173" customFormat="1" ht="12.75">
      <c r="A71" s="144" t="s">
        <v>116</v>
      </c>
      <c r="B71" s="141"/>
      <c r="C71" s="142"/>
      <c r="D71" s="170">
        <v>1</v>
      </c>
      <c r="E71" s="171">
        <f aca="true" t="shared" si="12" ref="E71:N71">D71+1</f>
        <v>2</v>
      </c>
      <c r="F71" s="171">
        <f t="shared" si="12"/>
        <v>3</v>
      </c>
      <c r="G71" s="171">
        <f t="shared" si="12"/>
        <v>4</v>
      </c>
      <c r="H71" s="171">
        <f t="shared" si="12"/>
        <v>5</v>
      </c>
      <c r="I71" s="171">
        <f t="shared" si="12"/>
        <v>6</v>
      </c>
      <c r="J71" s="171">
        <f t="shared" si="12"/>
        <v>7</v>
      </c>
      <c r="K71" s="171">
        <f t="shared" si="12"/>
        <v>8</v>
      </c>
      <c r="L71" s="171">
        <f t="shared" si="12"/>
        <v>9</v>
      </c>
      <c r="M71" s="171">
        <f t="shared" si="12"/>
        <v>10</v>
      </c>
      <c r="N71" s="171">
        <f t="shared" si="12"/>
        <v>11</v>
      </c>
      <c r="O71" s="171">
        <f aca="true" t="shared" si="13" ref="O71:V71">N71+1</f>
        <v>12</v>
      </c>
      <c r="P71" s="171">
        <f t="shared" si="13"/>
        <v>13</v>
      </c>
      <c r="Q71" s="171">
        <f t="shared" si="13"/>
        <v>14</v>
      </c>
      <c r="R71" s="171">
        <f t="shared" si="13"/>
        <v>15</v>
      </c>
      <c r="S71" s="171">
        <f t="shared" si="13"/>
        <v>16</v>
      </c>
      <c r="T71" s="171">
        <f t="shared" si="13"/>
        <v>17</v>
      </c>
      <c r="U71" s="171">
        <f t="shared" si="13"/>
        <v>18</v>
      </c>
      <c r="V71" s="171">
        <f t="shared" si="13"/>
        <v>19</v>
      </c>
      <c r="W71" s="422" t="s">
        <v>0</v>
      </c>
      <c r="X71" s="429" t="s">
        <v>117</v>
      </c>
      <c r="Y71" s="481"/>
      <c r="Z71" s="148"/>
      <c r="AA71" s="144" t="s">
        <v>116</v>
      </c>
      <c r="AB71" s="141"/>
      <c r="AC71" s="142"/>
      <c r="AD71" s="171" t="s">
        <v>0</v>
      </c>
      <c r="AE71" s="172" t="s">
        <v>117</v>
      </c>
    </row>
    <row r="72" spans="1:31" s="173" customFormat="1" ht="12.75">
      <c r="A72" s="144" t="s">
        <v>118</v>
      </c>
      <c r="B72" s="141"/>
      <c r="C72" s="142"/>
      <c r="D72" s="170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2"/>
      <c r="Y72" s="481"/>
      <c r="Z72" s="148"/>
      <c r="AA72" s="144" t="s">
        <v>118</v>
      </c>
      <c r="AB72" s="141"/>
      <c r="AC72" s="142"/>
      <c r="AD72" s="171"/>
      <c r="AE72" s="172"/>
    </row>
    <row r="73" spans="1:31" s="49" customFormat="1" ht="12.75" customHeight="1">
      <c r="A73" s="82" t="s">
        <v>114</v>
      </c>
      <c r="B73" s="83"/>
      <c r="C73" s="84" t="s">
        <v>35</v>
      </c>
      <c r="D73" s="124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6"/>
      <c r="W73" s="151"/>
      <c r="X73" s="129"/>
      <c r="Y73" s="481"/>
      <c r="Z73" s="154"/>
      <c r="AA73" s="82" t="s">
        <v>114</v>
      </c>
      <c r="AB73" s="83"/>
      <c r="AC73" s="84" t="s">
        <v>35</v>
      </c>
      <c r="AD73" s="151"/>
      <c r="AE73" s="129"/>
    </row>
    <row r="74" spans="1:31" s="51" customFormat="1" ht="12.75" customHeight="1">
      <c r="A74" s="71">
        <f aca="true" t="shared" si="14" ref="A74:B81">A61</f>
        <v>8</v>
      </c>
      <c r="B74" s="56">
        <f t="shared" si="14"/>
        <v>10</v>
      </c>
      <c r="C74" s="72" t="s">
        <v>6</v>
      </c>
      <c r="D74" s="80">
        <f aca="true" t="shared" si="15" ref="D74:T74">D61</f>
        <v>0.9259149446846328</v>
      </c>
      <c r="E74" s="81">
        <f t="shared" si="15"/>
        <v>0.9008902164499127</v>
      </c>
      <c r="F74" s="81">
        <f t="shared" si="15"/>
        <v>0.9523696573899078</v>
      </c>
      <c r="G74" s="81">
        <f t="shared" si="15"/>
        <v>0.9900872675835674</v>
      </c>
      <c r="H74" s="81">
        <f t="shared" si="15"/>
        <v>0.9008902164499127</v>
      </c>
      <c r="I74" s="81">
        <f t="shared" si="15"/>
        <v>0.8403261682852128</v>
      </c>
      <c r="J74" s="81">
        <f t="shared" si="15"/>
        <v>0.8620587416029337</v>
      </c>
      <c r="K74" s="81">
        <f t="shared" si="15"/>
        <v>0.869554904573394</v>
      </c>
      <c r="L74" s="81">
        <f t="shared" si="15"/>
        <v>0.85469071817043</v>
      </c>
      <c r="M74" s="81">
        <f t="shared" si="15"/>
        <v>0.8620587416029339</v>
      </c>
      <c r="N74" s="81">
        <f t="shared" si="15"/>
        <v>0.85469071817043</v>
      </c>
      <c r="O74" s="81">
        <f t="shared" si="15"/>
        <v>0.8196624100486911</v>
      </c>
      <c r="P74" s="81">
        <f t="shared" si="15"/>
        <v>0.8620587416029337</v>
      </c>
      <c r="Q74" s="81">
        <f t="shared" si="15"/>
        <v>0.869554904573394</v>
      </c>
      <c r="R74" s="81">
        <f t="shared" si="15"/>
        <v>0.9090801275085485</v>
      </c>
      <c r="S74" s="81">
        <f t="shared" si="15"/>
        <v>0.85469071817043</v>
      </c>
      <c r="T74" s="81">
        <f t="shared" si="15"/>
        <v>0.85469071817043</v>
      </c>
      <c r="U74" s="460"/>
      <c r="V74" s="464"/>
      <c r="W74" s="86">
        <f>W61</f>
        <v>0.8813688185316292</v>
      </c>
      <c r="X74" s="412">
        <f>X61</f>
        <v>0.04338209791946443</v>
      </c>
      <c r="Y74" s="481"/>
      <c r="Z74" s="86"/>
      <c r="AA74" s="71">
        <f aca="true" t="shared" si="16" ref="AA74:AB81">A74</f>
        <v>8</v>
      </c>
      <c r="AB74" s="56">
        <f t="shared" si="16"/>
        <v>10</v>
      </c>
      <c r="AC74" s="72" t="s">
        <v>9</v>
      </c>
      <c r="AD74" s="86">
        <f aca="true" t="shared" si="17" ref="AD74:AE81">W74</f>
        <v>0.8813688185316292</v>
      </c>
      <c r="AE74" s="72">
        <f t="shared" si="17"/>
        <v>0.04338209791946443</v>
      </c>
    </row>
    <row r="75" spans="1:31" s="51" customFormat="1" ht="12.75" customHeight="1">
      <c r="A75" s="71">
        <f t="shared" si="14"/>
        <v>8</v>
      </c>
      <c r="B75" s="56">
        <f t="shared" si="14"/>
        <v>10</v>
      </c>
      <c r="C75" s="72" t="s">
        <v>8</v>
      </c>
      <c r="D75" s="80">
        <f aca="true" t="shared" si="18" ref="D75:T75">D62</f>
        <v>0.8657905976271889</v>
      </c>
      <c r="E75" s="81">
        <f t="shared" si="18"/>
        <v>0.8510537363909814</v>
      </c>
      <c r="F75" s="81">
        <f t="shared" si="18"/>
        <v>0.9049666427686905</v>
      </c>
      <c r="G75" s="81">
        <f t="shared" si="18"/>
        <v>1.2062583115312462</v>
      </c>
      <c r="H75" s="81">
        <f t="shared" si="18"/>
        <v>0.97559818561893</v>
      </c>
      <c r="I75" s="81">
        <f t="shared" si="18"/>
        <v>0.9216480555386204</v>
      </c>
      <c r="J75" s="81">
        <f t="shared" si="18"/>
        <v>0.9478560571179178</v>
      </c>
      <c r="K75" s="81">
        <f t="shared" si="18"/>
        <v>0.8968503500084335</v>
      </c>
      <c r="L75" s="81">
        <f t="shared" si="18"/>
        <v>0.8888783468972473</v>
      </c>
      <c r="M75" s="81">
        <f t="shared" si="18"/>
        <v>0.9478560571179178</v>
      </c>
      <c r="N75" s="81">
        <f t="shared" si="18"/>
        <v>0.8888783468972473</v>
      </c>
      <c r="O75" s="81">
        <f t="shared" si="18"/>
        <v>0.9049666427686907</v>
      </c>
      <c r="P75" s="81">
        <f t="shared" si="18"/>
        <v>0.9132311783190896</v>
      </c>
      <c r="Q75" s="81">
        <f t="shared" si="18"/>
        <v>0.8657905976271888</v>
      </c>
      <c r="R75" s="81">
        <f t="shared" si="18"/>
        <v>0.9478560571179178</v>
      </c>
      <c r="S75" s="81">
        <f t="shared" si="18"/>
        <v>0.8510537363909814</v>
      </c>
      <c r="T75" s="81">
        <f t="shared" si="18"/>
        <v>0.8510537363909814</v>
      </c>
      <c r="U75" s="460"/>
      <c r="V75" s="464"/>
      <c r="W75" s="86">
        <f aca="true" t="shared" si="19" ref="W75:X81">W62</f>
        <v>0.9193874491840746</v>
      </c>
      <c r="X75" s="412">
        <f t="shared" si="19"/>
        <v>0.083091861132976</v>
      </c>
      <c r="Y75" s="481"/>
      <c r="Z75" s="86"/>
      <c r="AA75" s="71">
        <f t="shared" si="16"/>
        <v>8</v>
      </c>
      <c r="AB75" s="56">
        <f t="shared" si="16"/>
        <v>10</v>
      </c>
      <c r="AC75" s="72" t="s">
        <v>7</v>
      </c>
      <c r="AD75" s="86">
        <f t="shared" si="17"/>
        <v>0.9193874491840746</v>
      </c>
      <c r="AE75" s="72">
        <f t="shared" si="17"/>
        <v>0.083091861132976</v>
      </c>
    </row>
    <row r="76" spans="1:31" s="51" customFormat="1" ht="13.5" customHeight="1">
      <c r="A76" s="71">
        <f t="shared" si="14"/>
        <v>10</v>
      </c>
      <c r="B76" s="56">
        <f t="shared" si="14"/>
        <v>12</v>
      </c>
      <c r="C76" s="72" t="s">
        <v>6</v>
      </c>
      <c r="D76" s="80">
        <f aca="true" t="shared" si="20" ref="D76:T76">D63</f>
        <v>0.873352087562797</v>
      </c>
      <c r="E76" s="81">
        <f t="shared" si="20"/>
        <v>0.9132311783190893</v>
      </c>
      <c r="F76" s="81">
        <f t="shared" si="20"/>
        <v>0.8510537363909809</v>
      </c>
      <c r="G76" s="81">
        <f t="shared" si="20"/>
        <v>0.92164805553862</v>
      </c>
      <c r="H76" s="81">
        <f t="shared" si="20"/>
        <v>0.843871848320171</v>
      </c>
      <c r="I76" s="81">
        <f t="shared" si="20"/>
        <v>0.8163168491913492</v>
      </c>
      <c r="J76" s="81">
        <f t="shared" si="20"/>
        <v>0.8163168491913492</v>
      </c>
      <c r="K76" s="81">
        <f t="shared" si="20"/>
        <v>0.8163168491913492</v>
      </c>
      <c r="L76" s="81">
        <f t="shared" si="20"/>
        <v>0.7843044237328648</v>
      </c>
      <c r="M76" s="81">
        <f t="shared" si="20"/>
        <v>0.8097069961614595</v>
      </c>
      <c r="N76" s="81">
        <f t="shared" si="20"/>
        <v>0.8230355063863397</v>
      </c>
      <c r="O76" s="81">
        <f t="shared" si="20"/>
        <v>0.8368101592128894</v>
      </c>
      <c r="P76" s="81">
        <f t="shared" si="20"/>
        <v>0.8032033255095604</v>
      </c>
      <c r="Q76" s="81">
        <f t="shared" si="20"/>
        <v>0.8097069961614595</v>
      </c>
      <c r="R76" s="81">
        <f t="shared" si="20"/>
        <v>0.7905044587030854</v>
      </c>
      <c r="S76" s="81">
        <f t="shared" si="20"/>
        <v>0.8298656765638198</v>
      </c>
      <c r="T76" s="81">
        <f t="shared" si="20"/>
        <v>0.7905044587030852</v>
      </c>
      <c r="U76" s="460"/>
      <c r="V76" s="464"/>
      <c r="W76" s="86">
        <f t="shared" si="19"/>
        <v>0.8311617326376628</v>
      </c>
      <c r="X76" s="412">
        <f t="shared" si="19"/>
        <v>0.03970601685289189</v>
      </c>
      <c r="Y76" s="481"/>
      <c r="Z76" s="86"/>
      <c r="AA76" s="71">
        <f t="shared" si="16"/>
        <v>10</v>
      </c>
      <c r="AB76" s="56">
        <f t="shared" si="16"/>
        <v>12</v>
      </c>
      <c r="AC76" s="72" t="s">
        <v>9</v>
      </c>
      <c r="AD76" s="86">
        <f t="shared" si="17"/>
        <v>0.8311617326376628</v>
      </c>
      <c r="AE76" s="72">
        <f t="shared" si="17"/>
        <v>0.03970601685289189</v>
      </c>
    </row>
    <row r="77" spans="1:31" s="51" customFormat="1" ht="12.75">
      <c r="A77" s="71">
        <f t="shared" si="14"/>
        <v>10</v>
      </c>
      <c r="B77" s="56">
        <f t="shared" si="14"/>
        <v>12</v>
      </c>
      <c r="C77" s="72" t="s">
        <v>8</v>
      </c>
      <c r="D77" s="80">
        <f aca="true" t="shared" si="21" ref="D77:T77">D64</f>
        <v>0.819662410048691</v>
      </c>
      <c r="E77" s="81">
        <f t="shared" si="21"/>
        <v>0.769221646353387</v>
      </c>
      <c r="F77" s="81">
        <f t="shared" si="21"/>
        <v>0.8368101592128894</v>
      </c>
      <c r="G77" s="81">
        <f t="shared" si="21"/>
        <v>0.8546907181704297</v>
      </c>
      <c r="H77" s="81">
        <f t="shared" si="21"/>
        <v>0.8546907181704297</v>
      </c>
      <c r="I77" s="81">
        <f t="shared" si="21"/>
        <v>0.8129984880157749</v>
      </c>
      <c r="J77" s="81">
        <f t="shared" si="21"/>
        <v>0.8264364795532257</v>
      </c>
      <c r="K77" s="81">
        <f t="shared" si="21"/>
        <v>0.8064420485962928</v>
      </c>
      <c r="L77" s="81">
        <f t="shared" si="21"/>
        <v>0.8546907181704297</v>
      </c>
      <c r="M77" s="81">
        <f t="shared" si="21"/>
        <v>0.8264364795532257</v>
      </c>
      <c r="N77" s="81">
        <f t="shared" si="21"/>
        <v>0.8264364795532257</v>
      </c>
      <c r="O77" s="81">
        <f t="shared" si="21"/>
        <v>0.833323450216169</v>
      </c>
      <c r="P77" s="81">
        <f t="shared" si="21"/>
        <v>0.8264364795532255</v>
      </c>
      <c r="Q77" s="81">
        <f t="shared" si="21"/>
        <v>0.819662410048691</v>
      </c>
      <c r="R77" s="81">
        <f t="shared" si="21"/>
        <v>0.8264364795532254</v>
      </c>
      <c r="S77" s="81">
        <f t="shared" si="21"/>
        <v>0.8333234502161692</v>
      </c>
      <c r="T77" s="81">
        <f t="shared" si="21"/>
        <v>0.7873922364247267</v>
      </c>
      <c r="U77" s="460"/>
      <c r="V77" s="464"/>
      <c r="W77" s="86">
        <f t="shared" si="19"/>
        <v>0.8244171089064828</v>
      </c>
      <c r="X77" s="412">
        <f t="shared" si="19"/>
        <v>0.022358135204253348</v>
      </c>
      <c r="Y77" s="481"/>
      <c r="Z77" s="86"/>
      <c r="AA77" s="71">
        <f t="shared" si="16"/>
        <v>10</v>
      </c>
      <c r="AB77" s="56">
        <f t="shared" si="16"/>
        <v>12</v>
      </c>
      <c r="AC77" s="72" t="s">
        <v>7</v>
      </c>
      <c r="AD77" s="86">
        <f t="shared" si="17"/>
        <v>0.8244171089064828</v>
      </c>
      <c r="AE77" s="72">
        <f t="shared" si="17"/>
        <v>0.022358135204253348</v>
      </c>
    </row>
    <row r="78" spans="1:31" s="51" customFormat="1" ht="12.75">
      <c r="A78" s="71">
        <f t="shared" si="14"/>
        <v>12</v>
      </c>
      <c r="B78" s="56">
        <f t="shared" si="14"/>
        <v>14</v>
      </c>
      <c r="C78" s="72" t="s">
        <v>6</v>
      </c>
      <c r="D78" s="80">
        <f aca="true" t="shared" si="22" ref="D78:T78">D65</f>
        <v>0.8849452568667284</v>
      </c>
      <c r="E78" s="81">
        <f t="shared" si="22"/>
        <v>0.9090801275085488</v>
      </c>
      <c r="F78" s="81">
        <f t="shared" si="22"/>
        <v>0.8928465538030386</v>
      </c>
      <c r="G78" s="81">
        <f t="shared" si="22"/>
        <v>0.8849452568667284</v>
      </c>
      <c r="H78" s="81">
        <f t="shared" si="22"/>
        <v>0.8403261682852126</v>
      </c>
      <c r="I78" s="81">
        <f t="shared" si="22"/>
        <v>0.7873922364247269</v>
      </c>
      <c r="J78" s="81">
        <f t="shared" si="22"/>
        <v>0.7812407345776591</v>
      </c>
      <c r="K78" s="81">
        <f t="shared" si="22"/>
        <v>0.7692216463533873</v>
      </c>
      <c r="L78" s="81">
        <f t="shared" si="22"/>
        <v>0.7633497253888574</v>
      </c>
      <c r="M78" s="81">
        <f t="shared" si="22"/>
        <v>0.7751846048522505</v>
      </c>
      <c r="N78" s="81">
        <f t="shared" si="22"/>
        <v>0.7633497253888576</v>
      </c>
      <c r="O78" s="81">
        <f t="shared" si="22"/>
        <v>0.8064420485962928</v>
      </c>
      <c r="P78" s="81">
        <f t="shared" si="22"/>
        <v>0.7999905122075226</v>
      </c>
      <c r="Q78" s="81">
        <f t="shared" si="22"/>
        <v>0.7633497253888576</v>
      </c>
      <c r="R78" s="81">
        <f t="shared" si="22"/>
        <v>0.7999905122075223</v>
      </c>
      <c r="S78" s="81">
        <f t="shared" si="22"/>
        <v>0.806442048596293</v>
      </c>
      <c r="T78" s="81">
        <f t="shared" si="22"/>
        <v>0.7633497253888576</v>
      </c>
      <c r="U78" s="460"/>
      <c r="V78" s="464"/>
      <c r="W78" s="86">
        <f t="shared" si="19"/>
        <v>0.811261565217726</v>
      </c>
      <c r="X78" s="412">
        <f t="shared" si="19"/>
        <v>0.051204558381861616</v>
      </c>
      <c r="Y78" s="481"/>
      <c r="Z78" s="86"/>
      <c r="AA78" s="71">
        <f t="shared" si="16"/>
        <v>12</v>
      </c>
      <c r="AB78" s="56">
        <f t="shared" si="16"/>
        <v>14</v>
      </c>
      <c r="AC78" s="72" t="s">
        <v>9</v>
      </c>
      <c r="AD78" s="86">
        <f t="shared" si="17"/>
        <v>0.811261565217726</v>
      </c>
      <c r="AE78" s="72">
        <f t="shared" si="17"/>
        <v>0.051204558381861616</v>
      </c>
    </row>
    <row r="79" spans="1:31" s="51" customFormat="1" ht="12.75">
      <c r="A79" s="71">
        <f t="shared" si="14"/>
        <v>12</v>
      </c>
      <c r="B79" s="56">
        <f t="shared" si="14"/>
        <v>14</v>
      </c>
      <c r="C79" s="72" t="s">
        <v>8</v>
      </c>
      <c r="D79" s="80">
        <f aca="true" t="shared" si="23" ref="D79:T79">D66</f>
        <v>0.9008902164499127</v>
      </c>
      <c r="E79" s="81">
        <f t="shared" si="23"/>
        <v>0.8403261682852129</v>
      </c>
      <c r="F79" s="81">
        <f t="shared" si="23"/>
        <v>0.8097069961614599</v>
      </c>
      <c r="G79" s="81">
        <f t="shared" si="23"/>
        <v>0.8474475764910199</v>
      </c>
      <c r="H79" s="81">
        <f t="shared" si="23"/>
        <v>0.806442048596293</v>
      </c>
      <c r="I79" s="81">
        <f t="shared" si="23"/>
        <v>0.8264364795532259</v>
      </c>
      <c r="J79" s="81">
        <f t="shared" si="23"/>
        <v>0.8064420485962928</v>
      </c>
      <c r="K79" s="81">
        <f t="shared" si="23"/>
        <v>0.8129984880157747</v>
      </c>
      <c r="L79" s="81">
        <f t="shared" si="23"/>
        <v>0.7633497253888574</v>
      </c>
      <c r="M79" s="81">
        <f t="shared" si="23"/>
        <v>0.8403261682852129</v>
      </c>
      <c r="N79" s="81">
        <f t="shared" si="23"/>
        <v>0.806442048596293</v>
      </c>
      <c r="O79" s="81">
        <f t="shared" si="23"/>
        <v>0.8129984880157753</v>
      </c>
      <c r="P79" s="81">
        <f t="shared" si="23"/>
        <v>0.85469071817043</v>
      </c>
      <c r="Q79" s="81">
        <f t="shared" si="23"/>
        <v>0.812998488015775</v>
      </c>
      <c r="R79" s="81">
        <f t="shared" si="23"/>
        <v>0.7936413811582566</v>
      </c>
      <c r="S79" s="81">
        <f t="shared" si="23"/>
        <v>0.8333234502161695</v>
      </c>
      <c r="T79" s="81">
        <f t="shared" si="23"/>
        <v>0.7999905122075223</v>
      </c>
      <c r="U79" s="460"/>
      <c r="V79" s="464"/>
      <c r="W79" s="86">
        <f t="shared" si="19"/>
        <v>0.8216735883649109</v>
      </c>
      <c r="X79" s="412">
        <f t="shared" si="19"/>
        <v>0.03021438982708962</v>
      </c>
      <c r="Y79" s="481"/>
      <c r="Z79" s="86"/>
      <c r="AA79" s="71">
        <f t="shared" si="16"/>
        <v>12</v>
      </c>
      <c r="AB79" s="56">
        <f t="shared" si="16"/>
        <v>14</v>
      </c>
      <c r="AC79" s="72" t="s">
        <v>7</v>
      </c>
      <c r="AD79" s="86">
        <f t="shared" si="17"/>
        <v>0.8216735883649109</v>
      </c>
      <c r="AE79" s="72">
        <f t="shared" si="17"/>
        <v>0.03021438982708962</v>
      </c>
    </row>
    <row r="80" spans="1:31" s="51" customFormat="1" ht="12.75">
      <c r="A80" s="71">
        <f t="shared" si="14"/>
        <v>10</v>
      </c>
      <c r="B80" s="56">
        <f t="shared" si="14"/>
        <v>14</v>
      </c>
      <c r="C80" s="72" t="s">
        <v>6</v>
      </c>
      <c r="D80" s="80">
        <f aca="true" t="shared" si="24" ref="D80:T80">D67</f>
        <v>0.8791104529752992</v>
      </c>
      <c r="E80" s="81">
        <f t="shared" si="24"/>
        <v>0.9111509250655153</v>
      </c>
      <c r="F80" s="81">
        <f t="shared" si="24"/>
        <v>0.8714493597031835</v>
      </c>
      <c r="G80" s="81">
        <f t="shared" si="24"/>
        <v>0.9029238286766619</v>
      </c>
      <c r="H80" s="81">
        <f t="shared" si="24"/>
        <v>0.8420952760079183</v>
      </c>
      <c r="I80" s="81">
        <f t="shared" si="24"/>
        <v>0.8015936996067359</v>
      </c>
      <c r="J80" s="81">
        <f t="shared" si="24"/>
        <v>0.7983937247580065</v>
      </c>
      <c r="K80" s="81">
        <f t="shared" si="24"/>
        <v>0.792069814066854</v>
      </c>
      <c r="L80" s="81">
        <f t="shared" si="24"/>
        <v>0.773685214900892</v>
      </c>
      <c r="M80" s="81">
        <f t="shared" si="24"/>
        <v>0.7920698140668538</v>
      </c>
      <c r="N80" s="81">
        <f t="shared" si="24"/>
        <v>0.792069814066854</v>
      </c>
      <c r="O80" s="81">
        <f t="shared" si="24"/>
        <v>0.8213454950795916</v>
      </c>
      <c r="P80" s="81">
        <f t="shared" si="24"/>
        <v>0.8015936996067359</v>
      </c>
      <c r="Q80" s="81">
        <f t="shared" si="24"/>
        <v>0.7858452968639709</v>
      </c>
      <c r="R80" s="81">
        <f t="shared" si="24"/>
        <v>0.7952191970253701</v>
      </c>
      <c r="S80" s="81">
        <f t="shared" si="24"/>
        <v>0.8179862088011476</v>
      </c>
      <c r="T80" s="81">
        <f t="shared" si="24"/>
        <v>0.7766898176772064</v>
      </c>
      <c r="U80" s="460"/>
      <c r="V80" s="464"/>
      <c r="W80" s="86">
        <f t="shared" si="19"/>
        <v>0.8208995081734588</v>
      </c>
      <c r="X80" s="412">
        <f t="shared" si="19"/>
        <v>0.04408260050609859</v>
      </c>
      <c r="Y80" s="481"/>
      <c r="Z80" s="86"/>
      <c r="AA80" s="71">
        <f t="shared" si="16"/>
        <v>10</v>
      </c>
      <c r="AB80" s="56">
        <f t="shared" si="16"/>
        <v>14</v>
      </c>
      <c r="AC80" s="72" t="s">
        <v>9</v>
      </c>
      <c r="AD80" s="86">
        <f t="shared" si="17"/>
        <v>0.8208995081734588</v>
      </c>
      <c r="AE80" s="72">
        <f t="shared" si="17"/>
        <v>0.04408260050609859</v>
      </c>
    </row>
    <row r="81" spans="1:31" s="51" customFormat="1" ht="12.75">
      <c r="A81" s="71">
        <f t="shared" si="14"/>
        <v>10</v>
      </c>
      <c r="B81" s="56">
        <f t="shared" si="14"/>
        <v>14</v>
      </c>
      <c r="C81" s="72" t="s">
        <v>8</v>
      </c>
      <c r="D81" s="80">
        <f aca="true" t="shared" si="25" ref="D81:T81">D68</f>
        <v>0.8583589186775992</v>
      </c>
      <c r="E81" s="81">
        <f t="shared" si="25"/>
        <v>0.8032033255095608</v>
      </c>
      <c r="F81" s="81">
        <f t="shared" si="25"/>
        <v>0.8230355063863398</v>
      </c>
      <c r="G81" s="81">
        <f t="shared" si="25"/>
        <v>0.8510537363909814</v>
      </c>
      <c r="H81" s="81">
        <f t="shared" si="25"/>
        <v>0.82986567656382</v>
      </c>
      <c r="I81" s="81">
        <f t="shared" si="25"/>
        <v>0.8196624100486913</v>
      </c>
      <c r="J81" s="81">
        <f t="shared" si="25"/>
        <v>0.8163168491913495</v>
      </c>
      <c r="K81" s="81">
        <f t="shared" si="25"/>
        <v>0.8097069961614598</v>
      </c>
      <c r="L81" s="81">
        <f t="shared" si="25"/>
        <v>0.8064420485962928</v>
      </c>
      <c r="M81" s="81">
        <f t="shared" si="25"/>
        <v>0.8333234502161695</v>
      </c>
      <c r="N81" s="81">
        <f t="shared" si="25"/>
        <v>0.8163168491913495</v>
      </c>
      <c r="O81" s="81">
        <f t="shared" si="25"/>
        <v>0.8230355063863399</v>
      </c>
      <c r="P81" s="81">
        <f t="shared" si="25"/>
        <v>0.8403261682852126</v>
      </c>
      <c r="Q81" s="81">
        <f t="shared" si="25"/>
        <v>0.8163168491913495</v>
      </c>
      <c r="R81" s="81">
        <f t="shared" si="25"/>
        <v>0.8097069961614599</v>
      </c>
      <c r="S81" s="81">
        <f t="shared" si="25"/>
        <v>0.8333234502161694</v>
      </c>
      <c r="T81" s="81">
        <f t="shared" si="25"/>
        <v>0.7936413811582563</v>
      </c>
      <c r="U81" s="460"/>
      <c r="V81" s="464"/>
      <c r="W81" s="86">
        <f t="shared" si="19"/>
        <v>0.8225668304901412</v>
      </c>
      <c r="X81" s="412">
        <f t="shared" si="19"/>
        <v>0.016994672580033707</v>
      </c>
      <c r="Y81" s="481"/>
      <c r="Z81" s="86"/>
      <c r="AA81" s="71">
        <f t="shared" si="16"/>
        <v>10</v>
      </c>
      <c r="AB81" s="56">
        <f t="shared" si="16"/>
        <v>14</v>
      </c>
      <c r="AC81" s="72" t="s">
        <v>7</v>
      </c>
      <c r="AD81" s="86">
        <f t="shared" si="17"/>
        <v>0.8225668304901412</v>
      </c>
      <c r="AE81" s="72">
        <f t="shared" si="17"/>
        <v>0.016994672580033707</v>
      </c>
    </row>
    <row r="82" spans="1:31" s="51" customFormat="1" ht="12.75">
      <c r="A82" s="71"/>
      <c r="B82" s="56"/>
      <c r="C82" s="72"/>
      <c r="D82" s="80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460"/>
      <c r="V82" s="464"/>
      <c r="W82" s="86"/>
      <c r="X82" s="72"/>
      <c r="Y82" s="481"/>
      <c r="Z82" s="86"/>
      <c r="AA82" s="71"/>
      <c r="AB82" s="56"/>
      <c r="AC82" s="72"/>
      <c r="AD82" s="86"/>
      <c r="AE82" s="72"/>
    </row>
    <row r="83" spans="1:31" s="51" customFormat="1" ht="12.75">
      <c r="A83" s="71"/>
      <c r="B83" s="56"/>
      <c r="C83" s="72"/>
      <c r="D83" s="80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460"/>
      <c r="V83" s="464"/>
      <c r="W83" s="86"/>
      <c r="X83" s="72"/>
      <c r="Y83" s="481"/>
      <c r="Z83" s="86"/>
      <c r="AA83" s="71"/>
      <c r="AB83" s="56"/>
      <c r="AC83" s="72"/>
      <c r="AD83" s="86"/>
      <c r="AE83" s="72"/>
    </row>
    <row r="84" spans="1:31" s="51" customFormat="1" ht="12" customHeight="1">
      <c r="A84" s="73" t="s">
        <v>119</v>
      </c>
      <c r="B84" s="58"/>
      <c r="C84" s="72"/>
      <c r="D84" s="80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460"/>
      <c r="V84" s="464"/>
      <c r="W84" s="86"/>
      <c r="X84" s="72"/>
      <c r="Y84" s="481"/>
      <c r="Z84" s="86"/>
      <c r="AA84" s="73" t="s">
        <v>119</v>
      </c>
      <c r="AB84" s="58"/>
      <c r="AC84" s="72"/>
      <c r="AD84" s="86"/>
      <c r="AE84" s="72"/>
    </row>
    <row r="85" spans="1:31" s="49" customFormat="1" ht="12" customHeight="1">
      <c r="A85" s="71" t="str">
        <f>$C$3</f>
        <v>I-001 2nd sizing</v>
      </c>
      <c r="B85" s="56" t="str">
        <f>$C$4</f>
        <v>inner</v>
      </c>
      <c r="C85" s="69" t="s">
        <v>9</v>
      </c>
      <c r="D85" s="80">
        <f aca="true" t="shared" si="26" ref="D85:M86">D52*1000</f>
        <v>-2.570000000000001</v>
      </c>
      <c r="E85" s="81">
        <f t="shared" si="26"/>
        <v>-3.130000000000001</v>
      </c>
      <c r="F85" s="81">
        <f t="shared" si="26"/>
        <v>-1.4900000000000009</v>
      </c>
      <c r="G85" s="81">
        <f t="shared" si="26"/>
        <v>-3.4700000000000006</v>
      </c>
      <c r="H85" s="81">
        <f t="shared" si="26"/>
        <v>-3.0900000000000007</v>
      </c>
      <c r="I85" s="81">
        <f t="shared" si="26"/>
        <v>-2.3900000000000006</v>
      </c>
      <c r="J85" s="81">
        <f t="shared" si="26"/>
        <v>-2.4700000000000006</v>
      </c>
      <c r="K85" s="81">
        <f t="shared" si="26"/>
        <v>-2.0900000000000007</v>
      </c>
      <c r="L85" s="81">
        <f t="shared" si="26"/>
        <v>-2.170000000000001</v>
      </c>
      <c r="M85" s="81">
        <f t="shared" si="26"/>
        <v>-2.550000000000001</v>
      </c>
      <c r="N85" s="81">
        <f aca="true" t="shared" si="27" ref="N85:T86">N52*1000</f>
        <v>-2.190000000000001</v>
      </c>
      <c r="O85" s="81">
        <f t="shared" si="27"/>
        <v>-2.4300000000000006</v>
      </c>
      <c r="P85" s="81">
        <f t="shared" si="27"/>
        <v>-2.4300000000000006</v>
      </c>
      <c r="Q85" s="81">
        <f t="shared" si="27"/>
        <v>-2.570000000000001</v>
      </c>
      <c r="R85" s="81">
        <f t="shared" si="27"/>
        <v>-1.2700000000000002</v>
      </c>
      <c r="S85" s="81">
        <f t="shared" si="27"/>
        <v>-2.3700000000000006</v>
      </c>
      <c r="T85" s="81">
        <f t="shared" si="27"/>
        <v>-2.150000000000001</v>
      </c>
      <c r="U85" s="460"/>
      <c r="V85" s="464"/>
      <c r="W85" s="81">
        <f>W52*1000</f>
        <v>-2.401764705882354</v>
      </c>
      <c r="X85" s="413">
        <f>X52*1000</f>
        <v>0.5363328641585078</v>
      </c>
      <c r="Y85" s="481"/>
      <c r="Z85" s="56"/>
      <c r="AA85" s="71" t="str">
        <f>$C$3</f>
        <v>I-001 2nd sizing</v>
      </c>
      <c r="AB85" s="56" t="str">
        <f>$C$4</f>
        <v>inner</v>
      </c>
      <c r="AC85" s="69" t="s">
        <v>9</v>
      </c>
      <c r="AD85" s="86">
        <f>W85</f>
        <v>-2.401764705882354</v>
      </c>
      <c r="AE85" s="72">
        <f>X85</f>
        <v>0.5363328641585078</v>
      </c>
    </row>
    <row r="86" spans="1:31" s="49" customFormat="1" ht="12" customHeight="1">
      <c r="A86" s="74" t="str">
        <f>$C$3</f>
        <v>I-001 2nd sizing</v>
      </c>
      <c r="B86" s="52" t="str">
        <f>$C$4</f>
        <v>inner</v>
      </c>
      <c r="C86" s="70" t="s">
        <v>7</v>
      </c>
      <c r="D86" s="130">
        <f t="shared" si="26"/>
        <v>-2.66</v>
      </c>
      <c r="E86" s="131">
        <f t="shared" si="26"/>
        <v>-2.64</v>
      </c>
      <c r="F86" s="131">
        <f t="shared" si="26"/>
        <v>-2.730000000000001</v>
      </c>
      <c r="G86" s="131">
        <f t="shared" si="26"/>
        <v>-2.8200000000000003</v>
      </c>
      <c r="H86" s="131">
        <f t="shared" si="26"/>
        <v>-0.7400000000000002</v>
      </c>
      <c r="I86" s="131">
        <f t="shared" si="26"/>
        <v>-2.6</v>
      </c>
      <c r="J86" s="131">
        <f t="shared" si="26"/>
        <v>-2.5599999999999996</v>
      </c>
      <c r="K86" s="131">
        <f t="shared" si="26"/>
        <v>-2.3600000000000003</v>
      </c>
      <c r="L86" s="131">
        <f t="shared" si="26"/>
        <v>-2.72</v>
      </c>
      <c r="M86" s="131">
        <f t="shared" si="26"/>
        <v>-2.9</v>
      </c>
      <c r="N86" s="131">
        <f t="shared" si="27"/>
        <v>-2.5799999999999996</v>
      </c>
      <c r="O86" s="131">
        <f t="shared" si="27"/>
        <v>-2.4800000000000004</v>
      </c>
      <c r="P86" s="131">
        <f t="shared" si="27"/>
        <v>-2.7</v>
      </c>
      <c r="Q86" s="131">
        <f t="shared" si="27"/>
        <v>-2.08</v>
      </c>
      <c r="R86" s="131">
        <f t="shared" si="27"/>
        <v>-1.1600000000000004</v>
      </c>
      <c r="S86" s="131">
        <f t="shared" si="27"/>
        <v>-2.92</v>
      </c>
      <c r="T86" s="131">
        <f t="shared" si="27"/>
        <v>-2.02</v>
      </c>
      <c r="U86" s="472"/>
      <c r="V86" s="473"/>
      <c r="W86" s="131">
        <f>W53*1000</f>
        <v>-2.3923529411764703</v>
      </c>
      <c r="X86" s="414">
        <f>X53*1000</f>
        <v>0.6004324422006695</v>
      </c>
      <c r="Y86" s="481"/>
      <c r="Z86" s="52"/>
      <c r="AA86" s="74" t="str">
        <f>$C$3</f>
        <v>I-001 2nd sizing</v>
      </c>
      <c r="AB86" s="52" t="str">
        <f>$C$4</f>
        <v>inner</v>
      </c>
      <c r="AC86" s="70" t="s">
        <v>7</v>
      </c>
      <c r="AD86" s="88">
        <f>W86</f>
        <v>-2.3923529411764703</v>
      </c>
      <c r="AE86" s="89">
        <f>X86</f>
        <v>0.6004324422006695</v>
      </c>
    </row>
    <row r="87" spans="1:26" s="49" customFormat="1" ht="12.75">
      <c r="A87" s="53"/>
      <c r="B87" s="56"/>
      <c r="C87" s="3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86"/>
      <c r="X87" s="127"/>
      <c r="Y87" s="481"/>
      <c r="Z87" s="3"/>
    </row>
    <row r="88" spans="1:31" s="49" customFormat="1" ht="12.75">
      <c r="A88" s="66" t="s">
        <v>69</v>
      </c>
      <c r="B88" s="57"/>
      <c r="C88" s="3"/>
      <c r="D88" s="462" t="str">
        <f>$C$3</f>
        <v>I-001 2nd sizing</v>
      </c>
      <c r="E88" s="462"/>
      <c r="F88" s="462" t="str">
        <f>$C$4</f>
        <v>inner</v>
      </c>
      <c r="G88" s="462" t="s">
        <v>115</v>
      </c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86"/>
      <c r="X88" s="127"/>
      <c r="Y88" s="481"/>
      <c r="Z88" s="3"/>
      <c r="AA88" s="66" t="s">
        <v>69</v>
      </c>
      <c r="AB88" s="54"/>
      <c r="AC88" s="54"/>
      <c r="AD88" s="169" t="str">
        <f>D88</f>
        <v>I-001 2nd sizing</v>
      </c>
      <c r="AE88" s="185" t="str">
        <f>F88</f>
        <v>inner</v>
      </c>
    </row>
    <row r="89" spans="1:31" s="176" customFormat="1" ht="12.75">
      <c r="A89" s="147" t="s">
        <v>116</v>
      </c>
      <c r="B89" s="148"/>
      <c r="C89" s="149"/>
      <c r="D89" s="170">
        <v>1</v>
      </c>
      <c r="E89" s="171">
        <f aca="true" t="shared" si="28" ref="E89:N89">D89+1</f>
        <v>2</v>
      </c>
      <c r="F89" s="171">
        <f t="shared" si="28"/>
        <v>3</v>
      </c>
      <c r="G89" s="171">
        <f t="shared" si="28"/>
        <v>4</v>
      </c>
      <c r="H89" s="171">
        <f t="shared" si="28"/>
        <v>5</v>
      </c>
      <c r="I89" s="171">
        <f t="shared" si="28"/>
        <v>6</v>
      </c>
      <c r="J89" s="171">
        <f t="shared" si="28"/>
        <v>7</v>
      </c>
      <c r="K89" s="171">
        <f t="shared" si="28"/>
        <v>8</v>
      </c>
      <c r="L89" s="171">
        <f t="shared" si="28"/>
        <v>9</v>
      </c>
      <c r="M89" s="171">
        <f t="shared" si="28"/>
        <v>10</v>
      </c>
      <c r="N89" s="171">
        <f t="shared" si="28"/>
        <v>11</v>
      </c>
      <c r="O89" s="171">
        <f aca="true" t="shared" si="29" ref="O89:V89">N89+1</f>
        <v>12</v>
      </c>
      <c r="P89" s="171">
        <f t="shared" si="29"/>
        <v>13</v>
      </c>
      <c r="Q89" s="171">
        <f t="shared" si="29"/>
        <v>14</v>
      </c>
      <c r="R89" s="171">
        <f t="shared" si="29"/>
        <v>15</v>
      </c>
      <c r="S89" s="171">
        <f t="shared" si="29"/>
        <v>16</v>
      </c>
      <c r="T89" s="171">
        <f t="shared" si="29"/>
        <v>17</v>
      </c>
      <c r="U89" s="171">
        <f t="shared" si="29"/>
        <v>18</v>
      </c>
      <c r="V89" s="171">
        <f t="shared" si="29"/>
        <v>19</v>
      </c>
      <c r="W89" s="422" t="s">
        <v>0</v>
      </c>
      <c r="X89" s="429" t="s">
        <v>117</v>
      </c>
      <c r="Y89" s="481"/>
      <c r="Z89" s="481"/>
      <c r="AA89" s="157" t="str">
        <f aca="true" t="shared" si="30" ref="AA89:AA99">A89</f>
        <v>Axial location from lead end </v>
      </c>
      <c r="AB89" s="158"/>
      <c r="AC89" s="159"/>
      <c r="AD89" s="174" t="s">
        <v>0</v>
      </c>
      <c r="AE89" s="175" t="s">
        <v>117</v>
      </c>
    </row>
    <row r="90" spans="1:31" s="54" customFormat="1" ht="12" customHeight="1">
      <c r="A90" s="78" t="s">
        <v>120</v>
      </c>
      <c r="B90" s="75"/>
      <c r="C90" s="415"/>
      <c r="D90" s="132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424"/>
      <c r="W90" s="152"/>
      <c r="X90" s="134"/>
      <c r="Y90" s="516"/>
      <c r="Z90" s="516"/>
      <c r="AA90" s="157" t="str">
        <f t="shared" si="30"/>
        <v>Coil modulus [GPa]</v>
      </c>
      <c r="AB90" s="158"/>
      <c r="AC90" s="159"/>
      <c r="AD90" s="174"/>
      <c r="AE90" s="175"/>
    </row>
    <row r="91" spans="1:31" s="55" customFormat="1" ht="12" customHeight="1">
      <c r="A91" s="160" t="s">
        <v>121</v>
      </c>
      <c r="B91" s="161"/>
      <c r="C91" s="416" t="s">
        <v>35</v>
      </c>
      <c r="D91" s="135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417"/>
      <c r="W91" s="153"/>
      <c r="X91" s="137"/>
      <c r="Y91" s="516"/>
      <c r="Z91" s="516"/>
      <c r="AA91" s="160" t="str">
        <f t="shared" si="30"/>
        <v>Pressure range [MPa]</v>
      </c>
      <c r="AB91" s="161"/>
      <c r="AC91" s="162" t="s">
        <v>35</v>
      </c>
      <c r="AD91" s="152"/>
      <c r="AE91" s="134"/>
    </row>
    <row r="92" spans="1:31" s="55" customFormat="1" ht="12" customHeight="1">
      <c r="A92" s="91">
        <f aca="true" t="shared" si="31" ref="A92:B99">A74*6.895</f>
        <v>55.16</v>
      </c>
      <c r="B92" s="92">
        <f t="shared" si="31"/>
        <v>68.94999999999999</v>
      </c>
      <c r="C92" s="60" t="str">
        <f aca="true" t="shared" si="32" ref="C92:C99">C74</f>
        <v>A</v>
      </c>
      <c r="D92" s="135">
        <f aca="true" t="shared" si="33" ref="D92:M99">D74*6.895</f>
        <v>6.3841835436005425</v>
      </c>
      <c r="E92" s="136">
        <f t="shared" si="33"/>
        <v>6.211638042422148</v>
      </c>
      <c r="F92" s="136">
        <f t="shared" si="33"/>
        <v>6.566588787703414</v>
      </c>
      <c r="G92" s="136">
        <f t="shared" si="33"/>
        <v>6.826651709988696</v>
      </c>
      <c r="H92" s="136">
        <f t="shared" si="33"/>
        <v>6.211638042422148</v>
      </c>
      <c r="I92" s="136">
        <f t="shared" si="33"/>
        <v>5.794048930326542</v>
      </c>
      <c r="J92" s="136">
        <f t="shared" si="33"/>
        <v>5.943895023352227</v>
      </c>
      <c r="K92" s="136">
        <f t="shared" si="33"/>
        <v>5.995581067033552</v>
      </c>
      <c r="L92" s="136">
        <f t="shared" si="33"/>
        <v>5.893092501785114</v>
      </c>
      <c r="M92" s="136">
        <f t="shared" si="33"/>
        <v>5.943895023352229</v>
      </c>
      <c r="N92" s="136">
        <f aca="true" t="shared" si="34" ref="N92:T99">N74*6.895</f>
        <v>5.893092501785114</v>
      </c>
      <c r="O92" s="136">
        <f t="shared" si="34"/>
        <v>5.651572317285725</v>
      </c>
      <c r="P92" s="136">
        <f t="shared" si="34"/>
        <v>5.943895023352227</v>
      </c>
      <c r="Q92" s="136">
        <f t="shared" si="34"/>
        <v>5.995581067033552</v>
      </c>
      <c r="R92" s="136">
        <f t="shared" si="34"/>
        <v>6.268107479171442</v>
      </c>
      <c r="S92" s="136">
        <f t="shared" si="34"/>
        <v>5.893092501785114</v>
      </c>
      <c r="T92" s="136">
        <f t="shared" si="34"/>
        <v>5.893092501785114</v>
      </c>
      <c r="U92" s="517"/>
      <c r="V92" s="518"/>
      <c r="W92" s="153">
        <f aca="true" t="shared" si="35" ref="W92:X99">W74*6.895</f>
        <v>6.0770380037755825</v>
      </c>
      <c r="X92" s="137">
        <f t="shared" si="35"/>
        <v>0.2991195651547072</v>
      </c>
      <c r="Y92" s="516"/>
      <c r="Z92" s="516"/>
      <c r="AA92" s="79">
        <f t="shared" si="30"/>
        <v>55.16</v>
      </c>
      <c r="AB92" s="60">
        <f aca="true" t="shared" si="36" ref="AB92:AB99">B92</f>
        <v>68.94999999999999</v>
      </c>
      <c r="AC92" s="137" t="s">
        <v>9</v>
      </c>
      <c r="AD92" s="153">
        <f aca="true" t="shared" si="37" ref="AD92:AE99">W92</f>
        <v>6.0770380037755825</v>
      </c>
      <c r="AE92" s="137">
        <f t="shared" si="37"/>
        <v>0.2991195651547072</v>
      </c>
    </row>
    <row r="93" spans="1:31" s="55" customFormat="1" ht="12.75">
      <c r="A93" s="91">
        <f t="shared" si="31"/>
        <v>55.16</v>
      </c>
      <c r="B93" s="92">
        <f t="shared" si="31"/>
        <v>68.94999999999999</v>
      </c>
      <c r="C93" s="60" t="str">
        <f t="shared" si="32"/>
        <v>B</v>
      </c>
      <c r="D93" s="135">
        <f t="shared" si="33"/>
        <v>5.969626170639467</v>
      </c>
      <c r="E93" s="136">
        <f t="shared" si="33"/>
        <v>5.868015512415816</v>
      </c>
      <c r="F93" s="136">
        <f t="shared" si="33"/>
        <v>6.239745001890121</v>
      </c>
      <c r="G93" s="136">
        <f t="shared" si="33"/>
        <v>8.317151058007942</v>
      </c>
      <c r="H93" s="136">
        <f t="shared" si="33"/>
        <v>6.726749489842522</v>
      </c>
      <c r="I93" s="136">
        <f t="shared" si="33"/>
        <v>6.354763342938787</v>
      </c>
      <c r="J93" s="136">
        <f t="shared" si="33"/>
        <v>6.535467513828043</v>
      </c>
      <c r="K93" s="136">
        <f t="shared" si="33"/>
        <v>6.183783163308148</v>
      </c>
      <c r="L93" s="136">
        <f t="shared" si="33"/>
        <v>6.1288162018565195</v>
      </c>
      <c r="M93" s="136">
        <f t="shared" si="33"/>
        <v>6.535467513828043</v>
      </c>
      <c r="N93" s="136">
        <f t="shared" si="34"/>
        <v>6.1288162018565195</v>
      </c>
      <c r="O93" s="136">
        <f t="shared" si="34"/>
        <v>6.239745001890122</v>
      </c>
      <c r="P93" s="136">
        <f t="shared" si="34"/>
        <v>6.296728974510122</v>
      </c>
      <c r="Q93" s="136">
        <f t="shared" si="34"/>
        <v>5.969626170639466</v>
      </c>
      <c r="R93" s="136">
        <f t="shared" si="34"/>
        <v>6.535467513828043</v>
      </c>
      <c r="S93" s="136">
        <f t="shared" si="34"/>
        <v>5.868015512415816</v>
      </c>
      <c r="T93" s="136">
        <f t="shared" si="34"/>
        <v>5.868015512415816</v>
      </c>
      <c r="U93" s="517"/>
      <c r="V93" s="518"/>
      <c r="W93" s="153">
        <f t="shared" si="35"/>
        <v>6.339176462124193</v>
      </c>
      <c r="X93" s="137">
        <f t="shared" si="35"/>
        <v>0.5729183825118694</v>
      </c>
      <c r="Y93" s="516"/>
      <c r="Z93" s="516"/>
      <c r="AA93" s="79">
        <f t="shared" si="30"/>
        <v>55.16</v>
      </c>
      <c r="AB93" s="60">
        <f t="shared" si="36"/>
        <v>68.94999999999999</v>
      </c>
      <c r="AC93" s="137" t="s">
        <v>7</v>
      </c>
      <c r="AD93" s="153">
        <f t="shared" si="37"/>
        <v>6.339176462124193</v>
      </c>
      <c r="AE93" s="137">
        <f t="shared" si="37"/>
        <v>0.5729183825118694</v>
      </c>
    </row>
    <row r="94" spans="1:31" s="55" customFormat="1" ht="12.75">
      <c r="A94" s="91">
        <f t="shared" si="31"/>
        <v>68.94999999999999</v>
      </c>
      <c r="B94" s="92">
        <f t="shared" si="31"/>
        <v>82.74</v>
      </c>
      <c r="C94" s="60" t="str">
        <f t="shared" si="32"/>
        <v>A</v>
      </c>
      <c r="D94" s="135">
        <f t="shared" si="33"/>
        <v>6.021762643745485</v>
      </c>
      <c r="E94" s="136">
        <f t="shared" si="33"/>
        <v>6.2967289745101205</v>
      </c>
      <c r="F94" s="136">
        <f t="shared" si="33"/>
        <v>5.868015512415813</v>
      </c>
      <c r="G94" s="136">
        <f t="shared" si="33"/>
        <v>6.354763342938784</v>
      </c>
      <c r="H94" s="136">
        <f t="shared" si="33"/>
        <v>5.818496394167579</v>
      </c>
      <c r="I94" s="136">
        <f t="shared" si="33"/>
        <v>5.628504675174352</v>
      </c>
      <c r="J94" s="136">
        <f t="shared" si="33"/>
        <v>5.628504675174352</v>
      </c>
      <c r="K94" s="136">
        <f t="shared" si="33"/>
        <v>5.628504675174352</v>
      </c>
      <c r="L94" s="136">
        <f t="shared" si="33"/>
        <v>5.407779001638103</v>
      </c>
      <c r="M94" s="136">
        <f t="shared" si="33"/>
        <v>5.582929738533263</v>
      </c>
      <c r="N94" s="136">
        <f t="shared" si="34"/>
        <v>5.674829816533812</v>
      </c>
      <c r="O94" s="136">
        <f t="shared" si="34"/>
        <v>5.769806047772872</v>
      </c>
      <c r="P94" s="136">
        <f t="shared" si="34"/>
        <v>5.5380869293884185</v>
      </c>
      <c r="Q94" s="136">
        <f t="shared" si="34"/>
        <v>5.582929738533263</v>
      </c>
      <c r="R94" s="136">
        <f t="shared" si="34"/>
        <v>5.450528242757773</v>
      </c>
      <c r="S94" s="136">
        <f t="shared" si="34"/>
        <v>5.721923839907538</v>
      </c>
      <c r="T94" s="136">
        <f t="shared" si="34"/>
        <v>5.4505282427577715</v>
      </c>
      <c r="U94" s="517"/>
      <c r="V94" s="518"/>
      <c r="W94" s="153">
        <f t="shared" si="35"/>
        <v>5.730860146536685</v>
      </c>
      <c r="X94" s="137">
        <f t="shared" si="35"/>
        <v>0.27377298620068957</v>
      </c>
      <c r="Y94" s="516"/>
      <c r="Z94" s="516"/>
      <c r="AA94" s="79">
        <f t="shared" si="30"/>
        <v>68.94999999999999</v>
      </c>
      <c r="AB94" s="60">
        <f t="shared" si="36"/>
        <v>82.74</v>
      </c>
      <c r="AC94" s="137" t="s">
        <v>9</v>
      </c>
      <c r="AD94" s="153">
        <f t="shared" si="37"/>
        <v>5.730860146536685</v>
      </c>
      <c r="AE94" s="137">
        <f t="shared" si="37"/>
        <v>0.27377298620068957</v>
      </c>
    </row>
    <row r="95" spans="1:31" s="55" customFormat="1" ht="12.75">
      <c r="A95" s="91">
        <f t="shared" si="31"/>
        <v>68.94999999999999</v>
      </c>
      <c r="B95" s="92">
        <f t="shared" si="31"/>
        <v>82.74</v>
      </c>
      <c r="C95" s="60" t="str">
        <f t="shared" si="32"/>
        <v>B</v>
      </c>
      <c r="D95" s="135">
        <f t="shared" si="33"/>
        <v>5.651572317285724</v>
      </c>
      <c r="E95" s="136">
        <f t="shared" si="33"/>
        <v>5.303783251606603</v>
      </c>
      <c r="F95" s="136">
        <f t="shared" si="33"/>
        <v>5.769806047772872</v>
      </c>
      <c r="G95" s="136">
        <f t="shared" si="33"/>
        <v>5.893092501785112</v>
      </c>
      <c r="H95" s="136">
        <f t="shared" si="33"/>
        <v>5.893092501785112</v>
      </c>
      <c r="I95" s="136">
        <f t="shared" si="33"/>
        <v>5.605624574868767</v>
      </c>
      <c r="J95" s="136">
        <f t="shared" si="33"/>
        <v>5.698279526519491</v>
      </c>
      <c r="K95" s="136">
        <f t="shared" si="33"/>
        <v>5.560417925071438</v>
      </c>
      <c r="L95" s="136">
        <f t="shared" si="33"/>
        <v>5.893092501785112</v>
      </c>
      <c r="M95" s="136">
        <f t="shared" si="33"/>
        <v>5.698279526519491</v>
      </c>
      <c r="N95" s="136">
        <f t="shared" si="34"/>
        <v>5.698279526519491</v>
      </c>
      <c r="O95" s="136">
        <f t="shared" si="34"/>
        <v>5.745765189240485</v>
      </c>
      <c r="P95" s="136">
        <f t="shared" si="34"/>
        <v>5.69827952651949</v>
      </c>
      <c r="Q95" s="136">
        <f t="shared" si="34"/>
        <v>5.651572317285724</v>
      </c>
      <c r="R95" s="136">
        <f t="shared" si="34"/>
        <v>5.698279526519489</v>
      </c>
      <c r="S95" s="136">
        <f t="shared" si="34"/>
        <v>5.745765189240486</v>
      </c>
      <c r="T95" s="136">
        <f t="shared" si="34"/>
        <v>5.42906947014849</v>
      </c>
      <c r="U95" s="517"/>
      <c r="V95" s="518"/>
      <c r="W95" s="153">
        <f t="shared" si="35"/>
        <v>5.684355965910198</v>
      </c>
      <c r="X95" s="137">
        <f t="shared" si="35"/>
        <v>0.15415934223332683</v>
      </c>
      <c r="Y95" s="516"/>
      <c r="Z95" s="516"/>
      <c r="AA95" s="79">
        <f t="shared" si="30"/>
        <v>68.94999999999999</v>
      </c>
      <c r="AB95" s="60">
        <f t="shared" si="36"/>
        <v>82.74</v>
      </c>
      <c r="AC95" s="137" t="s">
        <v>7</v>
      </c>
      <c r="AD95" s="153">
        <f t="shared" si="37"/>
        <v>5.684355965910198</v>
      </c>
      <c r="AE95" s="137">
        <f t="shared" si="37"/>
        <v>0.15415934223332683</v>
      </c>
    </row>
    <row r="96" spans="1:31" s="55" customFormat="1" ht="12.75">
      <c r="A96" s="91">
        <f t="shared" si="31"/>
        <v>82.74</v>
      </c>
      <c r="B96" s="92">
        <f t="shared" si="31"/>
        <v>96.53</v>
      </c>
      <c r="C96" s="60" t="str">
        <f t="shared" si="32"/>
        <v>A</v>
      </c>
      <c r="D96" s="135">
        <f t="shared" si="33"/>
        <v>6.1016975460960925</v>
      </c>
      <c r="E96" s="136">
        <f t="shared" si="33"/>
        <v>6.2681074791714435</v>
      </c>
      <c r="F96" s="136">
        <f t="shared" si="33"/>
        <v>6.156176988471951</v>
      </c>
      <c r="G96" s="136">
        <f t="shared" si="33"/>
        <v>6.1016975460960925</v>
      </c>
      <c r="H96" s="136">
        <f t="shared" si="33"/>
        <v>5.79404893032654</v>
      </c>
      <c r="I96" s="136">
        <f t="shared" si="33"/>
        <v>5.429069470148492</v>
      </c>
      <c r="J96" s="136">
        <f t="shared" si="33"/>
        <v>5.386654864912959</v>
      </c>
      <c r="K96" s="136">
        <f t="shared" si="33"/>
        <v>5.303783251606605</v>
      </c>
      <c r="L96" s="136">
        <f t="shared" si="33"/>
        <v>5.263296356556172</v>
      </c>
      <c r="M96" s="136">
        <f t="shared" si="33"/>
        <v>5.344897850456267</v>
      </c>
      <c r="N96" s="136">
        <f t="shared" si="34"/>
        <v>5.263296356556173</v>
      </c>
      <c r="O96" s="136">
        <f t="shared" si="34"/>
        <v>5.560417925071438</v>
      </c>
      <c r="P96" s="136">
        <f t="shared" si="34"/>
        <v>5.515934581670868</v>
      </c>
      <c r="Q96" s="136">
        <f t="shared" si="34"/>
        <v>5.263296356556173</v>
      </c>
      <c r="R96" s="136">
        <f t="shared" si="34"/>
        <v>5.515934581670866</v>
      </c>
      <c r="S96" s="136">
        <f t="shared" si="34"/>
        <v>5.56041792507144</v>
      </c>
      <c r="T96" s="136">
        <f t="shared" si="34"/>
        <v>5.263296356556173</v>
      </c>
      <c r="U96" s="517"/>
      <c r="V96" s="518"/>
      <c r="W96" s="153">
        <f t="shared" si="35"/>
        <v>5.593648492176221</v>
      </c>
      <c r="X96" s="137">
        <f t="shared" si="35"/>
        <v>0.3530554300429358</v>
      </c>
      <c r="Y96" s="516"/>
      <c r="Z96" s="516"/>
      <c r="AA96" s="79">
        <f t="shared" si="30"/>
        <v>82.74</v>
      </c>
      <c r="AB96" s="60">
        <f t="shared" si="36"/>
        <v>96.53</v>
      </c>
      <c r="AC96" s="137" t="s">
        <v>9</v>
      </c>
      <c r="AD96" s="153">
        <f t="shared" si="37"/>
        <v>5.593648492176221</v>
      </c>
      <c r="AE96" s="137">
        <f t="shared" si="37"/>
        <v>0.3530554300429358</v>
      </c>
    </row>
    <row r="97" spans="1:31" s="55" customFormat="1" ht="12.75">
      <c r="A97" s="91">
        <f t="shared" si="31"/>
        <v>82.74</v>
      </c>
      <c r="B97" s="92">
        <f t="shared" si="31"/>
        <v>96.53</v>
      </c>
      <c r="C97" s="60" t="str">
        <f t="shared" si="32"/>
        <v>B</v>
      </c>
      <c r="D97" s="135">
        <f t="shared" si="33"/>
        <v>6.211638042422148</v>
      </c>
      <c r="E97" s="136">
        <f t="shared" si="33"/>
        <v>5.794048930326542</v>
      </c>
      <c r="F97" s="136">
        <f t="shared" si="33"/>
        <v>5.582929738533266</v>
      </c>
      <c r="G97" s="136">
        <f t="shared" si="33"/>
        <v>5.843151039905582</v>
      </c>
      <c r="H97" s="136">
        <f t="shared" si="33"/>
        <v>5.56041792507144</v>
      </c>
      <c r="I97" s="136">
        <f t="shared" si="33"/>
        <v>5.698279526519492</v>
      </c>
      <c r="J97" s="136">
        <f t="shared" si="33"/>
        <v>5.560417925071438</v>
      </c>
      <c r="K97" s="136">
        <f t="shared" si="33"/>
        <v>5.605624574868766</v>
      </c>
      <c r="L97" s="136">
        <f t="shared" si="33"/>
        <v>5.263296356556172</v>
      </c>
      <c r="M97" s="136">
        <f t="shared" si="33"/>
        <v>5.794048930326542</v>
      </c>
      <c r="N97" s="136">
        <f t="shared" si="34"/>
        <v>5.56041792507144</v>
      </c>
      <c r="O97" s="136">
        <f t="shared" si="34"/>
        <v>5.605624574868771</v>
      </c>
      <c r="P97" s="136">
        <f t="shared" si="34"/>
        <v>5.893092501785114</v>
      </c>
      <c r="Q97" s="136">
        <f t="shared" si="34"/>
        <v>5.605624574868768</v>
      </c>
      <c r="R97" s="136">
        <f t="shared" si="34"/>
        <v>5.472157323086178</v>
      </c>
      <c r="S97" s="136">
        <f t="shared" si="34"/>
        <v>5.745765189240489</v>
      </c>
      <c r="T97" s="136">
        <f t="shared" si="34"/>
        <v>5.515934581670866</v>
      </c>
      <c r="U97" s="517"/>
      <c r="V97" s="518"/>
      <c r="W97" s="153">
        <f t="shared" si="35"/>
        <v>5.665439391776061</v>
      </c>
      <c r="X97" s="137">
        <f t="shared" si="35"/>
        <v>0.2083282178577829</v>
      </c>
      <c r="Y97" s="516"/>
      <c r="Z97" s="516"/>
      <c r="AA97" s="79">
        <f t="shared" si="30"/>
        <v>82.74</v>
      </c>
      <c r="AB97" s="60">
        <f t="shared" si="36"/>
        <v>96.53</v>
      </c>
      <c r="AC97" s="137" t="s">
        <v>7</v>
      </c>
      <c r="AD97" s="153">
        <f t="shared" si="37"/>
        <v>5.665439391776061</v>
      </c>
      <c r="AE97" s="137">
        <f t="shared" si="37"/>
        <v>0.2083282178577829</v>
      </c>
    </row>
    <row r="98" spans="1:31" s="55" customFormat="1" ht="12.75">
      <c r="A98" s="91">
        <f t="shared" si="31"/>
        <v>68.94999999999999</v>
      </c>
      <c r="B98" s="92">
        <f t="shared" si="31"/>
        <v>96.53</v>
      </c>
      <c r="C98" s="60" t="str">
        <f t="shared" si="32"/>
        <v>A</v>
      </c>
      <c r="D98" s="135">
        <f t="shared" si="33"/>
        <v>6.0614665732646875</v>
      </c>
      <c r="E98" s="136">
        <f t="shared" si="33"/>
        <v>6.282385628326728</v>
      </c>
      <c r="F98" s="136">
        <f t="shared" si="33"/>
        <v>6.00864333515345</v>
      </c>
      <c r="G98" s="136">
        <f t="shared" si="33"/>
        <v>6.225659798725583</v>
      </c>
      <c r="H98" s="136">
        <f t="shared" si="33"/>
        <v>5.8062469280745965</v>
      </c>
      <c r="I98" s="136">
        <f t="shared" si="33"/>
        <v>5.526988558788443</v>
      </c>
      <c r="J98" s="136">
        <f t="shared" si="33"/>
        <v>5.5049247322064545</v>
      </c>
      <c r="K98" s="136">
        <f t="shared" si="33"/>
        <v>5.461321367990958</v>
      </c>
      <c r="L98" s="136">
        <f t="shared" si="33"/>
        <v>5.334559556741651</v>
      </c>
      <c r="M98" s="136">
        <f t="shared" si="33"/>
        <v>5.461321367990957</v>
      </c>
      <c r="N98" s="136">
        <f t="shared" si="34"/>
        <v>5.461321367990958</v>
      </c>
      <c r="O98" s="136">
        <f t="shared" si="34"/>
        <v>5.663177188573784</v>
      </c>
      <c r="P98" s="136">
        <f t="shared" si="34"/>
        <v>5.526988558788443</v>
      </c>
      <c r="Q98" s="136">
        <f t="shared" si="34"/>
        <v>5.418403321877078</v>
      </c>
      <c r="R98" s="136">
        <f t="shared" si="34"/>
        <v>5.483036363489926</v>
      </c>
      <c r="S98" s="136">
        <f t="shared" si="34"/>
        <v>5.640014909683912</v>
      </c>
      <c r="T98" s="136">
        <f t="shared" si="34"/>
        <v>5.355276292884337</v>
      </c>
      <c r="U98" s="517"/>
      <c r="V98" s="518"/>
      <c r="W98" s="153">
        <f t="shared" si="35"/>
        <v>5.660102108855998</v>
      </c>
      <c r="X98" s="137">
        <f t="shared" si="35"/>
        <v>0.30394953048954976</v>
      </c>
      <c r="Y98" s="516"/>
      <c r="Z98" s="516"/>
      <c r="AA98" s="79">
        <f t="shared" si="30"/>
        <v>68.94999999999999</v>
      </c>
      <c r="AB98" s="60">
        <f t="shared" si="36"/>
        <v>96.53</v>
      </c>
      <c r="AC98" s="137" t="s">
        <v>9</v>
      </c>
      <c r="AD98" s="153">
        <f t="shared" si="37"/>
        <v>5.660102108855998</v>
      </c>
      <c r="AE98" s="137">
        <f t="shared" si="37"/>
        <v>0.30394953048954976</v>
      </c>
    </row>
    <row r="99" spans="1:31" s="55" customFormat="1" ht="12.75">
      <c r="A99" s="91">
        <f t="shared" si="31"/>
        <v>68.94999999999999</v>
      </c>
      <c r="B99" s="92">
        <f t="shared" si="31"/>
        <v>96.53</v>
      </c>
      <c r="C99" s="60" t="str">
        <f t="shared" si="32"/>
        <v>B</v>
      </c>
      <c r="D99" s="135">
        <f t="shared" si="33"/>
        <v>5.918384744282046</v>
      </c>
      <c r="E99" s="136">
        <f t="shared" si="33"/>
        <v>5.538086929388421</v>
      </c>
      <c r="F99" s="136">
        <f t="shared" si="33"/>
        <v>5.674829816533813</v>
      </c>
      <c r="G99" s="136">
        <f t="shared" si="33"/>
        <v>5.868015512415816</v>
      </c>
      <c r="H99" s="136">
        <f t="shared" si="33"/>
        <v>5.7219238399075385</v>
      </c>
      <c r="I99" s="136">
        <f t="shared" si="33"/>
        <v>5.651572317285726</v>
      </c>
      <c r="J99" s="136">
        <f t="shared" si="33"/>
        <v>5.628504675174354</v>
      </c>
      <c r="K99" s="136">
        <f t="shared" si="33"/>
        <v>5.582929738533265</v>
      </c>
      <c r="L99" s="136">
        <f t="shared" si="33"/>
        <v>5.560417925071438</v>
      </c>
      <c r="M99" s="136">
        <f t="shared" si="33"/>
        <v>5.745765189240489</v>
      </c>
      <c r="N99" s="136">
        <f t="shared" si="34"/>
        <v>5.628504675174354</v>
      </c>
      <c r="O99" s="136">
        <f t="shared" si="34"/>
        <v>5.674829816533814</v>
      </c>
      <c r="P99" s="136">
        <f t="shared" si="34"/>
        <v>5.79404893032654</v>
      </c>
      <c r="Q99" s="136">
        <f t="shared" si="34"/>
        <v>5.628504675174354</v>
      </c>
      <c r="R99" s="136">
        <f t="shared" si="34"/>
        <v>5.582929738533266</v>
      </c>
      <c r="S99" s="136">
        <f t="shared" si="34"/>
        <v>5.745765189240488</v>
      </c>
      <c r="T99" s="136">
        <f t="shared" si="34"/>
        <v>5.472157323086177</v>
      </c>
      <c r="U99" s="517"/>
      <c r="V99" s="518"/>
      <c r="W99" s="153">
        <f t="shared" si="35"/>
        <v>5.671598296229523</v>
      </c>
      <c r="X99" s="137">
        <f t="shared" si="35"/>
        <v>0.1171782674393324</v>
      </c>
      <c r="Y99" s="516"/>
      <c r="Z99" s="516"/>
      <c r="AA99" s="79">
        <f t="shared" si="30"/>
        <v>68.94999999999999</v>
      </c>
      <c r="AB99" s="60">
        <f t="shared" si="36"/>
        <v>96.53</v>
      </c>
      <c r="AC99" s="137" t="s">
        <v>7</v>
      </c>
      <c r="AD99" s="153">
        <f t="shared" si="37"/>
        <v>5.671598296229523</v>
      </c>
      <c r="AE99" s="137">
        <f t="shared" si="37"/>
        <v>0.1171782674393324</v>
      </c>
    </row>
    <row r="100" spans="1:31" s="55" customFormat="1" ht="12.75">
      <c r="A100" s="79"/>
      <c r="B100" s="60"/>
      <c r="C100" s="60" t="s">
        <v>0</v>
      </c>
      <c r="D100" s="135">
        <f>AVERAGE(D92:D97)</f>
        <v>6.056746710631576</v>
      </c>
      <c r="E100" s="136">
        <f aca="true" t="shared" si="38" ref="E100:T100">AVERAGE(E92:E97)</f>
        <v>5.957053698408779</v>
      </c>
      <c r="F100" s="136">
        <f t="shared" si="38"/>
        <v>6.030543679464572</v>
      </c>
      <c r="G100" s="136">
        <f t="shared" si="38"/>
        <v>6.556084533120369</v>
      </c>
      <c r="H100" s="136">
        <f t="shared" si="38"/>
        <v>6.000740547269223</v>
      </c>
      <c r="I100" s="136">
        <f t="shared" si="38"/>
        <v>5.751715086662738</v>
      </c>
      <c r="J100" s="136">
        <f t="shared" si="38"/>
        <v>5.792203254809753</v>
      </c>
      <c r="K100" s="136">
        <f t="shared" si="38"/>
        <v>5.712949109510476</v>
      </c>
      <c r="L100" s="136">
        <f t="shared" si="38"/>
        <v>5.641562153362865</v>
      </c>
      <c r="M100" s="136">
        <f t="shared" si="38"/>
        <v>5.816586430502639</v>
      </c>
      <c r="N100" s="136">
        <f t="shared" si="38"/>
        <v>5.703122054720424</v>
      </c>
      <c r="O100" s="136">
        <f t="shared" si="38"/>
        <v>5.762155176021569</v>
      </c>
      <c r="P100" s="136">
        <f t="shared" si="38"/>
        <v>5.814336256204373</v>
      </c>
      <c r="Q100" s="136">
        <f t="shared" si="38"/>
        <v>5.678105037486158</v>
      </c>
      <c r="R100" s="136">
        <f t="shared" si="38"/>
        <v>5.823412444505632</v>
      </c>
      <c r="S100" s="136">
        <f t="shared" si="38"/>
        <v>5.755830026276814</v>
      </c>
      <c r="T100" s="136">
        <f t="shared" si="38"/>
        <v>5.569989444222372</v>
      </c>
      <c r="U100" s="517"/>
      <c r="V100" s="518"/>
      <c r="W100" s="136">
        <f>AVERAGE(W92:W97)</f>
        <v>5.848419743716491</v>
      </c>
      <c r="X100" s="417">
        <f>AVERAGE(X92:X97)</f>
        <v>0.3102256540002187</v>
      </c>
      <c r="Y100" s="516"/>
      <c r="Z100" s="516"/>
      <c r="AA100" s="79"/>
      <c r="AB100" s="60"/>
      <c r="AC100" s="137" t="s">
        <v>0</v>
      </c>
      <c r="AD100" s="153">
        <f>W100</f>
        <v>5.848419743716491</v>
      </c>
      <c r="AE100" s="153">
        <f>X100</f>
        <v>0.3102256540002187</v>
      </c>
    </row>
    <row r="101" spans="1:31" s="55" customFormat="1" ht="12" customHeight="1">
      <c r="A101" s="79"/>
      <c r="B101" s="516"/>
      <c r="C101" s="60"/>
      <c r="D101" s="135"/>
      <c r="E101" s="517"/>
      <c r="F101" s="517"/>
      <c r="G101" s="517"/>
      <c r="H101" s="517"/>
      <c r="I101" s="517"/>
      <c r="J101" s="517"/>
      <c r="K101" s="517"/>
      <c r="L101" s="517"/>
      <c r="M101" s="517"/>
      <c r="N101" s="517"/>
      <c r="O101" s="517"/>
      <c r="P101" s="517"/>
      <c r="Q101" s="517"/>
      <c r="R101" s="517"/>
      <c r="S101" s="517"/>
      <c r="T101" s="517"/>
      <c r="U101" s="517"/>
      <c r="V101" s="518"/>
      <c r="W101" s="517"/>
      <c r="X101" s="137"/>
      <c r="Y101" s="516"/>
      <c r="Z101" s="516"/>
      <c r="AA101" s="79"/>
      <c r="AB101" s="60"/>
      <c r="AC101" s="137"/>
      <c r="AD101" s="153"/>
      <c r="AE101" s="137"/>
    </row>
    <row r="102" spans="1:31" s="90" customFormat="1" ht="12" customHeight="1">
      <c r="A102" s="77" t="s">
        <v>122</v>
      </c>
      <c r="B102" s="59"/>
      <c r="C102" s="60"/>
      <c r="D102" s="135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517"/>
      <c r="V102" s="518"/>
      <c r="W102" s="153"/>
      <c r="X102" s="137"/>
      <c r="Y102" s="516"/>
      <c r="Z102" s="516"/>
      <c r="AA102" s="77" t="str">
        <f>A102</f>
        <v>Coil size at 83 MPa coil pressure [µm]</v>
      </c>
      <c r="AB102" s="163"/>
      <c r="AC102" s="137"/>
      <c r="AD102" s="153"/>
      <c r="AE102" s="137"/>
    </row>
    <row r="103" spans="1:31" s="90" customFormat="1" ht="12" customHeight="1">
      <c r="A103" s="79" t="str">
        <f>$C$3</f>
        <v>I-001 2nd sizing</v>
      </c>
      <c r="B103" s="60" t="str">
        <f>$C$4</f>
        <v>inner</v>
      </c>
      <c r="C103" s="92" t="s">
        <v>9</v>
      </c>
      <c r="D103" s="155">
        <f aca="true" t="shared" si="39" ref="D103:M104">D85*1000/39.37</f>
        <v>-65.27813055626115</v>
      </c>
      <c r="E103" s="156">
        <f t="shared" si="39"/>
        <v>-79.50215900431803</v>
      </c>
      <c r="F103" s="156">
        <f t="shared" si="39"/>
        <v>-37.84607569215141</v>
      </c>
      <c r="G103" s="156">
        <f t="shared" si="39"/>
        <v>-88.13817627635257</v>
      </c>
      <c r="H103" s="156">
        <f t="shared" si="39"/>
        <v>-78.48615697231398</v>
      </c>
      <c r="I103" s="156">
        <f t="shared" si="39"/>
        <v>-60.70612141224284</v>
      </c>
      <c r="J103" s="156">
        <f t="shared" si="39"/>
        <v>-62.73812547625097</v>
      </c>
      <c r="K103" s="156">
        <f t="shared" si="39"/>
        <v>-53.08610617221237</v>
      </c>
      <c r="L103" s="156">
        <f t="shared" si="39"/>
        <v>-55.1181102362205</v>
      </c>
      <c r="M103" s="156">
        <f t="shared" si="39"/>
        <v>-64.77012954025912</v>
      </c>
      <c r="N103" s="156">
        <f aca="true" t="shared" si="40" ref="N103:T104">N85*1000/39.37</f>
        <v>-55.62611125222253</v>
      </c>
      <c r="O103" s="156">
        <f t="shared" si="40"/>
        <v>-61.722123444246904</v>
      </c>
      <c r="P103" s="156">
        <f t="shared" si="40"/>
        <v>-61.722123444246904</v>
      </c>
      <c r="Q103" s="156">
        <f t="shared" si="40"/>
        <v>-65.27813055626115</v>
      </c>
      <c r="R103" s="156">
        <f t="shared" si="40"/>
        <v>-32.25806451612904</v>
      </c>
      <c r="S103" s="156">
        <f t="shared" si="40"/>
        <v>-60.19812039624081</v>
      </c>
      <c r="T103" s="156">
        <f t="shared" si="40"/>
        <v>-54.61010922021847</v>
      </c>
      <c r="U103" s="517"/>
      <c r="V103" s="518"/>
      <c r="W103" s="156">
        <f>W85*1000/39.37</f>
        <v>-61.004945539302874</v>
      </c>
      <c r="X103" s="418">
        <f>X85*1000/39.37</f>
        <v>13.622881995390088</v>
      </c>
      <c r="Y103" s="516"/>
      <c r="Z103" s="516"/>
      <c r="AA103" s="79" t="str">
        <f>$C$3</f>
        <v>I-001 2nd sizing</v>
      </c>
      <c r="AB103" s="60" t="str">
        <f>$C$4</f>
        <v>inner</v>
      </c>
      <c r="AC103" s="76" t="s">
        <v>9</v>
      </c>
      <c r="AD103" s="153">
        <f>W103</f>
        <v>-61.004945539302874</v>
      </c>
      <c r="AE103" s="137">
        <f>X103</f>
        <v>13.622881995390088</v>
      </c>
    </row>
    <row r="104" spans="1:31" ht="12.75">
      <c r="A104" s="164" t="str">
        <f>$C$3</f>
        <v>I-001 2nd sizing</v>
      </c>
      <c r="B104" s="165" t="str">
        <f>$C$4</f>
        <v>inner</v>
      </c>
      <c r="C104" s="93" t="s">
        <v>7</v>
      </c>
      <c r="D104" s="94">
        <f t="shared" si="39"/>
        <v>-67.56413512827027</v>
      </c>
      <c r="E104" s="95">
        <f t="shared" si="39"/>
        <v>-67.05613411226823</v>
      </c>
      <c r="F104" s="95">
        <f t="shared" si="39"/>
        <v>-69.3421386842774</v>
      </c>
      <c r="G104" s="95">
        <f t="shared" si="39"/>
        <v>-71.62814325628653</v>
      </c>
      <c r="H104" s="95">
        <f t="shared" si="39"/>
        <v>-18.79603759207519</v>
      </c>
      <c r="I104" s="95">
        <f t="shared" si="39"/>
        <v>-66.04013208026416</v>
      </c>
      <c r="J104" s="95">
        <f t="shared" si="39"/>
        <v>-65.02413004826009</v>
      </c>
      <c r="K104" s="95">
        <f t="shared" si="39"/>
        <v>-59.94411988823979</v>
      </c>
      <c r="L104" s="95">
        <f t="shared" si="39"/>
        <v>-69.08813817627636</v>
      </c>
      <c r="M104" s="95">
        <f t="shared" si="39"/>
        <v>-73.66014732029464</v>
      </c>
      <c r="N104" s="95">
        <f t="shared" si="40"/>
        <v>-65.53213106426212</v>
      </c>
      <c r="O104" s="95">
        <f t="shared" si="40"/>
        <v>-62.992125984251985</v>
      </c>
      <c r="P104" s="95">
        <f t="shared" si="40"/>
        <v>-68.58013716027432</v>
      </c>
      <c r="Q104" s="95">
        <f t="shared" si="40"/>
        <v>-52.83210566421133</v>
      </c>
      <c r="R104" s="95">
        <f t="shared" si="40"/>
        <v>-29.46405892811787</v>
      </c>
      <c r="S104" s="95">
        <f t="shared" si="40"/>
        <v>-74.16814833629668</v>
      </c>
      <c r="T104" s="95">
        <f t="shared" si="40"/>
        <v>-51.30810261620523</v>
      </c>
      <c r="U104" s="536"/>
      <c r="V104" s="537"/>
      <c r="W104" s="95">
        <f>W86*1000/39.37</f>
        <v>-60.765886237654826</v>
      </c>
      <c r="X104" s="419">
        <f>X86*1000/39.37</f>
        <v>15.251014533926073</v>
      </c>
      <c r="AA104" s="164" t="str">
        <f>$C$3</f>
        <v>I-001 2nd sizing</v>
      </c>
      <c r="AB104" s="165" t="str">
        <f>$C$4</f>
        <v>inner</v>
      </c>
      <c r="AC104" s="166" t="s">
        <v>7</v>
      </c>
      <c r="AD104" s="167">
        <f>W104</f>
        <v>-60.765886237654826</v>
      </c>
      <c r="AE104" s="168">
        <f>X104</f>
        <v>15.251014533926073</v>
      </c>
    </row>
    <row r="105" spans="4:24" ht="12.75">
      <c r="D105" s="520"/>
      <c r="X105" s="516"/>
    </row>
  </sheetData>
  <printOptions horizontalCentered="1" verticalCentered="1"/>
  <pageMargins left="0" right="0" top="0" bottom="0" header="0.5" footer="0.5"/>
  <pageSetup fitToHeight="1" fitToWidth="1" orientation="portrait" scale="51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Tricia Heger</cp:lastModifiedBy>
  <cp:lastPrinted>1997-10-16T19:07:53Z</cp:lastPrinted>
  <dcterms:created xsi:type="dcterms:W3CDTF">1997-07-28T22:54:53Z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