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5988" yWindow="65524" windowWidth="12012" windowHeight="11736" tabRatio="772" activeTab="1"/>
  </bookViews>
  <sheets>
    <sheet name="Main Data" sheetId="1" r:id="rId1"/>
    <sheet name="Stats" sheetId="2" r:id="rId2"/>
    <sheet name="Downtime" sheetId="3" r:id="rId3"/>
    <sheet name="Faults Per Day" sheetId="4" r:id="rId4"/>
  </sheets>
  <definedNames>
    <definedName name="DT_Beamline">#REF!</definedName>
    <definedName name="DT_Controls">#REF!</definedName>
    <definedName name="DT_Diagnostics">#REF!</definedName>
    <definedName name="DT_OAG">#REF!</definedName>
    <definedName name="DT_Operations">#REF!</definedName>
    <definedName name="DT_Other">#REF!</definedName>
    <definedName name="DT_Physics">#REF!</definedName>
    <definedName name="DT_PS">#REF!</definedName>
    <definedName name="DT_RF">#REF!</definedName>
    <definedName name="DT_Scheduled">#REF!</definedName>
    <definedName name="DT_Vacuum">#REF!</definedName>
    <definedName name="DT_Water">#REF!</definedName>
    <definedName name="Faults_Day_of_Delivered_Beam">'Main Data'!$D$105</definedName>
    <definedName name="Mean_Time_Between_Faults">'Main Data'!$D$104</definedName>
    <definedName name="Number_of_Fills">'Main Data'!$D$97</definedName>
    <definedName name="Number_of_Intentional_Dumps">'Main Data'!$D$96</definedName>
    <definedName name="Number_of_Lost_Fills">'Main Data'!$D$95</definedName>
    <definedName name="_xlnm.Print_Area" localSheetId="3">'Faults Per Day'!$A$1:$W$67</definedName>
    <definedName name="_xlnm.Print_Area" localSheetId="0">'Main Data'!$A$2:$P$62</definedName>
    <definedName name="_xlnm.Print_Titles" localSheetId="0">'Main Data'!$5:$5</definedName>
    <definedName name="Refill_Time">'Main Data'!$D$1</definedName>
    <definedName name="Total_Schedule_Run_Length">'Main Data'!$D$101</definedName>
    <definedName name="Total_System_Downtime">'Main Data'!$K$97</definedName>
    <definedName name="Total_User_Beam">'Main Data'!$D$99</definedName>
    <definedName name="Total_User_Downtime">'Main Data'!$D$100</definedName>
    <definedName name="User_Beam_Days">'Main Data'!$E$99</definedName>
    <definedName name="X_ray_Availability">'Main Data'!$D$106</definedName>
  </definedNames>
  <calcPr fullCalcOnLoad="1"/>
  <pivotCaches>
    <pivotCache cacheId="2" r:id="rId5"/>
  </pivotCaches>
</workbook>
</file>

<file path=xl/sharedStrings.xml><?xml version="1.0" encoding="utf-8"?>
<sst xmlns="http://schemas.openxmlformats.org/spreadsheetml/2006/main" count="233" uniqueCount="110">
  <si>
    <t>Start</t>
  </si>
  <si>
    <t>End</t>
  </si>
  <si>
    <t>Length</t>
  </si>
  <si>
    <t>Fill #</t>
  </si>
  <si>
    <t>Cause</t>
  </si>
  <si>
    <t>Type</t>
  </si>
  <si>
    <t>Audit</t>
  </si>
  <si>
    <t>User 
Length</t>
  </si>
  <si>
    <t>Downtime</t>
  </si>
  <si>
    <t>User</t>
  </si>
  <si>
    <t>System</t>
  </si>
  <si>
    <t>Total User Beam</t>
  </si>
  <si>
    <t>Total User Downtime</t>
  </si>
  <si>
    <t>Total Schedule Run Length</t>
  </si>
  <si>
    <t>Number of Fills</t>
  </si>
  <si>
    <t>Number of Lost Fills</t>
  </si>
  <si>
    <t>Faults/Day of Delivered Beam</t>
  </si>
  <si>
    <t>X-ray Availability</t>
  </si>
  <si>
    <t>Number of Intentional Dumps</t>
  </si>
  <si>
    <t>Loss 
Reason</t>
  </si>
  <si>
    <t>DIN #</t>
  </si>
  <si>
    <t>System
Length</t>
  </si>
  <si>
    <t>Default Storage Ring Refill Time</t>
  </si>
  <si>
    <t>Refill Timing in Days</t>
  </si>
  <si>
    <t>Scheduled</t>
  </si>
  <si>
    <t>Description</t>
  </si>
  <si>
    <t>Store Lost</t>
  </si>
  <si>
    <t>SL</t>
  </si>
  <si>
    <t>Inhibits</t>
  </si>
  <si>
    <t>Mean Time Between Faults</t>
  </si>
  <si>
    <t xml:space="preserve">     </t>
  </si>
  <si>
    <t>&lt;-- This downtime includes Gaps Open</t>
  </si>
  <si>
    <t>Inhibits Beam</t>
  </si>
  <si>
    <t>TOTAL</t>
  </si>
  <si>
    <t>Intention. Dump</t>
  </si>
  <si>
    <t>Inhibits Beam to User</t>
  </si>
  <si>
    <t>User Beam days</t>
  </si>
  <si>
    <t>PS</t>
  </si>
  <si>
    <t>Group</t>
  </si>
  <si>
    <t>Int Dump: End of Period</t>
  </si>
  <si>
    <t>S24-ID Slow Valve  [XFD]</t>
  </si>
  <si>
    <t>XFD</t>
  </si>
  <si>
    <t>Downtime for Run 2005-1</t>
  </si>
  <si>
    <t>3-ID Rad Mon Trip  [UES]</t>
  </si>
  <si>
    <t>UES</t>
  </si>
  <si>
    <t>Spurious 3-ID Rad. Mon. trip, resume top-up</t>
  </si>
  <si>
    <t>RF-4 Trip           [RF]</t>
  </si>
  <si>
    <t>RF-4 ACIS trip due to RF test stand, refill</t>
  </si>
  <si>
    <t>RF</t>
  </si>
  <si>
    <t>MPS trip           [CTL]</t>
  </si>
  <si>
    <t>Loose cable caused MPS trip. reset, refill.</t>
  </si>
  <si>
    <t>CTL</t>
  </si>
  <si>
    <t>DPBLD Trip         [OAG]</t>
  </si>
  <si>
    <t>Steering procedure error, refill, resume top-up.</t>
  </si>
  <si>
    <t>OAG</t>
  </si>
  <si>
    <t>UNK</t>
  </si>
  <si>
    <t>Beam motion    [Unknown]</t>
  </si>
  <si>
    <t>Power Sag        [ComEd]</t>
  </si>
  <si>
    <t>ComEd</t>
  </si>
  <si>
    <t>Other</t>
  </si>
  <si>
    <t>Power sag to 58%, all systems affected.</t>
  </si>
  <si>
    <t>Human Error         [PS]</t>
  </si>
  <si>
    <t>S2/3 raw supply trip due to human error, refill.</t>
  </si>
  <si>
    <t>Fill #15 &lt;1 hr RF-2 trip</t>
  </si>
  <si>
    <t>RF-2 trip</t>
  </si>
  <si>
    <t>S36A:V3             [PS]</t>
  </si>
  <si>
    <t>5-ID Rad Trip      [UES]</t>
  </si>
  <si>
    <t>SR-RF4 Mod Anode    [RF]</t>
  </si>
  <si>
    <t>Converter failed, replaced, refill.</t>
  </si>
  <si>
    <t>Spurious 5-ID Radiation Monitor Trip, Refill.</t>
  </si>
  <si>
    <t>SR-RF4 mod anode regulation problem, end of ops.</t>
  </si>
  <si>
    <t>Bunch Purity       [OAG]</t>
  </si>
  <si>
    <t>S24/24 Gespac       [PS]</t>
  </si>
  <si>
    <t>Intentional dump due to poor bunch purity, refill.</t>
  </si>
  <si>
    <t>GESPAC power supply failed, replaced, refill.</t>
  </si>
  <si>
    <t>Intentional Dump</t>
  </si>
  <si>
    <t>20min due to RF4, 54min due to CPU compensation</t>
  </si>
  <si>
    <t>Quad trip, swapped supply, refill</t>
  </si>
  <si>
    <t>S6BQ:1 Trip         [PS]</t>
  </si>
  <si>
    <t>Grand Total</t>
  </si>
  <si>
    <t>Data</t>
  </si>
  <si>
    <t>Sum of Intention. Dump</t>
  </si>
  <si>
    <t>Sum of Inhibits Beam</t>
  </si>
  <si>
    <t>Sum of Store Lost</t>
  </si>
  <si>
    <t>Sum of System
Length</t>
  </si>
  <si>
    <t>CF</t>
  </si>
  <si>
    <t>Diag</t>
  </si>
  <si>
    <t>Controls</t>
  </si>
  <si>
    <t>Accelerator Intlks</t>
  </si>
  <si>
    <t>Beamline Intlks</t>
  </si>
  <si>
    <t>Radiation Intlks</t>
  </si>
  <si>
    <t>Water/ME</t>
  </si>
  <si>
    <t>Vacuum</t>
  </si>
  <si>
    <t>Operations</t>
  </si>
  <si>
    <t>Software</t>
  </si>
  <si>
    <t>Physics</t>
  </si>
  <si>
    <t>ID-FE</t>
  </si>
  <si>
    <t>Electrical-APS</t>
  </si>
  <si>
    <t>Electrical-ANL</t>
  </si>
  <si>
    <t>Cooling-ANL</t>
  </si>
  <si>
    <t>Unidentified</t>
  </si>
  <si>
    <t>Total Hours</t>
  </si>
  <si>
    <t>Budget</t>
  </si>
  <si>
    <t>Hours for Run</t>
  </si>
  <si>
    <t>Run 2005-1</t>
  </si>
  <si>
    <t>ME</t>
  </si>
  <si>
    <t>Low flow fault on BPM1, reset, refill.</t>
  </si>
  <si>
    <t>7-BM EPS Trip       [ME]</t>
  </si>
  <si>
    <t xml:space="preserve">Faults </t>
  </si>
  <si>
    <t>DIA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</si>
</sst>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0_);[Red]\(0.00\)"/>
    <numFmt numFmtId="166" formatCode="0.0"/>
    <numFmt numFmtId="167" formatCode="0.0%"/>
    <numFmt numFmtId="168" formatCode="0.000000000"/>
    <numFmt numFmtId="169" formatCode="0.0000000000"/>
    <numFmt numFmtId="170" formatCode="0.00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mm/dd/yy\ hh:mm"/>
    <numFmt numFmtId="178" formatCode="0.000000000000000%"/>
    <numFmt numFmtId="179" formatCode="0.0000000000000"/>
    <numFmt numFmtId="180" formatCode="0.000%"/>
    <numFmt numFmtId="181" formatCode="0.000_);[Red]\(0.000\)"/>
    <numFmt numFmtId="182" formatCode="0.0000_);[Red]\(0.0000\)"/>
    <numFmt numFmtId="183" formatCode="0.00000_);[Red]\(0.00000\)"/>
    <numFmt numFmtId="184" formatCode="0.000000_);[Red]\(0.000000\)"/>
    <numFmt numFmtId="185" formatCode="0.0_);[Red]\(0.0\)"/>
    <numFmt numFmtId="186" formatCode="0_);[Red]\(0\)"/>
    <numFmt numFmtId="187" formatCode="#,##0.0_);\(#,##0.0\)"/>
    <numFmt numFmtId="188" formatCode="0.000000000000"/>
    <numFmt numFmtId="189" formatCode="0.00;[Red]0.00;[Blue]&quot;ZERO!!!&quot;"/>
    <numFmt numFmtId="190" formatCode="0.000000000000000"/>
    <numFmt numFmtId="191" formatCode="0.00000000000000"/>
    <numFmt numFmtId="192" formatCode="0.0000000000000000"/>
    <numFmt numFmtId="193" formatCode="0.00000000000000000"/>
    <numFmt numFmtId="194" formatCode="0.000000000000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mmm\-yyyy"/>
    <numFmt numFmtId="199" formatCode="[$€-2]\ #,##0.00_);[Red]\([$€-2]\ #,##0.00\)"/>
  </numFmts>
  <fonts count="20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37"/>
      <name val="Arial"/>
      <family val="0"/>
    </font>
    <font>
      <sz val="29"/>
      <name val="Arial"/>
      <family val="0"/>
    </font>
    <font>
      <b/>
      <sz val="18"/>
      <name val="Arial"/>
      <family val="2"/>
    </font>
    <font>
      <b/>
      <sz val="23.5"/>
      <name val="Arial"/>
      <family val="2"/>
    </font>
    <font>
      <sz val="27"/>
      <name val="Arial"/>
      <family val="2"/>
    </font>
    <font>
      <sz val="29.75"/>
      <name val="Arial"/>
      <family val="0"/>
    </font>
    <font>
      <sz val="33.5"/>
      <name val="Arial"/>
      <family val="0"/>
    </font>
    <font>
      <sz val="12"/>
      <name val="Arial"/>
      <family val="2"/>
    </font>
    <font>
      <sz val="18.5"/>
      <name val="Arial"/>
      <family val="2"/>
    </font>
    <font>
      <b/>
      <sz val="37.25"/>
      <name val="Arial"/>
      <family val="0"/>
    </font>
    <font>
      <b/>
      <sz val="33.5"/>
      <name val="Arial"/>
      <family val="0"/>
    </font>
    <font>
      <b/>
      <sz val="16.75"/>
      <name val="Arial"/>
      <family val="2"/>
    </font>
    <font>
      <sz val="17.2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ill="1" applyAlignment="1">
      <alignment/>
    </xf>
    <xf numFmtId="2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3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wrapText="1"/>
    </xf>
    <xf numFmtId="0" fontId="0" fillId="0" borderId="3" xfId="0" applyFill="1" applyBorder="1" applyAlignment="1">
      <alignment/>
    </xf>
    <xf numFmtId="177" fontId="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/>
    </xf>
    <xf numFmtId="166" fontId="3" fillId="0" borderId="0" xfId="0" applyNumberFormat="1" applyFont="1" applyFill="1" applyAlignment="1">
      <alignment/>
    </xf>
    <xf numFmtId="177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84" fontId="3" fillId="0" borderId="0" xfId="0" applyNumberFormat="1" applyFont="1" applyFill="1" applyAlignment="1">
      <alignment/>
    </xf>
    <xf numFmtId="2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2" fontId="1" fillId="0" borderId="3" xfId="0" applyNumberFormat="1" applyFont="1" applyFill="1" applyBorder="1" applyAlignment="1">
      <alignment horizontal="center" textRotation="90"/>
    </xf>
    <xf numFmtId="2" fontId="0" fillId="0" borderId="4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17" applyNumberFormat="1" applyFont="1" applyFill="1" applyBorder="1" applyAlignment="1">
      <alignment horizontal="right"/>
    </xf>
    <xf numFmtId="189" fontId="1" fillId="0" borderId="3" xfId="0" applyNumberFormat="1" applyFont="1" applyFill="1" applyBorder="1" applyAlignment="1">
      <alignment horizontal="center" textRotation="90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 horizontal="right"/>
    </xf>
    <xf numFmtId="177" fontId="0" fillId="0" borderId="0" xfId="0" applyNumberFormat="1" applyFont="1" applyFill="1" applyAlignment="1">
      <alignment horizontal="right"/>
    </xf>
    <xf numFmtId="177" fontId="0" fillId="0" borderId="0" xfId="0" applyNumberFormat="1" applyFont="1" applyAlignment="1">
      <alignment horizontal="right"/>
    </xf>
    <xf numFmtId="189" fontId="1" fillId="0" borderId="0" xfId="0" applyNumberFormat="1" applyFont="1" applyFill="1" applyAlignment="1">
      <alignment/>
    </xf>
    <xf numFmtId="189" fontId="0" fillId="0" borderId="0" xfId="0" applyNumberFormat="1" applyFont="1" applyFill="1" applyAlignment="1">
      <alignment/>
    </xf>
    <xf numFmtId="189" fontId="1" fillId="0" borderId="0" xfId="0" applyNumberFormat="1" applyFont="1" applyAlignment="1">
      <alignment/>
    </xf>
    <xf numFmtId="167" fontId="0" fillId="0" borderId="0" xfId="21" applyNumberFormat="1" applyFont="1" applyFill="1" applyAlignment="1">
      <alignment horizontal="right"/>
    </xf>
    <xf numFmtId="0" fontId="1" fillId="0" borderId="3" xfId="0" applyNumberFormat="1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/>
    </xf>
    <xf numFmtId="177" fontId="1" fillId="0" borderId="3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right"/>
    </xf>
    <xf numFmtId="1" fontId="0" fillId="0" borderId="4" xfId="0" applyNumberFormat="1" applyFont="1" applyFill="1" applyBorder="1" applyAlignment="1">
      <alignment horizontal="right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0" fontId="1" fillId="0" borderId="3" xfId="0" applyFont="1" applyFill="1" applyBorder="1" applyAlignment="1">
      <alignment textRotation="90"/>
    </xf>
    <xf numFmtId="18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17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/>
    </xf>
    <xf numFmtId="0" fontId="1" fillId="0" borderId="5" xfId="0" applyFont="1" applyFill="1" applyBorder="1" applyAlignment="1">
      <alignment horizontal="center" textRotation="90"/>
    </xf>
    <xf numFmtId="0" fontId="0" fillId="0" borderId="5" xfId="0" applyFill="1" applyBorder="1" applyAlignment="1">
      <alignment/>
    </xf>
    <xf numFmtId="177" fontId="0" fillId="0" borderId="0" xfId="0" applyNumberFormat="1" applyFont="1" applyFill="1" applyBorder="1" applyAlignment="1">
      <alignment horizontal="left"/>
    </xf>
    <xf numFmtId="177" fontId="0" fillId="2" borderId="3" xfId="0" applyNumberFormat="1" applyFont="1" applyFill="1" applyBorder="1" applyAlignment="1">
      <alignment horizontal="center"/>
    </xf>
    <xf numFmtId="177" fontId="0" fillId="2" borderId="3" xfId="0" applyNumberFormat="1" applyFont="1" applyFill="1" applyBorder="1" applyAlignment="1">
      <alignment horizontal="left"/>
    </xf>
    <xf numFmtId="2" fontId="0" fillId="2" borderId="3" xfId="0" applyNumberFormat="1" applyFont="1" applyFill="1" applyBorder="1" applyAlignment="1">
      <alignment horizontal="right"/>
    </xf>
    <xf numFmtId="177" fontId="0" fillId="2" borderId="3" xfId="0" applyNumberFormat="1" applyFont="1" applyFill="1" applyBorder="1" applyAlignment="1">
      <alignment/>
    </xf>
    <xf numFmtId="177" fontId="0" fillId="3" borderId="3" xfId="0" applyNumberFormat="1" applyFont="1" applyFill="1" applyBorder="1" applyAlignment="1">
      <alignment horizontal="center"/>
    </xf>
    <xf numFmtId="177" fontId="0" fillId="3" borderId="3" xfId="0" applyNumberFormat="1" applyFont="1" applyFill="1" applyBorder="1" applyAlignment="1">
      <alignment horizontal="left"/>
    </xf>
    <xf numFmtId="2" fontId="0" fillId="3" borderId="3" xfId="0" applyNumberFormat="1" applyFont="1" applyFill="1" applyBorder="1" applyAlignment="1">
      <alignment horizontal="right"/>
    </xf>
    <xf numFmtId="0" fontId="0" fillId="0" borderId="6" xfId="0" applyFill="1" applyBorder="1" applyAlignment="1">
      <alignment/>
    </xf>
    <xf numFmtId="2" fontId="0" fillId="0" borderId="7" xfId="0" applyNumberFormat="1" applyFont="1" applyFill="1" applyBorder="1" applyAlignment="1">
      <alignment horizontal="right"/>
    </xf>
    <xf numFmtId="189" fontId="0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horizontal="center"/>
      <protection locked="0"/>
    </xf>
    <xf numFmtId="0" fontId="0" fillId="2" borderId="3" xfId="0" applyNumberFormat="1" applyFont="1" applyFill="1" applyBorder="1" applyAlignment="1" applyProtection="1">
      <alignment/>
      <protection locked="0"/>
    </xf>
    <xf numFmtId="0" fontId="0" fillId="3" borderId="3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/>
    </xf>
    <xf numFmtId="0" fontId="0" fillId="0" borderId="7" xfId="0" applyNumberFormat="1" applyFont="1" applyFill="1" applyBorder="1" applyAlignment="1">
      <alignment horizontal="right"/>
    </xf>
    <xf numFmtId="177" fontId="0" fillId="0" borderId="7" xfId="0" applyNumberFormat="1" applyFont="1" applyFill="1" applyBorder="1" applyAlignment="1">
      <alignment horizontal="left"/>
    </xf>
    <xf numFmtId="177" fontId="0" fillId="0" borderId="7" xfId="0" applyNumberFormat="1" applyFont="1" applyFill="1" applyBorder="1" applyAlignment="1">
      <alignment/>
    </xf>
    <xf numFmtId="0" fontId="0" fillId="0" borderId="7" xfId="0" applyNumberFormat="1" applyFont="1" applyFill="1" applyBorder="1" applyAlignment="1">
      <alignment horizontal="center"/>
    </xf>
    <xf numFmtId="177" fontId="0" fillId="0" borderId="7" xfId="0" applyNumberFormat="1" applyFont="1" applyFill="1" applyBorder="1" applyAlignment="1">
      <alignment horizontal="center"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 locked="0"/>
    </xf>
    <xf numFmtId="0" fontId="0" fillId="0" borderId="7" xfId="0" applyNumberFormat="1" applyFont="1" applyFill="1" applyBorder="1" applyAlignment="1" applyProtection="1">
      <alignment horizontal="left"/>
      <protection/>
    </xf>
    <xf numFmtId="0" fontId="0" fillId="4" borderId="3" xfId="0" applyNumberFormat="1" applyFont="1" applyFill="1" applyBorder="1" applyAlignment="1">
      <alignment horizontal="right"/>
    </xf>
    <xf numFmtId="177" fontId="0" fillId="4" borderId="3" xfId="0" applyNumberFormat="1" applyFont="1" applyFill="1" applyBorder="1" applyAlignment="1">
      <alignment horizontal="left"/>
    </xf>
    <xf numFmtId="2" fontId="1" fillId="4" borderId="3" xfId="0" applyNumberFormat="1" applyFont="1" applyFill="1" applyBorder="1" applyAlignment="1">
      <alignment horizontal="right"/>
    </xf>
    <xf numFmtId="177" fontId="0" fillId="4" borderId="3" xfId="0" applyNumberFormat="1" applyFont="1" applyFill="1" applyBorder="1" applyAlignment="1">
      <alignment/>
    </xf>
    <xf numFmtId="0" fontId="0" fillId="4" borderId="3" xfId="0" applyNumberFormat="1" applyFont="1" applyFill="1" applyBorder="1" applyAlignment="1">
      <alignment horizontal="center"/>
    </xf>
    <xf numFmtId="177" fontId="0" fillId="4" borderId="3" xfId="0" applyNumberFormat="1" applyFont="1" applyFill="1" applyBorder="1" applyAlignment="1">
      <alignment horizontal="center"/>
    </xf>
    <xf numFmtId="0" fontId="0" fillId="4" borderId="3" xfId="0" applyNumberFormat="1" applyFont="1" applyFill="1" applyBorder="1" applyAlignment="1" applyProtection="1">
      <alignment/>
      <protection/>
    </xf>
    <xf numFmtId="0" fontId="0" fillId="4" borderId="3" xfId="0" applyNumberFormat="1" applyFont="1" applyFill="1" applyBorder="1" applyAlignment="1" applyProtection="1">
      <alignment/>
      <protection locked="0"/>
    </xf>
    <xf numFmtId="0" fontId="0" fillId="4" borderId="3" xfId="0" applyNumberFormat="1" applyFont="1" applyFill="1" applyBorder="1" applyAlignment="1" applyProtection="1">
      <alignment horizontal="left"/>
      <protection/>
    </xf>
    <xf numFmtId="0" fontId="0" fillId="2" borderId="3" xfId="0" applyNumberFormat="1" applyFont="1" applyFill="1" applyBorder="1" applyAlignment="1">
      <alignment horizontal="center"/>
    </xf>
    <xf numFmtId="0" fontId="0" fillId="2" borderId="3" xfId="0" applyNumberFormat="1" applyFont="1" applyFill="1" applyBorder="1" applyAlignment="1" applyProtection="1">
      <alignment/>
      <protection/>
    </xf>
    <xf numFmtId="0" fontId="0" fillId="2" borderId="3" xfId="0" applyNumberFormat="1" applyFont="1" applyFill="1" applyBorder="1" applyAlignment="1" applyProtection="1">
      <alignment horizontal="left"/>
      <protection/>
    </xf>
    <xf numFmtId="0" fontId="0" fillId="3" borderId="3" xfId="0" applyNumberFormat="1" applyFont="1" applyFill="1" applyBorder="1" applyAlignment="1">
      <alignment horizontal="center"/>
    </xf>
    <xf numFmtId="0" fontId="0" fillId="3" borderId="3" xfId="0" applyNumberFormat="1" applyFont="1" applyFill="1" applyBorder="1" applyAlignment="1" applyProtection="1">
      <alignment/>
      <protection/>
    </xf>
    <xf numFmtId="0" fontId="0" fillId="3" borderId="3" xfId="0" applyNumberFormat="1" applyFont="1" applyFill="1" applyBorder="1" applyAlignment="1" applyProtection="1">
      <alignment horizontal="left"/>
      <protection/>
    </xf>
    <xf numFmtId="0" fontId="0" fillId="0" borderId="3" xfId="0" applyNumberFormat="1" applyFont="1" applyFill="1" applyBorder="1" applyAlignment="1">
      <alignment horizontal="right"/>
    </xf>
    <xf numFmtId="177" fontId="0" fillId="0" borderId="3" xfId="0" applyNumberFormat="1" applyFont="1" applyFill="1" applyBorder="1" applyAlignment="1">
      <alignment/>
    </xf>
    <xf numFmtId="2" fontId="0" fillId="0" borderId="3" xfId="0" applyNumberFormat="1" applyFont="1" applyFill="1" applyBorder="1" applyAlignment="1">
      <alignment horizontal="right"/>
    </xf>
    <xf numFmtId="0" fontId="0" fillId="0" borderId="3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177" fontId="0" fillId="0" borderId="3" xfId="0" applyNumberFormat="1" applyFont="1" applyFill="1" applyBorder="1" applyAlignment="1">
      <alignment horizontal="left"/>
    </xf>
    <xf numFmtId="177" fontId="0" fillId="0" borderId="3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 locked="0"/>
    </xf>
    <xf numFmtId="0" fontId="0" fillId="0" borderId="3" xfId="0" applyNumberFormat="1" applyFont="1" applyFill="1" applyBorder="1" applyAlignment="1" applyProtection="1">
      <alignment horizontal="left"/>
      <protection/>
    </xf>
    <xf numFmtId="2" fontId="0" fillId="5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/>
      <protection/>
    </xf>
    <xf numFmtId="177" fontId="0" fillId="3" borderId="3" xfId="0" applyNumberFormat="1" applyFont="1" applyFill="1" applyBorder="1" applyAlignment="1">
      <alignment wrapText="1"/>
    </xf>
    <xf numFmtId="17" fontId="3" fillId="0" borderId="0" xfId="0" applyNumberFormat="1" applyFont="1" applyFill="1" applyAlignment="1">
      <alignment/>
    </xf>
    <xf numFmtId="17" fontId="0" fillId="0" borderId="0" xfId="0" applyNumberFormat="1" applyFont="1" applyFill="1" applyBorder="1" applyAlignment="1">
      <alignment horizontal="center"/>
    </xf>
    <xf numFmtId="17" fontId="0" fillId="0" borderId="0" xfId="0" applyNumberFormat="1" applyFont="1" applyFill="1" applyAlignment="1">
      <alignment horizontal="center"/>
    </xf>
    <xf numFmtId="177" fontId="0" fillId="0" borderId="3" xfId="0" applyNumberFormat="1" applyFont="1" applyFill="1" applyBorder="1" applyAlignment="1">
      <alignment wrapText="1"/>
    </xf>
    <xf numFmtId="0" fontId="0" fillId="6" borderId="7" xfId="0" applyNumberFormat="1" applyFont="1" applyFill="1" applyBorder="1" applyAlignment="1">
      <alignment horizontal="right"/>
    </xf>
    <xf numFmtId="177" fontId="0" fillId="6" borderId="0" xfId="0" applyNumberFormat="1" applyFont="1" applyFill="1" applyBorder="1" applyAlignment="1">
      <alignment horizontal="left"/>
    </xf>
    <xf numFmtId="177" fontId="0" fillId="6" borderId="7" xfId="0" applyNumberFormat="1" applyFont="1" applyFill="1" applyBorder="1" applyAlignment="1">
      <alignment horizontal="left"/>
    </xf>
    <xf numFmtId="2" fontId="0" fillId="6" borderId="3" xfId="0" applyNumberFormat="1" applyFont="1" applyFill="1" applyBorder="1" applyAlignment="1">
      <alignment horizontal="right"/>
    </xf>
    <xf numFmtId="177" fontId="0" fillId="6" borderId="7" xfId="0" applyNumberFormat="1" applyFont="1" applyFill="1" applyBorder="1" applyAlignment="1">
      <alignment/>
    </xf>
    <xf numFmtId="0" fontId="0" fillId="6" borderId="7" xfId="0" applyNumberFormat="1" applyFont="1" applyFill="1" applyBorder="1" applyAlignment="1">
      <alignment horizontal="center"/>
    </xf>
    <xf numFmtId="177" fontId="0" fillId="6" borderId="7" xfId="0" applyNumberFormat="1" applyFont="1" applyFill="1" applyBorder="1" applyAlignment="1">
      <alignment horizontal="center"/>
    </xf>
    <xf numFmtId="2" fontId="0" fillId="6" borderId="7" xfId="0" applyNumberFormat="1" applyFont="1" applyFill="1" applyBorder="1" applyAlignment="1">
      <alignment horizontal="right"/>
    </xf>
    <xf numFmtId="0" fontId="0" fillId="6" borderId="7" xfId="0" applyNumberFormat="1" applyFont="1" applyFill="1" applyBorder="1" applyAlignment="1" applyProtection="1">
      <alignment/>
      <protection/>
    </xf>
    <xf numFmtId="0" fontId="0" fillId="6" borderId="7" xfId="0" applyNumberFormat="1" applyFont="1" applyFill="1" applyBorder="1" applyAlignment="1" applyProtection="1">
      <alignment/>
      <protection locked="0"/>
    </xf>
    <xf numFmtId="0" fontId="0" fillId="6" borderId="7" xfId="0" applyNumberFormat="1" applyFont="1" applyFill="1" applyBorder="1" applyAlignment="1" applyProtection="1">
      <alignment horizontal="left"/>
      <protection/>
    </xf>
    <xf numFmtId="0" fontId="0" fillId="6" borderId="3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0" xfId="0" applyNumberFormat="1" applyFont="1" applyFill="1" applyBorder="1" applyAlignment="1">
      <alignment/>
    </xf>
    <xf numFmtId="177" fontId="0" fillId="6" borderId="3" xfId="0" applyNumberFormat="1" applyFont="1" applyFill="1" applyBorder="1" applyAlignment="1">
      <alignment horizontal="left"/>
    </xf>
    <xf numFmtId="177" fontId="0" fillId="6" borderId="3" xfId="0" applyNumberFormat="1" applyFont="1" applyFill="1" applyBorder="1" applyAlignment="1">
      <alignment/>
    </xf>
    <xf numFmtId="0" fontId="0" fillId="6" borderId="3" xfId="0" applyNumberFormat="1" applyFont="1" applyFill="1" applyBorder="1" applyAlignment="1">
      <alignment horizontal="center"/>
    </xf>
    <xf numFmtId="177" fontId="0" fillId="6" borderId="3" xfId="0" applyNumberFormat="1" applyFont="1" applyFill="1" applyBorder="1" applyAlignment="1">
      <alignment horizontal="center"/>
    </xf>
    <xf numFmtId="0" fontId="0" fillId="6" borderId="3" xfId="0" applyNumberFormat="1" applyFont="1" applyFill="1" applyBorder="1" applyAlignment="1" applyProtection="1">
      <alignment/>
      <protection/>
    </xf>
    <xf numFmtId="0" fontId="0" fillId="6" borderId="3" xfId="0" applyNumberFormat="1" applyFont="1" applyFill="1" applyBorder="1" applyAlignment="1" applyProtection="1">
      <alignment/>
      <protection locked="0"/>
    </xf>
    <xf numFmtId="0" fontId="0" fillId="6" borderId="3" xfId="0" applyNumberFormat="1" applyFont="1" applyFill="1" applyBorder="1" applyAlignment="1" applyProtection="1">
      <alignment horizontal="left"/>
      <protection/>
    </xf>
    <xf numFmtId="177" fontId="0" fillId="6" borderId="3" xfId="0" applyNumberFormat="1" applyFont="1" applyFill="1" applyBorder="1" applyAlignment="1">
      <alignment wrapText="1"/>
    </xf>
    <xf numFmtId="0" fontId="0" fillId="6" borderId="6" xfId="0" applyFill="1" applyBorder="1" applyAlignment="1">
      <alignment/>
    </xf>
    <xf numFmtId="0" fontId="0" fillId="6" borderId="3" xfId="0" applyNumberFormat="1" applyFont="1" applyFill="1" applyBorder="1" applyAlignment="1">
      <alignment horizontal="right"/>
    </xf>
    <xf numFmtId="2" fontId="1" fillId="6" borderId="3" xfId="0" applyNumberFormat="1" applyFont="1" applyFill="1" applyBorder="1" applyAlignment="1">
      <alignment horizontal="right"/>
    </xf>
    <xf numFmtId="2" fontId="1" fillId="5" borderId="3" xfId="0" applyNumberFormat="1" applyFont="1" applyFill="1" applyBorder="1" applyAlignment="1">
      <alignment horizontal="right"/>
    </xf>
    <xf numFmtId="2" fontId="1" fillId="0" borderId="3" xfId="0" applyNumberFormat="1" applyFont="1" applyFill="1" applyBorder="1" applyAlignment="1">
      <alignment horizontal="right"/>
    </xf>
    <xf numFmtId="0" fontId="0" fillId="7" borderId="3" xfId="0" applyNumberFormat="1" applyFont="1" applyFill="1" applyBorder="1" applyAlignment="1">
      <alignment horizontal="center"/>
    </xf>
    <xf numFmtId="177" fontId="0" fillId="7" borderId="3" xfId="0" applyNumberFormat="1" applyFont="1" applyFill="1" applyBorder="1" applyAlignment="1">
      <alignment horizontal="center"/>
    </xf>
    <xf numFmtId="177" fontId="0" fillId="7" borderId="3" xfId="0" applyNumberFormat="1" applyFont="1" applyFill="1" applyBorder="1" applyAlignment="1">
      <alignment horizontal="left"/>
    </xf>
    <xf numFmtId="2" fontId="0" fillId="7" borderId="7" xfId="0" applyNumberFormat="1" applyFont="1" applyFill="1" applyBorder="1" applyAlignment="1">
      <alignment horizontal="right"/>
    </xf>
    <xf numFmtId="2" fontId="0" fillId="7" borderId="3" xfId="0" applyNumberFormat="1" applyFont="1" applyFill="1" applyBorder="1" applyAlignment="1">
      <alignment horizontal="right"/>
    </xf>
    <xf numFmtId="0" fontId="0" fillId="7" borderId="3" xfId="0" applyNumberFormat="1" applyFont="1" applyFill="1" applyBorder="1" applyAlignment="1" applyProtection="1">
      <alignment/>
      <protection/>
    </xf>
    <xf numFmtId="0" fontId="0" fillId="7" borderId="3" xfId="0" applyNumberFormat="1" applyFont="1" applyFill="1" applyBorder="1" applyAlignment="1" applyProtection="1">
      <alignment/>
      <protection locked="0"/>
    </xf>
    <xf numFmtId="0" fontId="0" fillId="7" borderId="3" xfId="0" applyNumberFormat="1" applyFont="1" applyFill="1" applyBorder="1" applyAlignment="1" applyProtection="1">
      <alignment horizontal="left"/>
      <protection/>
    </xf>
    <xf numFmtId="177" fontId="0" fillId="7" borderId="3" xfId="0" applyNumberFormat="1" applyFont="1" applyFill="1" applyBorder="1" applyAlignment="1">
      <alignment/>
    </xf>
    <xf numFmtId="2" fontId="0" fillId="3" borderId="7" xfId="0" applyNumberFormat="1" applyFont="1" applyFill="1" applyBorder="1" applyAlignment="1">
      <alignment horizontal="right"/>
    </xf>
    <xf numFmtId="177" fontId="0" fillId="3" borderId="3" xfId="0" applyNumberFormat="1" applyFont="1" applyFill="1" applyBorder="1" applyAlignment="1">
      <alignment/>
    </xf>
    <xf numFmtId="2" fontId="0" fillId="5" borderId="3" xfId="0" applyNumberFormat="1" applyFont="1" applyFill="1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0" xfId="0" applyNumberFormat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Alignment="1" applyProtection="1">
      <alignment/>
      <protection locked="0"/>
    </xf>
    <xf numFmtId="10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 applyProtection="1">
      <alignment/>
      <protection locked="0"/>
    </xf>
    <xf numFmtId="174" fontId="1" fillId="0" borderId="0" xfId="0" applyNumberFormat="1" applyFont="1" applyBorder="1" applyAlignment="1" applyProtection="1">
      <alignment/>
      <protection locked="0"/>
    </xf>
    <xf numFmtId="167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167" fontId="0" fillId="0" borderId="0" xfId="21" applyNumberFormat="1" applyFont="1" applyAlignment="1" applyProtection="1">
      <alignment vertical="top" wrapText="1"/>
      <protection locked="0"/>
    </xf>
    <xf numFmtId="2" fontId="0" fillId="0" borderId="0" xfId="21" applyNumberFormat="1" applyAlignment="1" applyProtection="1">
      <alignment/>
      <protection locked="0"/>
    </xf>
    <xf numFmtId="166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177" fontId="6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numFmt numFmtId="2" formatCode="0.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Run 2005-1 Downtime by System 
January 31 - April 22, 2005
 Scheduled User Time = 1640 hours                                  
User downtime= 22.36 hours</a:t>
            </a:r>
          </a:p>
        </c:rich>
      </c:tx>
      <c:layout>
        <c:manualLayout>
          <c:xMode val="factor"/>
          <c:yMode val="factor"/>
          <c:x val="0.018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13"/>
          <c:w val="0.9035"/>
          <c:h val="0.86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Stats!$A$14</c:f>
              <c:strCache>
                <c:ptCount val="1"/>
                <c:pt idx="0">
                  <c:v>Hours for Run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Stats!$B$13:$S$13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Vacuum</c:v>
                </c:pt>
                <c:pt idx="9">
                  <c:v>Operations</c:v>
                </c:pt>
                <c:pt idx="10">
                  <c:v>Software</c:v>
                </c:pt>
                <c:pt idx="11">
                  <c:v>Physics</c:v>
                </c:pt>
                <c:pt idx="12">
                  <c:v>ID-FE</c:v>
                </c:pt>
                <c:pt idx="13">
                  <c:v>Electrical-APS</c:v>
                </c:pt>
                <c:pt idx="14">
                  <c:v>Electrical-ANL</c:v>
                </c:pt>
                <c:pt idx="15">
                  <c:v>Cooling-ANL</c:v>
                </c:pt>
                <c:pt idx="16">
                  <c:v>Other</c:v>
                </c:pt>
                <c:pt idx="17">
                  <c:v>Unidentified</c:v>
                </c:pt>
              </c:strCache>
            </c:strRef>
          </c:cat>
          <c:val>
            <c:numRef>
              <c:f>Stats!$B$14:$S$14</c:f>
              <c:numCache>
                <c:ptCount val="18"/>
                <c:pt idx="0">
                  <c:v>2.5999999997438863</c:v>
                </c:pt>
                <c:pt idx="1">
                  <c:v>0.11666666652308777</c:v>
                </c:pt>
                <c:pt idx="2">
                  <c:v>6.95000000030268</c:v>
                </c:pt>
                <c:pt idx="3">
                  <c:v>0.5333333333255723</c:v>
                </c:pt>
                <c:pt idx="6">
                  <c:v>0.8833333332440816</c:v>
                </c:pt>
                <c:pt idx="7">
                  <c:v>0.5166666666045785</c:v>
                </c:pt>
                <c:pt idx="10">
                  <c:v>1.03333333338378</c:v>
                </c:pt>
                <c:pt idx="12">
                  <c:v>2.6666666666278616</c:v>
                </c:pt>
                <c:pt idx="14">
                  <c:v>6.7000000000116415</c:v>
                </c:pt>
                <c:pt idx="17">
                  <c:v>0.3666666666395031</c:v>
                </c:pt>
              </c:numCache>
            </c:numRef>
          </c:val>
        </c:ser>
        <c:ser>
          <c:idx val="0"/>
          <c:order val="1"/>
          <c:tx>
            <c:strRef>
              <c:f>Stats!$A$15</c:f>
              <c:strCache>
                <c:ptCount val="1"/>
                <c:pt idx="0">
                  <c:v>Run 2005-1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Stats!$B$13:$S$13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Vacuum</c:v>
                </c:pt>
                <c:pt idx="9">
                  <c:v>Operations</c:v>
                </c:pt>
                <c:pt idx="10">
                  <c:v>Software</c:v>
                </c:pt>
                <c:pt idx="11">
                  <c:v>Physics</c:v>
                </c:pt>
                <c:pt idx="12">
                  <c:v>ID-FE</c:v>
                </c:pt>
                <c:pt idx="13">
                  <c:v>Electrical-APS</c:v>
                </c:pt>
                <c:pt idx="14">
                  <c:v>Electrical-ANL</c:v>
                </c:pt>
                <c:pt idx="15">
                  <c:v>Cooling-ANL</c:v>
                </c:pt>
                <c:pt idx="16">
                  <c:v>Other</c:v>
                </c:pt>
                <c:pt idx="17">
                  <c:v>Unidentified</c:v>
                </c:pt>
              </c:strCache>
            </c:strRef>
          </c:cat>
          <c:val>
            <c:numRef>
              <c:f>Stats!$B$15:$S$15</c:f>
              <c:numCache>
                <c:ptCount val="18"/>
                <c:pt idx="0">
                  <c:v>0.0015860105732481743</c:v>
                </c:pt>
                <c:pt idx="1">
                  <c:v>7.11671410267165E-05</c:v>
                </c:pt>
                <c:pt idx="2">
                  <c:v>0.004239528263707948</c:v>
                </c:pt>
                <c:pt idx="3">
                  <c:v>0.0003253355022320667</c:v>
                </c:pt>
                <c:pt idx="4">
                  <c:v>0</c:v>
                </c:pt>
                <c:pt idx="5">
                  <c:v>0</c:v>
                </c:pt>
                <c:pt idx="6">
                  <c:v>0.0005388369255252577</c:v>
                </c:pt>
                <c:pt idx="7">
                  <c:v>0.00031516876775402686</c:v>
                </c:pt>
                <c:pt idx="8">
                  <c:v>0</c:v>
                </c:pt>
                <c:pt idx="9">
                  <c:v>0</c:v>
                </c:pt>
                <c:pt idx="10">
                  <c:v>0.0006303375356145745</c:v>
                </c:pt>
                <c:pt idx="11">
                  <c:v>0</c:v>
                </c:pt>
                <c:pt idx="12">
                  <c:v>0.0016266775111603334</c:v>
                </c:pt>
                <c:pt idx="13">
                  <c:v>0</c:v>
                </c:pt>
                <c:pt idx="14">
                  <c:v>0.004087027246856913</c:v>
                </c:pt>
                <c:pt idx="15">
                  <c:v>0</c:v>
                </c:pt>
                <c:pt idx="16">
                  <c:v>0</c:v>
                </c:pt>
                <c:pt idx="17">
                  <c:v>0.00022366815777123076</c:v>
                </c:pt>
              </c:numCache>
            </c:numRef>
          </c:val>
        </c:ser>
        <c:ser>
          <c:idx val="1"/>
          <c:order val="2"/>
          <c:tx>
            <c:strRef>
              <c:f>Stats!$A$16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Stats!$B$13:$S$13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Vacuum</c:v>
                </c:pt>
                <c:pt idx="9">
                  <c:v>Operations</c:v>
                </c:pt>
                <c:pt idx="10">
                  <c:v>Software</c:v>
                </c:pt>
                <c:pt idx="11">
                  <c:v>Physics</c:v>
                </c:pt>
                <c:pt idx="12">
                  <c:v>ID-FE</c:v>
                </c:pt>
                <c:pt idx="13">
                  <c:v>Electrical-APS</c:v>
                </c:pt>
                <c:pt idx="14">
                  <c:v>Electrical-ANL</c:v>
                </c:pt>
                <c:pt idx="15">
                  <c:v>Cooling-ANL</c:v>
                </c:pt>
                <c:pt idx="16">
                  <c:v>Other</c:v>
                </c:pt>
                <c:pt idx="17">
                  <c:v>Unidentified</c:v>
                </c:pt>
              </c:strCache>
            </c:strRef>
          </c:cat>
          <c:val>
            <c:numRef>
              <c:f>Stats!$B$16:$S$16</c:f>
              <c:numCache>
                <c:ptCount val="18"/>
                <c:pt idx="0">
                  <c:v>0.009</c:v>
                </c:pt>
                <c:pt idx="1">
                  <c:v>0.002</c:v>
                </c:pt>
                <c:pt idx="2">
                  <c:v>0.009</c:v>
                </c:pt>
                <c:pt idx="3">
                  <c:v>0.005</c:v>
                </c:pt>
                <c:pt idx="4">
                  <c:v>0.001</c:v>
                </c:pt>
                <c:pt idx="5">
                  <c:v>0.001</c:v>
                </c:pt>
                <c:pt idx="6">
                  <c:v>0.001</c:v>
                </c:pt>
                <c:pt idx="7">
                  <c:v>0.003</c:v>
                </c:pt>
                <c:pt idx="8">
                  <c:v>0.003</c:v>
                </c:pt>
                <c:pt idx="9">
                  <c:v>0.001</c:v>
                </c:pt>
                <c:pt idx="10">
                  <c:v>0.001</c:v>
                </c:pt>
                <c:pt idx="11">
                  <c:v>0</c:v>
                </c:pt>
                <c:pt idx="12">
                  <c:v>0.001</c:v>
                </c:pt>
                <c:pt idx="13">
                  <c:v>0.001</c:v>
                </c:pt>
                <c:pt idx="14">
                  <c:v>0.003</c:v>
                </c:pt>
                <c:pt idx="15">
                  <c:v>0.001</c:v>
                </c:pt>
                <c:pt idx="16">
                  <c:v>0.003</c:v>
                </c:pt>
                <c:pt idx="17">
                  <c:v>0.001</c:v>
                </c:pt>
              </c:numCache>
            </c:numRef>
          </c:val>
        </c:ser>
        <c:axId val="20146975"/>
        <c:axId val="47105048"/>
      </c:barChart>
      <c:catAx>
        <c:axId val="20146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47105048"/>
        <c:crosses val="autoZero"/>
        <c:auto val="1"/>
        <c:lblOffset val="80"/>
        <c:noMultiLvlLbl val="0"/>
      </c:catAx>
      <c:valAx>
        <c:axId val="47105048"/>
        <c:scaling>
          <c:orientation val="minMax"/>
          <c:max val="0.0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350" b="1" i="0" u="none" baseline="0">
                    <a:latin typeface="Arial"/>
                    <a:ea typeface="Arial"/>
                    <a:cs typeface="Arial"/>
                  </a:rPr>
                  <a:t>Percentage of Scheduled User Time</a:t>
                </a:r>
              </a:p>
            </c:rich>
          </c:tx>
          <c:layout>
            <c:manualLayout>
              <c:xMode val="factor"/>
              <c:yMode val="factor"/>
              <c:x val="-0.013"/>
              <c:y val="-0.0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00" b="0" i="0" u="none" baseline="0">
                <a:latin typeface="Arial"/>
                <a:ea typeface="Arial"/>
                <a:cs typeface="Arial"/>
              </a:defRPr>
            </a:pPr>
          </a:p>
        </c:txPr>
        <c:crossAx val="20146975"/>
        <c:crossesAt val="1"/>
        <c:crossBetween val="between"/>
        <c:dispUnits/>
        <c:majorUnit val="0.0025"/>
        <c:minorUnit val="0.0005"/>
      </c:valAx>
      <c:spPr>
        <a:gradFill rotWithShape="1">
          <a:gsLst>
            <a:gs pos="0">
              <a:srgbClr val="3366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.39825"/>
          <c:w val="0.1205"/>
          <c:h val="0.04575"/>
        </c:manualLayout>
      </c:layout>
      <c:overlay val="0"/>
      <c:txPr>
        <a:bodyPr vert="horz" rot="0"/>
        <a:lstStyle/>
        <a:p>
          <a:pPr>
            <a:defRPr lang="en-US" cap="none" sz="1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25" b="1" i="0" u="none" baseline="0">
                <a:latin typeface="Arial"/>
                <a:ea typeface="Arial"/>
                <a:cs typeface="Arial"/>
              </a:rPr>
              <a:t>Run 2005-1 Faults Per Day By System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4525"/>
          <c:w val="0.85"/>
          <c:h val="0.8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Stats!$A$20</c:f>
              <c:strCache>
                <c:ptCount val="1"/>
                <c:pt idx="0">
                  <c:v>Run 2005-1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Stats!$B$19:$S$19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Vacuum</c:v>
                </c:pt>
                <c:pt idx="9">
                  <c:v>Operations</c:v>
                </c:pt>
                <c:pt idx="10">
                  <c:v>Software</c:v>
                </c:pt>
                <c:pt idx="11">
                  <c:v>Physics</c:v>
                </c:pt>
                <c:pt idx="12">
                  <c:v>ID-FE</c:v>
                </c:pt>
                <c:pt idx="13">
                  <c:v>Electrical-APS</c:v>
                </c:pt>
                <c:pt idx="14">
                  <c:v>Electrical-ANL</c:v>
                </c:pt>
                <c:pt idx="15">
                  <c:v>Cooling-ANL</c:v>
                </c:pt>
                <c:pt idx="16">
                  <c:v>Other</c:v>
                </c:pt>
                <c:pt idx="17">
                  <c:v>Unidentified</c:v>
                </c:pt>
              </c:strCache>
            </c:strRef>
          </c:cat>
          <c:val>
            <c:numRef>
              <c:f>Stats!$B$20:$S$20</c:f>
              <c:numCache>
                <c:ptCount val="18"/>
                <c:pt idx="0">
                  <c:v>0.029685213053254122</c:v>
                </c:pt>
                <c:pt idx="1">
                  <c:v>0</c:v>
                </c:pt>
                <c:pt idx="2">
                  <c:v>0.059370426106508244</c:v>
                </c:pt>
                <c:pt idx="3">
                  <c:v>0.014842606526627061</c:v>
                </c:pt>
                <c:pt idx="4">
                  <c:v>0</c:v>
                </c:pt>
                <c:pt idx="5">
                  <c:v>0</c:v>
                </c:pt>
                <c:pt idx="6">
                  <c:v>0.029685213053254122</c:v>
                </c:pt>
                <c:pt idx="7">
                  <c:v>0.014842606526627061</c:v>
                </c:pt>
                <c:pt idx="8">
                  <c:v>0</c:v>
                </c:pt>
                <c:pt idx="9">
                  <c:v>0</c:v>
                </c:pt>
                <c:pt idx="10">
                  <c:v>0.029685213053254122</c:v>
                </c:pt>
                <c:pt idx="12">
                  <c:v>0.014842606526627061</c:v>
                </c:pt>
                <c:pt idx="14">
                  <c:v>0.014842606526627061</c:v>
                </c:pt>
                <c:pt idx="17">
                  <c:v>0.014842606526627061</c:v>
                </c:pt>
              </c:numCache>
            </c:numRef>
          </c:val>
        </c:ser>
        <c:ser>
          <c:idx val="1"/>
          <c:order val="1"/>
          <c:tx>
            <c:strRef>
              <c:f>Stats!$A$21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Stats!$B$19:$S$19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Vacuum</c:v>
                </c:pt>
                <c:pt idx="9">
                  <c:v>Operations</c:v>
                </c:pt>
                <c:pt idx="10">
                  <c:v>Software</c:v>
                </c:pt>
                <c:pt idx="11">
                  <c:v>Physics</c:v>
                </c:pt>
                <c:pt idx="12">
                  <c:v>ID-FE</c:v>
                </c:pt>
                <c:pt idx="13">
                  <c:v>Electrical-APS</c:v>
                </c:pt>
                <c:pt idx="14">
                  <c:v>Electrical-ANL</c:v>
                </c:pt>
                <c:pt idx="15">
                  <c:v>Cooling-ANL</c:v>
                </c:pt>
                <c:pt idx="16">
                  <c:v>Other</c:v>
                </c:pt>
                <c:pt idx="17">
                  <c:v>Unidentified</c:v>
                </c:pt>
              </c:strCache>
            </c:strRef>
          </c:cat>
          <c:val>
            <c:numRef>
              <c:f>Stats!$B$21:$S$21</c:f>
              <c:numCache>
                <c:ptCount val="18"/>
                <c:pt idx="0">
                  <c:v>0.12</c:v>
                </c:pt>
                <c:pt idx="1">
                  <c:v>0.03</c:v>
                </c:pt>
                <c:pt idx="2">
                  <c:v>0.1</c:v>
                </c:pt>
                <c:pt idx="3">
                  <c:v>0.05</c:v>
                </c:pt>
                <c:pt idx="4">
                  <c:v>0.01</c:v>
                </c:pt>
                <c:pt idx="5">
                  <c:v>0.01</c:v>
                </c:pt>
                <c:pt idx="6">
                  <c:v>0.02</c:v>
                </c:pt>
                <c:pt idx="7">
                  <c:v>0.05</c:v>
                </c:pt>
                <c:pt idx="8">
                  <c:v>0.01</c:v>
                </c:pt>
                <c:pt idx="9">
                  <c:v>0.02</c:v>
                </c:pt>
                <c:pt idx="10">
                  <c:v>0.02</c:v>
                </c:pt>
                <c:pt idx="11">
                  <c:v>0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0.02</c:v>
                </c:pt>
                <c:pt idx="17">
                  <c:v>0.02</c:v>
                </c:pt>
              </c:numCache>
            </c:numRef>
          </c:val>
        </c:ser>
        <c:axId val="21292249"/>
        <c:axId val="57412514"/>
      </c:barChart>
      <c:catAx>
        <c:axId val="21292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50" b="0" i="0" u="none" baseline="0">
                <a:latin typeface="Arial"/>
                <a:ea typeface="Arial"/>
                <a:cs typeface="Arial"/>
              </a:defRPr>
            </a:pPr>
          </a:p>
        </c:txPr>
        <c:crossAx val="57412514"/>
        <c:crosses val="autoZero"/>
        <c:auto val="1"/>
        <c:lblOffset val="100"/>
        <c:noMultiLvlLbl val="0"/>
      </c:catAx>
      <c:valAx>
        <c:axId val="57412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350" b="1" i="0" u="none" baseline="0">
                    <a:latin typeface="Arial"/>
                    <a:ea typeface="Arial"/>
                    <a:cs typeface="Arial"/>
                  </a:rPr>
                  <a:t>Faults/Day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21292249"/>
        <c:crossesAt val="1"/>
        <c:crossBetween val="between"/>
        <c:dispUnits/>
      </c:valAx>
      <c:spPr>
        <a:gradFill rotWithShape="1">
          <a:gsLst>
            <a:gs pos="0">
              <a:srgbClr val="339966"/>
            </a:gs>
            <a:gs pos="100000">
              <a:srgbClr val="A5D2B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75"/>
          <c:y val="0.275"/>
          <c:w val="0.093"/>
          <c:h val="0.044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94</xdr:row>
      <xdr:rowOff>114300</xdr:rowOff>
    </xdr:from>
    <xdr:ext cx="85725" cy="171450"/>
    <xdr:sp>
      <xdr:nvSpPr>
        <xdr:cNvPr id="1" name="TextBox 1"/>
        <xdr:cNvSpPr txBox="1">
          <a:spLocks noChangeArrowheads="1"/>
        </xdr:cNvSpPr>
      </xdr:nvSpPr>
      <xdr:spPr>
        <a:xfrm>
          <a:off x="8648700" y="164973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123825</xdr:rowOff>
    </xdr:from>
    <xdr:ext cx="85725" cy="171450"/>
    <xdr:sp>
      <xdr:nvSpPr>
        <xdr:cNvPr id="2" name="TextBox 15"/>
        <xdr:cNvSpPr txBox="1">
          <a:spLocks noChangeArrowheads="1"/>
        </xdr:cNvSpPr>
      </xdr:nvSpPr>
      <xdr:spPr>
        <a:xfrm>
          <a:off x="8648700" y="92297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114300</xdr:rowOff>
    </xdr:from>
    <xdr:to>
      <xdr:col>21</xdr:col>
      <xdr:colOff>238125</xdr:colOff>
      <xdr:row>67</xdr:row>
      <xdr:rowOff>123825</xdr:rowOff>
    </xdr:to>
    <xdr:graphicFrame>
      <xdr:nvGraphicFramePr>
        <xdr:cNvPr id="1" name="Chart 2"/>
        <xdr:cNvGraphicFramePr/>
      </xdr:nvGraphicFramePr>
      <xdr:xfrm>
        <a:off x="0" y="276225"/>
        <a:ext cx="13039725" cy="1069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21</xdr:col>
      <xdr:colOff>523875</xdr:colOff>
      <xdr:row>62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13325475" cy="1013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5:T50" sheet="Main Data"/>
  </cacheSource>
  <cacheFields count="20">
    <cacheField name="Fill #">
      <sharedItems containsString="0" containsBlank="1" containsMixedTypes="0" containsNumber="1" containsInteger="1" count="26">
        <n v="1"/>
        <m/>
        <n v="2"/>
        <n v="3"/>
        <n v="4"/>
        <n v="5"/>
        <n v="6"/>
        <n v="7"/>
        <n v="8"/>
        <n v="10"/>
        <n v="11"/>
        <n v="12"/>
        <n v="13"/>
        <n v="14"/>
        <n v="15"/>
        <n v="16"/>
        <n v="17"/>
        <n v="18"/>
        <n v="19"/>
        <n v="21"/>
        <n v="22"/>
        <n v="23"/>
        <n v="24"/>
        <n v="25"/>
        <n v="26"/>
        <n v="27"/>
      </sharedItems>
    </cacheField>
    <cacheField name="Start">
      <sharedItems containsDate="1" containsString="0" containsBlank="1" containsMixedTypes="0" count="25">
        <d v="2005-01-31T08:00:00.000"/>
        <m/>
        <d v="2005-02-01T07:58:00.000"/>
        <d v="2005-02-08T08:07:00.000"/>
        <d v="2005-02-09T01:28:00.000"/>
        <d v="2005-02-09T08:17:00.000"/>
        <d v="2005-02-10T09:28:00.000"/>
        <d v="2005-02-13T01:05:00.000"/>
        <d v="2005-02-13T23:41:00.000"/>
        <d v="2005-02-16T08:00:00.000"/>
        <d v="2005-02-22T08:00:00.000"/>
        <d v="2005-03-02T08:00:00.000"/>
        <d v="2005-03-07T12:02:00.000"/>
        <d v="2005-03-08T08:00:00.000"/>
        <d v="2005-03-16T09:26:00.000"/>
        <d v="2005-03-22T08:00:00.000"/>
        <d v="2005-03-24T14:10:00.000"/>
        <d v="2005-03-26T04:35:00.000"/>
        <d v="2005-03-29T09:14:00.000"/>
        <d v="2005-03-30T20:30:00.000"/>
        <d v="2005-03-31T02:51:00.000"/>
        <d v="2005-04-06T08:00:00.000"/>
        <d v="2005-04-11T12:08:00.000"/>
        <d v="2005-04-12T08:00:00.000"/>
        <d v="2005-04-14T13:07:00.000"/>
      </sharedItems>
    </cacheField>
    <cacheField name="End">
      <sharedItems containsDate="1" containsString="0" containsBlank="1" containsMixedTypes="0" count="25">
        <d v="2005-02-01T03:59:00.000"/>
        <m/>
        <d v="2005-02-07T16:00:00.000"/>
        <d v="2005-02-09T00:52:00.000"/>
        <d v="2005-02-09T07:57:00.000"/>
        <d v="2005-02-10T08:56:00.000"/>
        <d v="2005-02-13T00:43:00.000"/>
        <d v="2005-02-13T23:24:00.000"/>
        <d v="2005-02-14T08:00:00.000"/>
        <d v="2005-02-22T00:00:00.000"/>
        <d v="2005-02-28T01:18:00.000"/>
        <d v="2005-03-07T11:32:00.000"/>
        <d v="2005-03-07T16:10:00.000"/>
        <d v="2005-03-14T08:00:00.000"/>
        <d v="2005-03-21T16:00:00.000"/>
        <d v="2005-03-24T12:47:00.000"/>
        <d v="2005-03-26T04:18:00.000"/>
        <d v="2005-03-28T23:30:00.000"/>
        <d v="2005-03-30T19:45:00.000"/>
        <d v="2005-03-31T01:23:00.000"/>
        <d v="2005-04-04T08:00:00.000"/>
        <d v="2005-04-11T10:45:00.000"/>
        <d v="2005-04-11T16:00:00.000"/>
        <d v="2005-04-14T12:36:00.000"/>
        <d v="2005-04-21T00:10:00.000"/>
      </sharedItems>
    </cacheField>
    <cacheField name="Length">
      <sharedItems containsMixedTypes="1" containsNumber="1"/>
    </cacheField>
    <cacheField name="Loss &#10;Reason">
      <sharedItems containsBlank="1" containsMixedTypes="0" count="18">
        <s v="S24-ID Slow Valve  [XFD]"/>
        <m/>
        <s v="Int Dump: End of Period"/>
        <s v="3-ID Rad Mon Trip  [UES]"/>
        <s v="RF-4 Trip           [RF]"/>
        <s v="MPS trip           [CTL]"/>
        <s v="Beam motion    [Unknown]"/>
        <s v="DPBLD Trip         [OAG]"/>
        <s v="Power Sag        [ComEd]"/>
        <s v="Human Error         [PS]"/>
        <s v="RF-2 trip"/>
        <s v="S36A:V3             [PS]"/>
        <s v="5-ID Rad Trip      [UES]"/>
        <s v="SR-RF4 Mod Anode    [RF]"/>
        <s v="Bunch Purity       [OAG]"/>
        <s v="S24/24 Gespac       [PS]"/>
        <s v="S6BQ:1 Trip         [PS]"/>
        <s v="7-BM EPS Trip       [ME]"/>
      </sharedItems>
    </cacheField>
    <cacheField name="DIN #">
      <sharedItems containsString="0" containsBlank="1" containsMixedTypes="0" containsNumber="1" containsInteger="1" count="19">
        <n v="104883"/>
        <m/>
        <n v="104889"/>
        <n v="104890"/>
        <n v="104891"/>
        <n v="104892"/>
        <n v="104893"/>
        <n v="104894"/>
        <n v="104901"/>
        <n v="104904"/>
        <n v="104911"/>
        <n v="104914"/>
        <n v="104915"/>
        <n v="104916"/>
        <n v="104917"/>
        <n v="104920"/>
        <n v="104921"/>
        <n v="104925"/>
        <n v="104926"/>
      </sharedItems>
    </cacheField>
    <cacheField name="Audit">
      <sharedItems containsString="0" containsBlank="1" count="1">
        <m/>
      </sharedItems>
    </cacheField>
    <cacheField name="Start2">
      <sharedItems containsDate="1" containsString="0" containsBlank="1" containsMixedTypes="0" count="21">
        <d v="2005-02-01T03:59:00.000"/>
        <d v="2005-02-01T06:39:00.000"/>
        <m/>
        <d v="2005-02-08T08:00:00.000"/>
        <d v="2005-02-09T00:52:00.000"/>
        <d v="2005-02-09T07:57:00.000"/>
        <d v="2005-02-10T08:56:00.000"/>
        <d v="2005-02-13T00:43:00.000"/>
        <d v="2005-02-13T23:24:00.000"/>
        <d v="2005-02-28T01:18:00.000"/>
        <d v="2005-03-07T11:32:00.000"/>
        <d v="2005-03-16T08:00:00.000"/>
        <d v="2005-03-24T12:47:00.000"/>
        <d v="2005-03-26T04:18:00.000"/>
        <d v="2005-03-28T23:30:00.000"/>
        <d v="2005-03-29T08:00:00.000"/>
        <d v="2005-03-29T08:20:00.000"/>
        <d v="2005-03-30T19:45:00.000"/>
        <d v="2005-03-31T01:23:00.000"/>
        <d v="2005-04-11T10:45:00.000"/>
        <d v="2005-04-14T12:36:00.000"/>
      </sharedItems>
    </cacheField>
    <cacheField name="End2">
      <sharedItems containsDate="1" containsString="0" containsBlank="1" containsMixedTypes="0" count="21">
        <d v="2005-02-01T07:58:00.000"/>
        <d v="2005-02-01T06:39:00.000"/>
        <m/>
        <d v="2005-02-08T08:07:00.000"/>
        <d v="2005-02-09T01:28:00.000"/>
        <d v="2005-02-09T08:17:00.000"/>
        <d v="2005-02-10T09:28:00.000"/>
        <d v="2005-02-13T01:05:00.000"/>
        <d v="2005-02-13T23:41:00.000"/>
        <d v="2005-02-28T08:00:00.000"/>
        <d v="2005-03-07T12:02:00.000"/>
        <d v="2005-03-16T09:26:00.000"/>
        <d v="2005-03-24T14:10:00.000"/>
        <d v="2005-03-26T04:35:00.000"/>
        <d v="2005-03-29T00:00:00.000"/>
        <d v="2005-03-29T09:14:00.000"/>
        <d v="2005-03-29T08:20:00.000"/>
        <d v="2005-03-30T20:30:00.000"/>
        <d v="2005-03-31T02:51:00.000"/>
        <d v="2005-04-11T12:08:00.000"/>
        <d v="2005-04-14T13:07:00.000"/>
      </sharedItems>
    </cacheField>
    <cacheField name="User &#10;Length">
      <sharedItems containsString="0" containsBlank="1" containsMixedTypes="0" containsNumber="1" count="22">
        <n v="3.9833333332207985"/>
        <m/>
        <n v="0.11666666652308777"/>
        <n v="0.6000000000349246"/>
        <n v="0.33333333319751546"/>
        <n v="0.5333333333255723"/>
        <n v="0.3666666666395031"/>
        <n v="0.28333333338378"/>
        <n v="0"/>
        <n v="2.233333333104383"/>
        <n v="6.7000000000116415"/>
        <n v="0.4999999998835847"/>
        <n v="1.4333333332906477"/>
        <n v="1.3833333334769122"/>
        <n v="0.283333333209157"/>
        <n v="0.5000000000582077"/>
        <n v="2.166666666744277"/>
        <n v="0.9000000001396984"/>
        <n v="0.75"/>
        <n v="1.4666666667326353"/>
        <n v="3.450000000069849"/>
        <n v="0.5166666666045785"/>
      </sharedItems>
    </cacheField>
    <cacheField name="System&#10;Length">
      <sharedItems containsString="0" containsBlank="1" containsMixedTypes="0" containsNumber="1" count="24">
        <m/>
        <n v="2.6666666666278616"/>
        <n v="1.316666666592937"/>
        <n v="3.9833333332207985"/>
        <n v="0.11666666652308777"/>
        <n v="0.6000000000349246"/>
        <n v="0.33333333319751546"/>
        <n v="0.5333333333255723"/>
        <n v="0.3666666666395031"/>
        <n v="0.28333333338378"/>
        <n v="0"/>
        <n v="2.233333333104383"/>
        <n v="6.7000000000116415"/>
        <n v="0.4999999998835847"/>
        <n v="1.4333333332906477"/>
        <n v="1.3833333334769122"/>
        <n v="0.283333333209157"/>
        <n v="0.5000000000582077"/>
        <n v="2.166666666744277"/>
        <n v="0.9000000001396984"/>
        <n v="0.75"/>
        <n v="1.4666666667326353"/>
        <n v="3.450000000069849"/>
        <n v="0.5166666666045785"/>
      </sharedItems>
    </cacheField>
    <cacheField name="Cause">
      <sharedItems containsBlank="1" containsMixedTypes="0" count="12">
        <m/>
        <s v="XFD"/>
        <s v="PS"/>
        <s v="Scheduled"/>
        <s v="DIA"/>
        <s v="UES"/>
        <s v="RF"/>
        <s v="CTL"/>
        <s v="UNK"/>
        <s v="OAG"/>
        <s v="ComEd"/>
        <s v="ME"/>
      </sharedItems>
    </cacheField>
    <cacheField name="System">
      <sharedItems containsBlank="1" containsMixedTypes="0" count="11">
        <m/>
        <s v="XFD"/>
        <s v="PS"/>
        <s v="DIA"/>
        <s v="UES"/>
        <s v="RF"/>
        <s v="CTL"/>
        <s v="UNK"/>
        <s v="OAG"/>
        <s v="CF"/>
        <s v="ME"/>
      </sharedItems>
    </cacheField>
    <cacheField name="Group">
      <sharedItems containsBlank="1" containsMixedTypes="0" count="11">
        <m/>
        <s v="XFD"/>
        <s v="PS"/>
        <s v="DIA"/>
        <s v="UES"/>
        <s v="RF"/>
        <s v="CTL"/>
        <s v="UNK"/>
        <s v="OAG"/>
        <s v="Other"/>
        <s v="ME"/>
      </sharedItems>
    </cacheField>
    <cacheField name="Type">
      <sharedItems containsBlank="1" containsMixedTypes="0" count="4">
        <m/>
        <s v="Store Lost"/>
        <s v="Inhibits Beam to User"/>
        <s v="Intentional Dump"/>
      </sharedItems>
    </cacheField>
    <cacheField name="Description">
      <sharedItems containsBlank="1" containsMixedTypes="0" count="16">
        <m/>
        <s v="Spurious 3-ID Rad. Mon. trip, resume top-up"/>
        <s v="RF-4 ACIS trip due to RF test stand, refill"/>
        <s v="Loose cable caused MPS trip. reset, refill."/>
        <s v="Steering procedure error, refill, resume top-up."/>
        <s v="Power sag to 58%, all systems affected."/>
        <s v="S2/3 raw supply trip due to human error, refill."/>
        <s v="Fill #15 &lt;1 hr RF-2 trip"/>
        <s v="Converter failed, replaced, refill."/>
        <s v="Spurious 5-ID Radiation Monitor Trip, Refill."/>
        <s v="SR-RF4 mod anode regulation problem, end of ops."/>
        <s v="20min due to RF4, 54min due to CPU compensation"/>
        <s v="Intentional dump due to poor bunch purity, refill."/>
        <s v="GESPAC power supply failed, replaced, refill."/>
        <s v="Quad trip, swapped supply, refill"/>
        <s v="Low flow fault on BPM1, reset, refill."/>
      </sharedItems>
    </cacheField>
    <cacheField name="Store Lost">
      <sharedItems containsBlank="1" containsMixedTypes="1" containsNumber="1" containsInteger="1" count="3">
        <s v=""/>
        <n v="1"/>
        <m/>
      </sharedItems>
    </cacheField>
    <cacheField name="Intention. Dump">
      <sharedItems containsBlank="1" containsMixedTypes="1" containsNumber="1" containsInteger="1" count="3">
        <s v=""/>
        <n v="1"/>
        <m/>
      </sharedItems>
    </cacheField>
    <cacheField name="Inhibits Beam">
      <sharedItems containsBlank="1" containsMixedTypes="1" containsNumber="1" containsInteger="1" count="3">
        <s v=""/>
        <n v="1"/>
        <m/>
      </sharedItems>
    </cacheField>
    <cacheField name="TOTAL">
      <sharedItems containsString="0" containsBlank="1" containsMixedTypes="0" containsNumber="1" containsInteger="1" count="3">
        <n v="0"/>
        <n v="1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2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L8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2">
        <item x="6"/>
        <item x="8"/>
        <item x="9"/>
        <item x="2"/>
        <item x="5"/>
        <item x="4"/>
        <item x="7"/>
        <item x="1"/>
        <item h="1" x="0"/>
        <item x="10"/>
        <item x="3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</pivotFields>
  <rowFields count="1">
    <field x="-2"/>
  </rowFields>
  <rowItems count="4">
    <i>
      <x/>
    </i>
    <i i="1">
      <x v="1"/>
    </i>
    <i i="2">
      <x v="2"/>
    </i>
    <i i="3">
      <x v="3"/>
    </i>
  </rowItems>
  <colFields count="1">
    <field x="13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0"/>
    </i>
    <i t="grand">
      <x/>
    </i>
  </colItems>
  <dataFields count="4">
    <dataField name="Sum of Inhibits Beam" fld="18" baseField="0" baseItem="0"/>
    <dataField name="Sum of Intention. Dump" fld="17" baseField="0" baseItem="0"/>
    <dataField name="Sum of Store Lost" fld="16" baseField="0" baseItem="0"/>
    <dataField name="Sum of System&#10;Length" fld="10" baseField="0" baseItem="0" numFmtId="2"/>
  </dataFields>
  <formats count="1">
    <format dxfId="0">
      <pivotArea outline="0" fieldPosition="0">
        <references count="1">
          <reference field="4294967294" count="1"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C143"/>
  <sheetViews>
    <sheetView zoomScale="75" zoomScaleNormal="75" workbookViewId="0" topLeftCell="F1">
      <pane ySplit="5" topLeftCell="BM6" activePane="bottomLeft" state="frozen"/>
      <selection pane="topLeft" activeCell="A1" sqref="A1"/>
      <selection pane="bottomLeft" activeCell="O11" sqref="O11"/>
    </sheetView>
  </sheetViews>
  <sheetFormatPr defaultColWidth="9.140625" defaultRowHeight="12.75"/>
  <cols>
    <col min="1" max="1" width="6.8515625" style="30" customWidth="1"/>
    <col min="2" max="2" width="16.140625" style="19" bestFit="1" customWidth="1"/>
    <col min="3" max="3" width="14.421875" style="19" customWidth="1"/>
    <col min="4" max="4" width="7.7109375" style="22" customWidth="1"/>
    <col min="5" max="5" width="27.57421875" style="23" customWidth="1"/>
    <col min="6" max="6" width="9.421875" style="51" customWidth="1"/>
    <col min="7" max="7" width="3.28125" style="49" customWidth="1"/>
    <col min="8" max="8" width="14.421875" style="32" customWidth="1"/>
    <col min="9" max="9" width="14.28125" style="32" customWidth="1"/>
    <col min="10" max="10" width="7.7109375" style="22" customWidth="1"/>
    <col min="11" max="11" width="7.8515625" style="35" customWidth="1"/>
    <col min="12" max="12" width="11.421875" style="74" customWidth="1"/>
    <col min="13" max="13" width="13.28125" style="75" customWidth="1"/>
    <col min="14" max="14" width="11.421875" style="75" customWidth="1"/>
    <col min="15" max="15" width="22.00390625" style="74" customWidth="1"/>
    <col min="16" max="16" width="69.28125" style="9" customWidth="1"/>
    <col min="17" max="19" width="5.8515625" style="1" customWidth="1"/>
    <col min="20" max="16384" width="9.140625" style="1" customWidth="1"/>
  </cols>
  <sheetData>
    <row r="1" spans="1:24" ht="12.75">
      <c r="A1" s="17" t="s">
        <v>22</v>
      </c>
      <c r="B1" s="16"/>
      <c r="C1" s="16"/>
      <c r="D1" s="7">
        <v>0.25</v>
      </c>
      <c r="E1" s="14" t="s">
        <v>30</v>
      </c>
      <c r="F1" s="15"/>
      <c r="G1" s="48"/>
      <c r="H1" s="31"/>
      <c r="I1" s="31"/>
      <c r="J1" s="7"/>
      <c r="K1" s="33"/>
      <c r="L1" s="66"/>
      <c r="M1" s="67"/>
      <c r="N1" s="67"/>
      <c r="O1" s="66"/>
      <c r="P1" s="8"/>
      <c r="W1" s="6" t="s">
        <v>23</v>
      </c>
      <c r="X1" s="1">
        <f>D1/24</f>
        <v>0.010416666666666666</v>
      </c>
    </row>
    <row r="2" spans="1:16" ht="24">
      <c r="A2" s="202" t="s">
        <v>42</v>
      </c>
      <c r="B2" s="202"/>
      <c r="C2" s="202"/>
      <c r="D2" s="202"/>
      <c r="E2" s="202"/>
      <c r="F2" s="202"/>
      <c r="G2" s="202"/>
      <c r="H2" s="202"/>
      <c r="I2" s="202"/>
      <c r="J2" s="46"/>
      <c r="K2" s="46"/>
      <c r="L2" s="68"/>
      <c r="M2" s="69"/>
      <c r="N2" s="69"/>
      <c r="O2" s="68"/>
      <c r="P2" s="8"/>
    </row>
    <row r="3" spans="1:20" s="3" customFormat="1" ht="12.75">
      <c r="A3" s="29"/>
      <c r="B3" s="16"/>
      <c r="C3" s="16"/>
      <c r="D3" s="7"/>
      <c r="E3" s="14"/>
      <c r="F3" s="50"/>
      <c r="G3" s="48"/>
      <c r="H3" s="31"/>
      <c r="I3" s="31"/>
      <c r="J3" s="7"/>
      <c r="K3" s="33"/>
      <c r="L3" s="66"/>
      <c r="M3" s="67"/>
      <c r="N3" s="67"/>
      <c r="O3" s="66"/>
      <c r="P3" s="8"/>
      <c r="Q3" s="1"/>
      <c r="R3" s="1"/>
      <c r="S3" s="1"/>
      <c r="T3" s="1"/>
    </row>
    <row r="4" spans="1:20" s="3" customFormat="1" ht="12.75">
      <c r="A4" s="29"/>
      <c r="B4" s="16"/>
      <c r="C4" s="16"/>
      <c r="D4" s="7"/>
      <c r="E4" s="14"/>
      <c r="F4" s="50"/>
      <c r="G4" s="48"/>
      <c r="H4" s="31"/>
      <c r="I4" s="31"/>
      <c r="J4" s="7"/>
      <c r="K4" s="33"/>
      <c r="L4" s="66"/>
      <c r="M4" s="67"/>
      <c r="N4" s="67"/>
      <c r="O4" s="66"/>
      <c r="P4" s="8"/>
      <c r="Q4" s="1"/>
      <c r="R4" s="1"/>
      <c r="S4" s="1"/>
      <c r="T4" s="1"/>
    </row>
    <row r="5" spans="1:20" s="3" customFormat="1" ht="81" customHeight="1">
      <c r="A5" s="37" t="s">
        <v>3</v>
      </c>
      <c r="B5" s="39" t="s">
        <v>0</v>
      </c>
      <c r="C5" s="39" t="s">
        <v>1</v>
      </c>
      <c r="D5" s="24" t="s">
        <v>2</v>
      </c>
      <c r="E5" s="38" t="s">
        <v>19</v>
      </c>
      <c r="F5" s="37" t="s">
        <v>20</v>
      </c>
      <c r="G5" s="10" t="s">
        <v>6</v>
      </c>
      <c r="H5" s="39" t="s">
        <v>0</v>
      </c>
      <c r="I5" s="39" t="s">
        <v>1</v>
      </c>
      <c r="J5" s="24" t="s">
        <v>7</v>
      </c>
      <c r="K5" s="28" t="s">
        <v>21</v>
      </c>
      <c r="L5" s="70" t="s">
        <v>4</v>
      </c>
      <c r="M5" s="71" t="s">
        <v>10</v>
      </c>
      <c r="N5" s="71" t="s">
        <v>38</v>
      </c>
      <c r="O5" s="70" t="s">
        <v>5</v>
      </c>
      <c r="P5" s="11" t="s">
        <v>25</v>
      </c>
      <c r="Q5" s="44" t="s">
        <v>26</v>
      </c>
      <c r="R5" s="44" t="s">
        <v>34</v>
      </c>
      <c r="S5" s="44" t="s">
        <v>32</v>
      </c>
      <c r="T5" s="53" t="s">
        <v>33</v>
      </c>
    </row>
    <row r="6" spans="1:23" s="104" customFormat="1" ht="12.75">
      <c r="A6" s="77">
        <v>1</v>
      </c>
      <c r="B6" s="78">
        <v>38383.333333333336</v>
      </c>
      <c r="C6" s="78">
        <v>38384.165972222225</v>
      </c>
      <c r="D6" s="102">
        <f>(C6-B6)*24</f>
        <v>19.983333333337214</v>
      </c>
      <c r="E6" s="79" t="s">
        <v>40</v>
      </c>
      <c r="F6" s="80">
        <v>104883</v>
      </c>
      <c r="G6" s="81"/>
      <c r="H6" s="78">
        <v>38384.165972222225</v>
      </c>
      <c r="I6" s="55">
        <v>38384.33194444444</v>
      </c>
      <c r="J6" s="64">
        <f>(I6-H6)*24</f>
        <v>3.9833333332207985</v>
      </c>
      <c r="K6" s="64"/>
      <c r="L6" s="82"/>
      <c r="M6" s="83"/>
      <c r="N6" s="83"/>
      <c r="O6" s="84"/>
      <c r="P6" s="79"/>
      <c r="Q6" s="12">
        <f aca="true" t="shared" si="0" ref="Q6:Q47">IF($O6="Store Lost",1,"")</f>
      </c>
      <c r="R6" s="12">
        <f aca="true" t="shared" si="1" ref="R6:R47">IF($L6="Scheduled",1,"")</f>
      </c>
      <c r="S6" s="12">
        <f aca="true" t="shared" si="2" ref="S6:S47">IF($O6="Inhibits beam to user",1,"")</f>
      </c>
      <c r="T6" s="54">
        <f aca="true" t="shared" si="3" ref="T6:T18">SUM(Q6:S6)</f>
        <v>0</v>
      </c>
      <c r="U6" s="3"/>
      <c r="V6" s="3"/>
      <c r="W6" s="3"/>
    </row>
    <row r="7" spans="1:23" s="104" customFormat="1" ht="12.75">
      <c r="A7" s="100"/>
      <c r="B7" s="105"/>
      <c r="C7" s="105"/>
      <c r="D7" s="102"/>
      <c r="E7" s="101"/>
      <c r="F7" s="94"/>
      <c r="G7" s="56"/>
      <c r="H7" s="57">
        <v>38384.165972222225</v>
      </c>
      <c r="I7" s="57">
        <v>38384.277083333334</v>
      </c>
      <c r="J7" s="58"/>
      <c r="K7" s="58">
        <f>(I7-H7)*24</f>
        <v>2.6666666666278616</v>
      </c>
      <c r="L7" s="95" t="s">
        <v>41</v>
      </c>
      <c r="M7" s="72" t="s">
        <v>41</v>
      </c>
      <c r="N7" s="72" t="s">
        <v>41</v>
      </c>
      <c r="O7" s="96" t="s">
        <v>26</v>
      </c>
      <c r="P7" s="59"/>
      <c r="Q7" s="63">
        <f t="shared" si="0"/>
        <v>1</v>
      </c>
      <c r="R7" s="12">
        <f t="shared" si="1"/>
      </c>
      <c r="S7" s="12">
        <f t="shared" si="2"/>
      </c>
      <c r="T7" s="54">
        <f t="shared" si="3"/>
        <v>1</v>
      </c>
      <c r="U7" s="3"/>
      <c r="V7" s="3"/>
      <c r="W7" s="3"/>
    </row>
    <row r="8" spans="1:23" s="104" customFormat="1" ht="12.75" customHeight="1">
      <c r="A8" s="100"/>
      <c r="B8" s="105"/>
      <c r="C8" s="105"/>
      <c r="D8" s="102"/>
      <c r="E8" s="101"/>
      <c r="F8" s="97"/>
      <c r="G8" s="60"/>
      <c r="H8" s="61">
        <v>38384.277083333334</v>
      </c>
      <c r="I8" s="61">
        <v>38384.33194444444</v>
      </c>
      <c r="J8" s="62"/>
      <c r="K8" s="62">
        <f>(I8-H8)*24</f>
        <v>1.316666666592937</v>
      </c>
      <c r="L8" s="98" t="s">
        <v>37</v>
      </c>
      <c r="M8" s="73" t="s">
        <v>37</v>
      </c>
      <c r="N8" s="73" t="s">
        <v>37</v>
      </c>
      <c r="O8" s="99" t="s">
        <v>35</v>
      </c>
      <c r="P8" s="119"/>
      <c r="Q8" s="63">
        <f t="shared" si="0"/>
      </c>
      <c r="R8" s="12">
        <f t="shared" si="1"/>
      </c>
      <c r="S8" s="12">
        <f t="shared" si="2"/>
        <v>1</v>
      </c>
      <c r="T8" s="54">
        <f t="shared" si="3"/>
        <v>1</v>
      </c>
      <c r="U8" s="3"/>
      <c r="V8" s="3"/>
      <c r="W8" s="3"/>
    </row>
    <row r="9" spans="1:23" s="104" customFormat="1" ht="12.75" customHeight="1">
      <c r="A9" s="100">
        <v>2</v>
      </c>
      <c r="B9" s="55">
        <v>38384.33194444444</v>
      </c>
      <c r="C9" s="105">
        <v>38390.666666666664</v>
      </c>
      <c r="D9" s="102">
        <f>(C9-B9)*24</f>
        <v>152.03333333332557</v>
      </c>
      <c r="E9" s="101" t="s">
        <v>39</v>
      </c>
      <c r="F9" s="103"/>
      <c r="G9" s="106"/>
      <c r="H9" s="105"/>
      <c r="I9" s="105"/>
      <c r="J9" s="102"/>
      <c r="K9" s="102"/>
      <c r="L9" s="107" t="s">
        <v>24</v>
      </c>
      <c r="M9" s="108"/>
      <c r="N9" s="108"/>
      <c r="O9" s="109"/>
      <c r="P9" s="123"/>
      <c r="Q9" s="63">
        <f t="shared" si="0"/>
      </c>
      <c r="R9" s="12">
        <f t="shared" si="1"/>
        <v>1</v>
      </c>
      <c r="S9" s="12">
        <f t="shared" si="2"/>
      </c>
      <c r="T9" s="54">
        <f t="shared" si="3"/>
        <v>1</v>
      </c>
      <c r="U9" s="3"/>
      <c r="V9" s="3"/>
      <c r="W9" s="3"/>
    </row>
    <row r="10" spans="1:23" s="104" customFormat="1" ht="12.75">
      <c r="A10" s="85"/>
      <c r="B10" s="86"/>
      <c r="C10" s="86"/>
      <c r="D10" s="87">
        <f>SUM(D6:D9)</f>
        <v>172.0166666666628</v>
      </c>
      <c r="E10" s="88"/>
      <c r="F10" s="89"/>
      <c r="G10" s="90"/>
      <c r="H10" s="86"/>
      <c r="I10" s="86"/>
      <c r="J10" s="87">
        <f>SUM(J6:J8)</f>
        <v>3.9833333332207985</v>
      </c>
      <c r="K10" s="87">
        <f>SUM(K6:K8)</f>
        <v>3.9833333332207985</v>
      </c>
      <c r="L10" s="91"/>
      <c r="M10" s="92"/>
      <c r="N10" s="92"/>
      <c r="O10" s="93"/>
      <c r="P10" s="88"/>
      <c r="Q10" s="63">
        <f t="shared" si="0"/>
      </c>
      <c r="R10" s="12">
        <f t="shared" si="1"/>
      </c>
      <c r="S10" s="12">
        <f t="shared" si="2"/>
      </c>
      <c r="T10" s="54">
        <f t="shared" si="3"/>
        <v>0</v>
      </c>
      <c r="U10" s="3"/>
      <c r="V10" s="3"/>
      <c r="W10" s="3"/>
    </row>
    <row r="11" spans="1:23" s="138" customFormat="1" ht="12.75">
      <c r="A11" s="124"/>
      <c r="B11" s="126"/>
      <c r="C11" s="126"/>
      <c r="D11" s="149"/>
      <c r="E11" s="128"/>
      <c r="F11" s="129">
        <v>104889</v>
      </c>
      <c r="G11" s="130"/>
      <c r="H11" s="126">
        <v>38391.333333333336</v>
      </c>
      <c r="I11" s="139">
        <v>38391.33819444444</v>
      </c>
      <c r="J11" s="131">
        <f aca="true" t="shared" si="4" ref="J11:J17">(I11-H11)*24</f>
        <v>0.11666666652308777</v>
      </c>
      <c r="K11" s="127">
        <f aca="true" t="shared" si="5" ref="K11:K17">(I11-H11)*24</f>
        <v>0.11666666652308777</v>
      </c>
      <c r="L11" s="132" t="s">
        <v>109</v>
      </c>
      <c r="M11" s="133" t="s">
        <v>109</v>
      </c>
      <c r="N11" s="133" t="s">
        <v>109</v>
      </c>
      <c r="O11" s="134" t="s">
        <v>35</v>
      </c>
      <c r="P11" s="128"/>
      <c r="Q11" s="135">
        <f t="shared" si="0"/>
      </c>
      <c r="R11" s="135">
        <f t="shared" si="1"/>
      </c>
      <c r="S11" s="135">
        <f t="shared" si="2"/>
        <v>1</v>
      </c>
      <c r="T11" s="136">
        <f t="shared" si="3"/>
        <v>1</v>
      </c>
      <c r="U11" s="137"/>
      <c r="V11" s="137"/>
      <c r="W11" s="137"/>
    </row>
    <row r="12" spans="1:23" s="104" customFormat="1" ht="12.75">
      <c r="A12" s="77">
        <v>3</v>
      </c>
      <c r="B12" s="105">
        <v>38391.33819444444</v>
      </c>
      <c r="C12" s="78">
        <v>38392.03611111111</v>
      </c>
      <c r="D12" s="102">
        <f aca="true" t="shared" si="6" ref="D12:D17">(C12-B12)*24</f>
        <v>16.750000000116415</v>
      </c>
      <c r="E12" s="79" t="s">
        <v>43</v>
      </c>
      <c r="F12" s="80">
        <v>104890</v>
      </c>
      <c r="G12" s="81"/>
      <c r="H12" s="78">
        <v>38392.03611111111</v>
      </c>
      <c r="I12" s="105">
        <v>38392.061111111114</v>
      </c>
      <c r="J12" s="64">
        <f t="shared" si="4"/>
        <v>0.6000000000349246</v>
      </c>
      <c r="K12" s="102">
        <f t="shared" si="5"/>
        <v>0.6000000000349246</v>
      </c>
      <c r="L12" s="82" t="s">
        <v>44</v>
      </c>
      <c r="M12" s="83" t="s">
        <v>44</v>
      </c>
      <c r="N12" s="83" t="s">
        <v>44</v>
      </c>
      <c r="O12" s="84" t="s">
        <v>26</v>
      </c>
      <c r="P12" s="79" t="s">
        <v>45</v>
      </c>
      <c r="Q12" s="12">
        <f t="shared" si="0"/>
        <v>1</v>
      </c>
      <c r="R12" s="12">
        <f t="shared" si="1"/>
      </c>
      <c r="S12" s="12">
        <f t="shared" si="2"/>
      </c>
      <c r="T12" s="54">
        <f t="shared" si="3"/>
        <v>1</v>
      </c>
      <c r="U12" s="3"/>
      <c r="V12" s="3"/>
      <c r="W12" s="3"/>
    </row>
    <row r="13" spans="1:23" s="138" customFormat="1" ht="12.75">
      <c r="A13" s="124">
        <v>4</v>
      </c>
      <c r="B13" s="125">
        <v>38392.061111111114</v>
      </c>
      <c r="C13" s="126">
        <v>38392.33125</v>
      </c>
      <c r="D13" s="127">
        <f t="shared" si="6"/>
        <v>6.483333333337214</v>
      </c>
      <c r="E13" s="128" t="s">
        <v>46</v>
      </c>
      <c r="F13" s="129">
        <v>104891</v>
      </c>
      <c r="G13" s="130"/>
      <c r="H13" s="126">
        <v>38392.33125</v>
      </c>
      <c r="I13" s="125">
        <v>38392.345138888886</v>
      </c>
      <c r="J13" s="131">
        <f t="shared" si="4"/>
        <v>0.33333333319751546</v>
      </c>
      <c r="K13" s="127">
        <f t="shared" si="5"/>
        <v>0.33333333319751546</v>
      </c>
      <c r="L13" s="132" t="s">
        <v>48</v>
      </c>
      <c r="M13" s="133" t="s">
        <v>48</v>
      </c>
      <c r="N13" s="133" t="s">
        <v>48</v>
      </c>
      <c r="O13" s="134" t="s">
        <v>26</v>
      </c>
      <c r="P13" s="128" t="s">
        <v>47</v>
      </c>
      <c r="Q13" s="135">
        <f t="shared" si="0"/>
        <v>1</v>
      </c>
      <c r="R13" s="135">
        <f t="shared" si="1"/>
      </c>
      <c r="S13" s="135">
        <f t="shared" si="2"/>
      </c>
      <c r="T13" s="136">
        <f t="shared" si="3"/>
        <v>1</v>
      </c>
      <c r="U13" s="137"/>
      <c r="V13" s="137"/>
      <c r="W13" s="137"/>
    </row>
    <row r="14" spans="1:23" s="104" customFormat="1" ht="12.75">
      <c r="A14" s="100">
        <v>5</v>
      </c>
      <c r="B14" s="105">
        <v>38392.345138888886</v>
      </c>
      <c r="C14" s="105">
        <v>38393.37222222222</v>
      </c>
      <c r="D14" s="102">
        <f t="shared" si="6"/>
        <v>24.650000000023283</v>
      </c>
      <c r="E14" s="101" t="s">
        <v>49</v>
      </c>
      <c r="F14" s="103">
        <v>104892</v>
      </c>
      <c r="G14" s="106"/>
      <c r="H14" s="105">
        <v>38393.37222222222</v>
      </c>
      <c r="I14" s="105">
        <v>38393.39444444444</v>
      </c>
      <c r="J14" s="64">
        <f t="shared" si="4"/>
        <v>0.5333333333255723</v>
      </c>
      <c r="K14" s="102">
        <f t="shared" si="5"/>
        <v>0.5333333333255723</v>
      </c>
      <c r="L14" s="107" t="s">
        <v>51</v>
      </c>
      <c r="M14" s="108" t="s">
        <v>51</v>
      </c>
      <c r="N14" s="108" t="s">
        <v>51</v>
      </c>
      <c r="O14" s="109" t="s">
        <v>26</v>
      </c>
      <c r="P14" s="101" t="s">
        <v>50</v>
      </c>
      <c r="Q14" s="63">
        <f t="shared" si="0"/>
        <v>1</v>
      </c>
      <c r="R14" s="12">
        <f t="shared" si="1"/>
      </c>
      <c r="S14" s="12">
        <f t="shared" si="2"/>
      </c>
      <c r="T14" s="54">
        <f t="shared" si="3"/>
        <v>1</v>
      </c>
      <c r="U14" s="3"/>
      <c r="V14" s="3"/>
      <c r="W14" s="3"/>
    </row>
    <row r="15" spans="1:23" s="138" customFormat="1" ht="12.75" customHeight="1">
      <c r="A15" s="124">
        <v>6</v>
      </c>
      <c r="B15" s="139">
        <v>38393.39444444444</v>
      </c>
      <c r="C15" s="139">
        <v>38396.029861111114</v>
      </c>
      <c r="D15" s="127">
        <f t="shared" si="6"/>
        <v>63.250000000116415</v>
      </c>
      <c r="E15" s="140" t="s">
        <v>56</v>
      </c>
      <c r="F15" s="141">
        <v>104893</v>
      </c>
      <c r="G15" s="142"/>
      <c r="H15" s="139">
        <v>38396.029861111114</v>
      </c>
      <c r="I15" s="139">
        <v>38396.04513888889</v>
      </c>
      <c r="J15" s="131">
        <f t="shared" si="4"/>
        <v>0.3666666666395031</v>
      </c>
      <c r="K15" s="127">
        <f t="shared" si="5"/>
        <v>0.3666666666395031</v>
      </c>
      <c r="L15" s="143" t="s">
        <v>55</v>
      </c>
      <c r="M15" s="144" t="s">
        <v>55</v>
      </c>
      <c r="N15" s="144" t="s">
        <v>55</v>
      </c>
      <c r="O15" s="145" t="s">
        <v>26</v>
      </c>
      <c r="P15" s="146"/>
      <c r="Q15" s="147">
        <f t="shared" si="0"/>
        <v>1</v>
      </c>
      <c r="R15" s="135">
        <f t="shared" si="1"/>
      </c>
      <c r="S15" s="135">
        <f t="shared" si="2"/>
      </c>
      <c r="T15" s="136">
        <f t="shared" si="3"/>
        <v>1</v>
      </c>
      <c r="U15" s="137"/>
      <c r="V15" s="137"/>
      <c r="W15" s="137"/>
    </row>
    <row r="16" spans="1:23" s="104" customFormat="1" ht="12.75" customHeight="1">
      <c r="A16" s="77">
        <v>7</v>
      </c>
      <c r="B16" s="55">
        <v>38396.04513888889</v>
      </c>
      <c r="C16" s="105">
        <v>38396.975</v>
      </c>
      <c r="D16" s="102">
        <f t="shared" si="6"/>
        <v>22.316666666592937</v>
      </c>
      <c r="E16" s="101" t="s">
        <v>52</v>
      </c>
      <c r="F16" s="103">
        <v>104894</v>
      </c>
      <c r="G16" s="106"/>
      <c r="H16" s="105">
        <v>38396.975</v>
      </c>
      <c r="I16" s="105">
        <v>38396.986805555556</v>
      </c>
      <c r="J16" s="64">
        <f t="shared" si="4"/>
        <v>0.28333333338378</v>
      </c>
      <c r="K16" s="102">
        <f t="shared" si="5"/>
        <v>0.28333333338378</v>
      </c>
      <c r="L16" s="107" t="s">
        <v>54</v>
      </c>
      <c r="M16" s="108" t="s">
        <v>54</v>
      </c>
      <c r="N16" s="108" t="s">
        <v>54</v>
      </c>
      <c r="O16" s="109" t="s">
        <v>26</v>
      </c>
      <c r="P16" s="123" t="s">
        <v>53</v>
      </c>
      <c r="Q16" s="63">
        <f t="shared" si="0"/>
        <v>1</v>
      </c>
      <c r="R16" s="12">
        <f t="shared" si="1"/>
      </c>
      <c r="S16" s="12">
        <f t="shared" si="2"/>
      </c>
      <c r="T16" s="54">
        <f t="shared" si="3"/>
        <v>1</v>
      </c>
      <c r="U16" s="3"/>
      <c r="V16" s="3"/>
      <c r="W16" s="3"/>
    </row>
    <row r="17" spans="1:23" s="138" customFormat="1" ht="12.75" customHeight="1">
      <c r="A17" s="148">
        <v>8</v>
      </c>
      <c r="B17" s="139">
        <v>38396.986805555556</v>
      </c>
      <c r="C17" s="139">
        <v>38397.333333333336</v>
      </c>
      <c r="D17" s="127">
        <f t="shared" si="6"/>
        <v>8.316666666709352</v>
      </c>
      <c r="E17" s="140" t="s">
        <v>39</v>
      </c>
      <c r="F17" s="141"/>
      <c r="G17" s="142"/>
      <c r="H17" s="139"/>
      <c r="I17" s="139"/>
      <c r="J17" s="131">
        <f t="shared" si="4"/>
        <v>0</v>
      </c>
      <c r="K17" s="127">
        <f t="shared" si="5"/>
        <v>0</v>
      </c>
      <c r="L17" s="143" t="s">
        <v>24</v>
      </c>
      <c r="M17" s="144"/>
      <c r="N17" s="144"/>
      <c r="O17" s="145"/>
      <c r="P17" s="146"/>
      <c r="Q17" s="147">
        <f t="shared" si="0"/>
      </c>
      <c r="R17" s="135">
        <f t="shared" si="1"/>
        <v>1</v>
      </c>
      <c r="S17" s="135">
        <f t="shared" si="2"/>
      </c>
      <c r="T17" s="136">
        <f t="shared" si="3"/>
        <v>1</v>
      </c>
      <c r="U17" s="137"/>
      <c r="V17" s="137"/>
      <c r="W17" s="137"/>
    </row>
    <row r="18" spans="1:23" s="104" customFormat="1" ht="12.75">
      <c r="A18" s="85"/>
      <c r="B18" s="86"/>
      <c r="C18" s="86"/>
      <c r="D18" s="87">
        <f>SUM(D12:D17)</f>
        <v>141.76666666689562</v>
      </c>
      <c r="E18" s="88"/>
      <c r="F18" s="89"/>
      <c r="G18" s="90"/>
      <c r="H18" s="86"/>
      <c r="I18" s="86"/>
      <c r="J18" s="87">
        <f>SUM(J11:J17)</f>
        <v>2.233333333104383</v>
      </c>
      <c r="K18" s="87">
        <f>SUM(K11:K17)</f>
        <v>2.233333333104383</v>
      </c>
      <c r="L18" s="91"/>
      <c r="M18" s="92"/>
      <c r="N18" s="92"/>
      <c r="O18" s="93"/>
      <c r="P18" s="88"/>
      <c r="Q18" s="63">
        <f t="shared" si="0"/>
      </c>
      <c r="R18" s="12">
        <f t="shared" si="1"/>
      </c>
      <c r="S18" s="12">
        <f t="shared" si="2"/>
      </c>
      <c r="T18" s="54">
        <f t="shared" si="3"/>
        <v>0</v>
      </c>
      <c r="U18" s="3"/>
      <c r="V18" s="3"/>
      <c r="W18" s="3"/>
    </row>
    <row r="19" spans="1:23" s="104" customFormat="1" ht="12.75" customHeight="1">
      <c r="A19" s="100">
        <v>10</v>
      </c>
      <c r="B19" s="55">
        <v>38399.333333333336</v>
      </c>
      <c r="C19" s="105">
        <v>38405</v>
      </c>
      <c r="D19" s="102">
        <f>(C19-B19)*24</f>
        <v>135.9999999999418</v>
      </c>
      <c r="E19" s="101" t="s">
        <v>39</v>
      </c>
      <c r="F19" s="103"/>
      <c r="G19" s="106"/>
      <c r="H19" s="105"/>
      <c r="I19" s="105"/>
      <c r="J19" s="102"/>
      <c r="K19" s="102"/>
      <c r="L19" s="107" t="s">
        <v>24</v>
      </c>
      <c r="M19" s="108"/>
      <c r="N19" s="108"/>
      <c r="O19" s="109"/>
      <c r="P19" s="123"/>
      <c r="Q19" s="63">
        <f t="shared" si="0"/>
      </c>
      <c r="R19" s="12">
        <f t="shared" si="1"/>
        <v>1</v>
      </c>
      <c r="S19" s="12">
        <f t="shared" si="2"/>
      </c>
      <c r="T19" s="54">
        <f aca="true" t="shared" si="7" ref="T19:T25">SUM(Q19:S19)</f>
        <v>1</v>
      </c>
      <c r="U19" s="3"/>
      <c r="V19" s="3"/>
      <c r="W19" s="3"/>
    </row>
    <row r="20" spans="1:23" s="104" customFormat="1" ht="12.75">
      <c r="A20" s="85"/>
      <c r="B20" s="86"/>
      <c r="C20" s="86"/>
      <c r="D20" s="87">
        <f>SUM(D19:D19)</f>
        <v>135.9999999999418</v>
      </c>
      <c r="E20" s="88"/>
      <c r="F20" s="89"/>
      <c r="G20" s="90"/>
      <c r="H20" s="86"/>
      <c r="I20" s="86"/>
      <c r="J20" s="87">
        <f>SUM(J19)</f>
        <v>0</v>
      </c>
      <c r="K20" s="87">
        <f>SUM(K9)</f>
        <v>0</v>
      </c>
      <c r="L20" s="91"/>
      <c r="M20" s="92"/>
      <c r="N20" s="92"/>
      <c r="O20" s="93"/>
      <c r="P20" s="88"/>
      <c r="Q20" s="63">
        <f t="shared" si="0"/>
      </c>
      <c r="R20" s="12">
        <f t="shared" si="1"/>
      </c>
      <c r="S20" s="12">
        <f t="shared" si="2"/>
      </c>
      <c r="T20" s="54">
        <f t="shared" si="7"/>
        <v>0</v>
      </c>
      <c r="U20" s="3"/>
      <c r="V20" s="3"/>
      <c r="W20" s="3"/>
    </row>
    <row r="21" spans="1:23" s="138" customFormat="1" ht="12.75">
      <c r="A21" s="148">
        <v>11</v>
      </c>
      <c r="B21" s="139">
        <v>38405.333333333336</v>
      </c>
      <c r="C21" s="139">
        <v>38411.05416666667</v>
      </c>
      <c r="D21" s="102">
        <f>(C21-B21)*24</f>
        <v>137.29999999998836</v>
      </c>
      <c r="E21" s="140" t="s">
        <v>57</v>
      </c>
      <c r="F21" s="141">
        <v>104901</v>
      </c>
      <c r="G21" s="142"/>
      <c r="H21" s="139">
        <v>38411.05416666667</v>
      </c>
      <c r="I21" s="139">
        <v>38411.333333333336</v>
      </c>
      <c r="J21" s="149">
        <f>(I21-H21)*24</f>
        <v>6.7000000000116415</v>
      </c>
      <c r="K21" s="149">
        <f>(I21-H21)*24</f>
        <v>6.7000000000116415</v>
      </c>
      <c r="L21" s="143" t="s">
        <v>58</v>
      </c>
      <c r="M21" s="144" t="s">
        <v>85</v>
      </c>
      <c r="N21" s="144" t="s">
        <v>59</v>
      </c>
      <c r="O21" s="145" t="s">
        <v>26</v>
      </c>
      <c r="P21" s="140" t="s">
        <v>60</v>
      </c>
      <c r="Q21" s="63">
        <f t="shared" si="0"/>
        <v>1</v>
      </c>
      <c r="R21" s="12">
        <f t="shared" si="1"/>
      </c>
      <c r="S21" s="12">
        <f t="shared" si="2"/>
      </c>
      <c r="T21" s="54">
        <f t="shared" si="7"/>
        <v>1</v>
      </c>
      <c r="U21" s="137"/>
      <c r="V21" s="137"/>
      <c r="W21" s="137"/>
    </row>
    <row r="22" spans="1:23" s="104" customFormat="1" ht="12.75">
      <c r="A22" s="85"/>
      <c r="B22" s="86"/>
      <c r="C22" s="86"/>
      <c r="D22" s="87">
        <f>SUM(D21)</f>
        <v>137.29999999998836</v>
      </c>
      <c r="E22" s="87"/>
      <c r="F22" s="87"/>
      <c r="G22" s="87"/>
      <c r="H22" s="87"/>
      <c r="I22" s="87"/>
      <c r="J22" s="87">
        <f>SUM(J21)</f>
        <v>6.7000000000116415</v>
      </c>
      <c r="K22" s="87">
        <f>SUM(K21)</f>
        <v>6.7000000000116415</v>
      </c>
      <c r="L22" s="91"/>
      <c r="M22" s="92"/>
      <c r="N22" s="92"/>
      <c r="O22" s="93"/>
      <c r="P22" s="88"/>
      <c r="Q22" s="63">
        <f t="shared" si="0"/>
      </c>
      <c r="R22" s="12">
        <f t="shared" si="1"/>
      </c>
      <c r="S22" s="12">
        <f t="shared" si="2"/>
      </c>
      <c r="T22" s="54">
        <f t="shared" si="7"/>
        <v>0</v>
      </c>
      <c r="U22" s="3"/>
      <c r="V22" s="3"/>
      <c r="W22" s="3"/>
    </row>
    <row r="23" spans="1:23" s="138" customFormat="1" ht="12.75">
      <c r="A23" s="148">
        <v>12</v>
      </c>
      <c r="B23" s="139">
        <v>38413.333333333336</v>
      </c>
      <c r="C23" s="139">
        <v>38418.48055555556</v>
      </c>
      <c r="D23" s="127">
        <f>(C23-B23)*24</f>
        <v>123.53333333332557</v>
      </c>
      <c r="E23" s="140" t="s">
        <v>61</v>
      </c>
      <c r="F23" s="141">
        <v>104904</v>
      </c>
      <c r="G23" s="142"/>
      <c r="H23" s="139">
        <v>38418.48055555556</v>
      </c>
      <c r="I23" s="139">
        <v>38418.501388888886</v>
      </c>
      <c r="J23" s="149">
        <f>(I23-H23)*24</f>
        <v>0.4999999998835847</v>
      </c>
      <c r="K23" s="149">
        <f>(I23-H23)*24</f>
        <v>0.4999999998835847</v>
      </c>
      <c r="L23" s="143" t="s">
        <v>37</v>
      </c>
      <c r="M23" s="144" t="s">
        <v>37</v>
      </c>
      <c r="N23" s="144" t="s">
        <v>37</v>
      </c>
      <c r="O23" s="145" t="s">
        <v>26</v>
      </c>
      <c r="P23" s="140" t="s">
        <v>62</v>
      </c>
      <c r="Q23" s="63">
        <f t="shared" si="0"/>
        <v>1</v>
      </c>
      <c r="R23" s="12">
        <f t="shared" si="1"/>
      </c>
      <c r="S23" s="12">
        <f t="shared" si="2"/>
      </c>
      <c r="T23" s="54">
        <f t="shared" si="7"/>
        <v>1</v>
      </c>
      <c r="U23" s="137"/>
      <c r="V23" s="137"/>
      <c r="W23" s="137"/>
    </row>
    <row r="24" spans="1:23" s="104" customFormat="1" ht="12.75" customHeight="1">
      <c r="A24" s="100">
        <v>13</v>
      </c>
      <c r="B24" s="55">
        <v>38418.501388888886</v>
      </c>
      <c r="C24" s="105">
        <v>38418.67361111111</v>
      </c>
      <c r="D24" s="102">
        <f>(C24-B24)*24</f>
        <v>4.133333333360497</v>
      </c>
      <c r="E24" s="101" t="s">
        <v>39</v>
      </c>
      <c r="F24" s="103"/>
      <c r="G24" s="106"/>
      <c r="H24" s="105"/>
      <c r="I24" s="105"/>
      <c r="J24" s="102"/>
      <c r="K24" s="102"/>
      <c r="L24" s="107" t="s">
        <v>24</v>
      </c>
      <c r="M24" s="108"/>
      <c r="N24" s="108"/>
      <c r="O24" s="109"/>
      <c r="P24" s="123"/>
      <c r="Q24" s="63">
        <f t="shared" si="0"/>
      </c>
      <c r="R24" s="12">
        <f t="shared" si="1"/>
        <v>1</v>
      </c>
      <c r="S24" s="12">
        <f t="shared" si="2"/>
      </c>
      <c r="T24" s="54">
        <f t="shared" si="7"/>
        <v>1</v>
      </c>
      <c r="U24" s="3"/>
      <c r="V24" s="3"/>
      <c r="W24" s="3"/>
    </row>
    <row r="25" spans="1:23" s="104" customFormat="1" ht="12.75">
      <c r="A25" s="85"/>
      <c r="B25" s="86"/>
      <c r="C25" s="86"/>
      <c r="D25" s="87">
        <f>SUM(D23:D24)</f>
        <v>127.66666666668607</v>
      </c>
      <c r="E25" s="87"/>
      <c r="F25" s="87"/>
      <c r="G25" s="87"/>
      <c r="H25" s="87"/>
      <c r="I25" s="87"/>
      <c r="J25" s="87">
        <f>SUM(J23)</f>
        <v>0.4999999998835847</v>
      </c>
      <c r="K25" s="87">
        <f>SUM(K23)</f>
        <v>0.4999999998835847</v>
      </c>
      <c r="L25" s="91"/>
      <c r="M25" s="92"/>
      <c r="N25" s="92"/>
      <c r="O25" s="93"/>
      <c r="P25" s="88"/>
      <c r="Q25" s="63">
        <f t="shared" si="0"/>
      </c>
      <c r="R25" s="12">
        <f t="shared" si="1"/>
      </c>
      <c r="S25" s="12">
        <f t="shared" si="2"/>
      </c>
      <c r="T25" s="54">
        <f t="shared" si="7"/>
        <v>0</v>
      </c>
      <c r="U25" s="3"/>
      <c r="V25" s="3"/>
      <c r="W25" s="3"/>
    </row>
    <row r="26" spans="1:23" s="104" customFormat="1" ht="12.75" customHeight="1">
      <c r="A26" s="100">
        <v>14</v>
      </c>
      <c r="B26" s="55">
        <v>38419.333333333336</v>
      </c>
      <c r="C26" s="105">
        <v>38425.333333333336</v>
      </c>
      <c r="D26" s="102">
        <f>(C26-B26)*24</f>
        <v>144</v>
      </c>
      <c r="E26" s="101" t="s">
        <v>39</v>
      </c>
      <c r="F26" s="103"/>
      <c r="G26" s="106"/>
      <c r="H26" s="105"/>
      <c r="I26" s="105"/>
      <c r="J26" s="102"/>
      <c r="K26" s="102"/>
      <c r="L26" s="107" t="s">
        <v>24</v>
      </c>
      <c r="M26" s="108"/>
      <c r="N26" s="108"/>
      <c r="O26" s="109"/>
      <c r="P26" s="123"/>
      <c r="Q26" s="63">
        <f t="shared" si="0"/>
      </c>
      <c r="R26" s="12">
        <f t="shared" si="1"/>
        <v>1</v>
      </c>
      <c r="S26" s="12">
        <f t="shared" si="2"/>
      </c>
      <c r="T26" s="54">
        <f aca="true" t="shared" si="8" ref="T26:T34">SUM(Q26:S26)</f>
        <v>1</v>
      </c>
      <c r="U26" s="3"/>
      <c r="V26" s="3"/>
      <c r="W26" s="3"/>
    </row>
    <row r="27" spans="1:23" s="104" customFormat="1" ht="12.75">
      <c r="A27" s="85"/>
      <c r="B27" s="86"/>
      <c r="C27" s="86"/>
      <c r="D27" s="87">
        <f>SUM(D26:D26)</f>
        <v>144</v>
      </c>
      <c r="E27" s="88"/>
      <c r="F27" s="89"/>
      <c r="G27" s="90"/>
      <c r="H27" s="86"/>
      <c r="I27" s="86"/>
      <c r="J27" s="87">
        <f>SUM(J26)</f>
        <v>0</v>
      </c>
      <c r="K27" s="87">
        <f>SUM(K26)</f>
        <v>0</v>
      </c>
      <c r="L27" s="91"/>
      <c r="M27" s="92"/>
      <c r="N27" s="92"/>
      <c r="O27" s="93"/>
      <c r="P27" s="88"/>
      <c r="Q27" s="63">
        <f t="shared" si="0"/>
      </c>
      <c r="R27" s="12">
        <f t="shared" si="1"/>
      </c>
      <c r="S27" s="12">
        <f t="shared" si="2"/>
      </c>
      <c r="T27" s="54">
        <f t="shared" si="8"/>
        <v>0</v>
      </c>
      <c r="U27" s="3"/>
      <c r="V27" s="3"/>
      <c r="W27" s="3"/>
    </row>
    <row r="28" spans="1:23" s="104" customFormat="1" ht="12.75" customHeight="1">
      <c r="A28" s="100">
        <v>15</v>
      </c>
      <c r="B28" s="105"/>
      <c r="C28" s="105"/>
      <c r="D28" s="102">
        <f>(C28-B28)*24</f>
        <v>0</v>
      </c>
      <c r="E28" s="101" t="s">
        <v>64</v>
      </c>
      <c r="F28" s="103">
        <v>104911</v>
      </c>
      <c r="G28" s="106"/>
      <c r="H28" s="105">
        <v>38427.333333333336</v>
      </c>
      <c r="I28" s="105">
        <v>38427.393055555556</v>
      </c>
      <c r="J28" s="150">
        <f>(I28-H28)*24</f>
        <v>1.4333333332906477</v>
      </c>
      <c r="K28" s="150">
        <f>(I28-H28)*24</f>
        <v>1.4333333332906477</v>
      </c>
      <c r="L28" s="107" t="s">
        <v>48</v>
      </c>
      <c r="M28" s="108" t="s">
        <v>48</v>
      </c>
      <c r="N28" s="108" t="s">
        <v>48</v>
      </c>
      <c r="O28" s="109" t="s">
        <v>35</v>
      </c>
      <c r="P28" s="123" t="s">
        <v>63</v>
      </c>
      <c r="Q28" s="63">
        <f t="shared" si="0"/>
      </c>
      <c r="R28" s="12">
        <f t="shared" si="1"/>
      </c>
      <c r="S28" s="12">
        <f t="shared" si="2"/>
        <v>1</v>
      </c>
      <c r="T28" s="54">
        <f t="shared" si="8"/>
        <v>1</v>
      </c>
      <c r="U28" s="3"/>
      <c r="V28" s="3"/>
      <c r="W28" s="3"/>
    </row>
    <row r="29" spans="1:23" s="104" customFormat="1" ht="12.75" customHeight="1">
      <c r="A29" s="100">
        <v>16</v>
      </c>
      <c r="B29" s="55">
        <v>38427.393055555556</v>
      </c>
      <c r="C29" s="105">
        <v>38432.666666666664</v>
      </c>
      <c r="D29" s="102">
        <f>(C29-B29)*24</f>
        <v>126.56666666659294</v>
      </c>
      <c r="E29" s="101" t="s">
        <v>39</v>
      </c>
      <c r="F29" s="103"/>
      <c r="G29" s="106"/>
      <c r="H29" s="105"/>
      <c r="I29" s="105"/>
      <c r="J29" s="102"/>
      <c r="K29" s="102"/>
      <c r="L29" s="107" t="s">
        <v>24</v>
      </c>
      <c r="M29" s="108"/>
      <c r="N29" s="108"/>
      <c r="O29" s="109"/>
      <c r="P29" s="123"/>
      <c r="Q29" s="63">
        <f t="shared" si="0"/>
      </c>
      <c r="R29" s="12">
        <f t="shared" si="1"/>
        <v>1</v>
      </c>
      <c r="S29" s="12">
        <f t="shared" si="2"/>
      </c>
      <c r="T29" s="54">
        <f t="shared" si="8"/>
        <v>1</v>
      </c>
      <c r="U29" s="3"/>
      <c r="V29" s="3"/>
      <c r="W29" s="3"/>
    </row>
    <row r="30" spans="1:23" s="104" customFormat="1" ht="12.75">
      <c r="A30" s="85"/>
      <c r="B30" s="86"/>
      <c r="C30" s="86"/>
      <c r="D30" s="87">
        <f>SUM(D28:D29)</f>
        <v>126.56666666659294</v>
      </c>
      <c r="E30" s="88"/>
      <c r="F30" s="89"/>
      <c r="G30" s="90"/>
      <c r="H30" s="86"/>
      <c r="I30" s="86"/>
      <c r="J30" s="87">
        <f>SUM(J28)</f>
        <v>1.4333333332906477</v>
      </c>
      <c r="K30" s="87">
        <f>SUM(K28)</f>
        <v>1.4333333332906477</v>
      </c>
      <c r="L30" s="91"/>
      <c r="M30" s="92"/>
      <c r="N30" s="92"/>
      <c r="O30" s="93"/>
      <c r="P30" s="88"/>
      <c r="Q30" s="63">
        <f t="shared" si="0"/>
      </c>
      <c r="R30" s="12">
        <f t="shared" si="1"/>
      </c>
      <c r="S30" s="12">
        <f t="shared" si="2"/>
      </c>
      <c r="T30" s="54">
        <f t="shared" si="8"/>
        <v>0</v>
      </c>
      <c r="U30" s="3"/>
      <c r="V30" s="3"/>
      <c r="W30" s="3"/>
    </row>
    <row r="31" spans="1:23" s="104" customFormat="1" ht="12.75">
      <c r="A31" s="100">
        <v>17</v>
      </c>
      <c r="B31" s="105">
        <v>38433.333333333336</v>
      </c>
      <c r="C31" s="105">
        <v>38435.532638888886</v>
      </c>
      <c r="D31" s="102">
        <f>(C31-B31)*24</f>
        <v>52.78333333320916</v>
      </c>
      <c r="E31" s="101" t="s">
        <v>65</v>
      </c>
      <c r="F31" s="103">
        <v>104914</v>
      </c>
      <c r="G31" s="106"/>
      <c r="H31" s="105">
        <v>38435.532638888886</v>
      </c>
      <c r="I31" s="105">
        <v>38435.59027777778</v>
      </c>
      <c r="J31" s="64">
        <f>(I31-H31)*24</f>
        <v>1.3833333334769122</v>
      </c>
      <c r="K31" s="102">
        <f>(I31-H31)*24</f>
        <v>1.3833333334769122</v>
      </c>
      <c r="L31" s="107" t="s">
        <v>37</v>
      </c>
      <c r="M31" s="108" t="s">
        <v>37</v>
      </c>
      <c r="N31" s="108" t="s">
        <v>37</v>
      </c>
      <c r="O31" s="109" t="s">
        <v>26</v>
      </c>
      <c r="P31" s="101" t="s">
        <v>68</v>
      </c>
      <c r="Q31" s="63">
        <f t="shared" si="0"/>
        <v>1</v>
      </c>
      <c r="R31" s="12">
        <f t="shared" si="1"/>
      </c>
      <c r="S31" s="12">
        <f t="shared" si="2"/>
      </c>
      <c r="T31" s="54">
        <f t="shared" si="8"/>
        <v>1</v>
      </c>
      <c r="U31" s="3"/>
      <c r="V31" s="3"/>
      <c r="W31" s="3"/>
    </row>
    <row r="32" spans="1:23" s="138" customFormat="1" ht="12.75" customHeight="1">
      <c r="A32" s="100">
        <v>18</v>
      </c>
      <c r="B32" s="139">
        <v>38435.59027777778</v>
      </c>
      <c r="C32" s="139">
        <v>38437.17916666667</v>
      </c>
      <c r="D32" s="127">
        <f>(C32-B32)*24</f>
        <v>38.13333333330229</v>
      </c>
      <c r="E32" s="140" t="s">
        <v>66</v>
      </c>
      <c r="F32" s="141">
        <v>104915</v>
      </c>
      <c r="G32" s="142"/>
      <c r="H32" s="139">
        <v>38437.17916666667</v>
      </c>
      <c r="I32" s="139">
        <v>38437.19097222222</v>
      </c>
      <c r="J32" s="131">
        <f>(I32-H32)*24</f>
        <v>0.283333333209157</v>
      </c>
      <c r="K32" s="127">
        <f>(I32-H32)*24</f>
        <v>0.283333333209157</v>
      </c>
      <c r="L32" s="143" t="s">
        <v>44</v>
      </c>
      <c r="M32" s="144" t="s">
        <v>44</v>
      </c>
      <c r="N32" s="144" t="s">
        <v>44</v>
      </c>
      <c r="O32" s="145" t="s">
        <v>26</v>
      </c>
      <c r="P32" s="146" t="s">
        <v>69</v>
      </c>
      <c r="Q32" s="147">
        <f t="shared" si="0"/>
        <v>1</v>
      </c>
      <c r="R32" s="135">
        <f t="shared" si="1"/>
      </c>
      <c r="S32" s="135">
        <f t="shared" si="2"/>
      </c>
      <c r="T32" s="136">
        <f t="shared" si="8"/>
        <v>1</v>
      </c>
      <c r="U32" s="137"/>
      <c r="V32" s="137"/>
      <c r="W32" s="137"/>
    </row>
    <row r="33" spans="1:23" s="104" customFormat="1" ht="12.75" customHeight="1">
      <c r="A33" s="100">
        <v>19</v>
      </c>
      <c r="B33" s="55">
        <v>38437.19097222222</v>
      </c>
      <c r="C33" s="105">
        <v>38439.979166666664</v>
      </c>
      <c r="D33" s="102">
        <f>(C33-B33)*24</f>
        <v>66.91666666668607</v>
      </c>
      <c r="E33" s="101" t="s">
        <v>67</v>
      </c>
      <c r="F33" s="103">
        <v>104916</v>
      </c>
      <c r="G33" s="106"/>
      <c r="H33" s="105">
        <v>38439.979166666664</v>
      </c>
      <c r="I33" s="105">
        <v>38440</v>
      </c>
      <c r="J33" s="64">
        <f>(I33-H33)*24</f>
        <v>0.5000000000582077</v>
      </c>
      <c r="K33" s="102">
        <f>(I33-H33)*24</f>
        <v>0.5000000000582077</v>
      </c>
      <c r="L33" s="107" t="s">
        <v>48</v>
      </c>
      <c r="M33" s="108" t="s">
        <v>48</v>
      </c>
      <c r="N33" s="108" t="s">
        <v>48</v>
      </c>
      <c r="O33" s="109" t="s">
        <v>26</v>
      </c>
      <c r="P33" s="123" t="s">
        <v>70</v>
      </c>
      <c r="Q33" s="63">
        <f t="shared" si="0"/>
        <v>1</v>
      </c>
      <c r="R33" s="12">
        <f t="shared" si="1"/>
      </c>
      <c r="S33" s="12">
        <f t="shared" si="2"/>
      </c>
      <c r="T33" s="54">
        <f t="shared" si="8"/>
        <v>1</v>
      </c>
      <c r="U33" s="3"/>
      <c r="V33" s="3"/>
      <c r="W33" s="3"/>
    </row>
    <row r="34" spans="1:23" s="104" customFormat="1" ht="12.75">
      <c r="A34" s="85"/>
      <c r="B34" s="86"/>
      <c r="C34" s="86"/>
      <c r="D34" s="87">
        <f>SUM(D31:D33)</f>
        <v>157.83333333319752</v>
      </c>
      <c r="E34" s="88"/>
      <c r="F34" s="89"/>
      <c r="G34" s="90"/>
      <c r="H34" s="86"/>
      <c r="I34" s="86"/>
      <c r="J34" s="87">
        <f>SUM(J31:J33)</f>
        <v>2.166666666744277</v>
      </c>
      <c r="K34" s="87">
        <f>SUM(K31:K33)</f>
        <v>2.166666666744277</v>
      </c>
      <c r="L34" s="91"/>
      <c r="M34" s="92"/>
      <c r="N34" s="92"/>
      <c r="O34" s="93"/>
      <c r="P34" s="88"/>
      <c r="Q34" s="63">
        <f t="shared" si="0"/>
      </c>
      <c r="R34" s="12">
        <f t="shared" si="1"/>
      </c>
      <c r="S34" s="12">
        <f t="shared" si="2"/>
      </c>
      <c r="T34" s="54">
        <f t="shared" si="8"/>
        <v>0</v>
      </c>
      <c r="U34" s="3"/>
      <c r="V34" s="3"/>
      <c r="W34" s="3"/>
    </row>
    <row r="35" spans="1:23" s="138" customFormat="1" ht="12.75">
      <c r="A35" s="148"/>
      <c r="B35" s="139"/>
      <c r="C35" s="139"/>
      <c r="D35" s="149"/>
      <c r="E35" s="140"/>
      <c r="F35" s="141">
        <v>104917</v>
      </c>
      <c r="G35" s="142"/>
      <c r="H35" s="139">
        <v>38440.333333333336</v>
      </c>
      <c r="I35" s="139">
        <v>38440.384722222225</v>
      </c>
      <c r="J35" s="131"/>
      <c r="K35" s="127"/>
      <c r="L35" s="143"/>
      <c r="M35" s="144"/>
      <c r="N35" s="144"/>
      <c r="O35" s="145"/>
      <c r="P35" s="140" t="s">
        <v>76</v>
      </c>
      <c r="Q35" s="147">
        <f t="shared" si="0"/>
      </c>
      <c r="R35" s="135"/>
      <c r="S35" s="135"/>
      <c r="T35" s="136"/>
      <c r="U35" s="137"/>
      <c r="V35" s="137"/>
      <c r="W35" s="137"/>
    </row>
    <row r="36" spans="1:23" s="104" customFormat="1" ht="12.75">
      <c r="A36" s="100"/>
      <c r="B36" s="105"/>
      <c r="C36" s="105"/>
      <c r="D36" s="151"/>
      <c r="E36" s="101"/>
      <c r="F36" s="152"/>
      <c r="G36" s="153"/>
      <c r="H36" s="154">
        <v>38440.333333333336</v>
      </c>
      <c r="I36" s="154">
        <v>38440.34722222222</v>
      </c>
      <c r="J36" s="155">
        <f>(I36-H36)*24</f>
        <v>0.33333333319751546</v>
      </c>
      <c r="K36" s="156">
        <f>(I36-H36)*24</f>
        <v>0.33333333319751546</v>
      </c>
      <c r="L36" s="157" t="s">
        <v>48</v>
      </c>
      <c r="M36" s="158" t="s">
        <v>48</v>
      </c>
      <c r="N36" s="158" t="s">
        <v>48</v>
      </c>
      <c r="O36" s="159" t="s">
        <v>35</v>
      </c>
      <c r="P36" s="160"/>
      <c r="Q36" s="63">
        <f t="shared" si="0"/>
      </c>
      <c r="R36" s="12">
        <f t="shared" si="1"/>
      </c>
      <c r="S36" s="12">
        <f t="shared" si="2"/>
        <v>1</v>
      </c>
      <c r="T36" s="54">
        <f aca="true" t="shared" si="9" ref="T36:T44">SUM(Q36:S36)</f>
        <v>1</v>
      </c>
      <c r="U36" s="3"/>
      <c r="V36" s="3"/>
      <c r="W36" s="3"/>
    </row>
    <row r="37" spans="1:23" s="104" customFormat="1" ht="12.75">
      <c r="A37" s="100"/>
      <c r="B37" s="105"/>
      <c r="C37" s="105"/>
      <c r="D37" s="151"/>
      <c r="E37" s="101"/>
      <c r="F37" s="97"/>
      <c r="G37" s="60"/>
      <c r="H37" s="61">
        <v>38440.34722222222</v>
      </c>
      <c r="I37" s="61">
        <v>38440.384722222225</v>
      </c>
      <c r="J37" s="161">
        <f>(I37-H37)*24</f>
        <v>0.9000000001396984</v>
      </c>
      <c r="K37" s="62">
        <f>(I37-H37)*24</f>
        <v>0.9000000001396984</v>
      </c>
      <c r="L37" s="98" t="s">
        <v>37</v>
      </c>
      <c r="M37" s="73" t="s">
        <v>37</v>
      </c>
      <c r="N37" s="73" t="s">
        <v>37</v>
      </c>
      <c r="O37" s="99" t="s">
        <v>35</v>
      </c>
      <c r="P37" s="162"/>
      <c r="Q37" s="63">
        <f t="shared" si="0"/>
      </c>
      <c r="R37" s="12">
        <f t="shared" si="1"/>
      </c>
      <c r="S37" s="12">
        <f t="shared" si="2"/>
        <v>1</v>
      </c>
      <c r="T37" s="54">
        <f t="shared" si="9"/>
        <v>1</v>
      </c>
      <c r="U37" s="3"/>
      <c r="V37" s="3"/>
      <c r="W37" s="3"/>
    </row>
    <row r="38" spans="1:23" s="104" customFormat="1" ht="12.75">
      <c r="A38" s="100">
        <v>21</v>
      </c>
      <c r="B38" s="105">
        <v>38440.384722222225</v>
      </c>
      <c r="C38" s="105">
        <v>38441.822916666664</v>
      </c>
      <c r="D38" s="102">
        <f>(C38-B38)*24</f>
        <v>34.51666666654637</v>
      </c>
      <c r="E38" s="101" t="s">
        <v>71</v>
      </c>
      <c r="F38" s="103">
        <v>104920</v>
      </c>
      <c r="G38" s="106"/>
      <c r="H38" s="105">
        <v>38441.822916666664</v>
      </c>
      <c r="I38" s="105">
        <v>38441.854166666664</v>
      </c>
      <c r="J38" s="64">
        <f>(I38-H38)*24</f>
        <v>0.75</v>
      </c>
      <c r="K38" s="102">
        <f>(I38-H38)*24</f>
        <v>0.75</v>
      </c>
      <c r="L38" s="107" t="s">
        <v>54</v>
      </c>
      <c r="M38" s="108" t="s">
        <v>54</v>
      </c>
      <c r="N38" s="108" t="s">
        <v>54</v>
      </c>
      <c r="O38" s="109" t="s">
        <v>75</v>
      </c>
      <c r="P38" s="101" t="s">
        <v>73</v>
      </c>
      <c r="Q38" s="63">
        <v>1</v>
      </c>
      <c r="R38" s="12">
        <f t="shared" si="1"/>
      </c>
      <c r="S38" s="12">
        <f t="shared" si="2"/>
      </c>
      <c r="T38" s="54">
        <f t="shared" si="9"/>
        <v>1</v>
      </c>
      <c r="U38" s="3"/>
      <c r="V38" s="3"/>
      <c r="W38" s="3"/>
    </row>
    <row r="39" spans="1:23" s="138" customFormat="1" ht="12.75" customHeight="1">
      <c r="A39" s="100">
        <v>22</v>
      </c>
      <c r="B39" s="139">
        <v>38441.854166666664</v>
      </c>
      <c r="C39" s="139">
        <v>38442.05763888889</v>
      </c>
      <c r="D39" s="127">
        <f>(C39-B39)*24</f>
        <v>4.883333333360497</v>
      </c>
      <c r="E39" s="140" t="s">
        <v>72</v>
      </c>
      <c r="F39" s="141">
        <v>104921</v>
      </c>
      <c r="G39" s="142"/>
      <c r="H39" s="139">
        <v>38442.05763888889</v>
      </c>
      <c r="I39" s="139">
        <v>38442.11875</v>
      </c>
      <c r="J39" s="131">
        <f>(I39-H39)*24</f>
        <v>1.4666666667326353</v>
      </c>
      <c r="K39" s="127">
        <f>(I39-H39)*24</f>
        <v>1.4666666667326353</v>
      </c>
      <c r="L39" s="143" t="s">
        <v>37</v>
      </c>
      <c r="M39" s="144" t="s">
        <v>37</v>
      </c>
      <c r="N39" s="144" t="s">
        <v>37</v>
      </c>
      <c r="O39" s="145" t="s">
        <v>26</v>
      </c>
      <c r="P39" s="146" t="s">
        <v>74</v>
      </c>
      <c r="Q39" s="147">
        <f t="shared" si="0"/>
        <v>1</v>
      </c>
      <c r="R39" s="135">
        <f t="shared" si="1"/>
      </c>
      <c r="S39" s="135">
        <f t="shared" si="2"/>
      </c>
      <c r="T39" s="136">
        <f t="shared" si="9"/>
        <v>1</v>
      </c>
      <c r="U39" s="137"/>
      <c r="V39" s="137"/>
      <c r="W39" s="137"/>
    </row>
    <row r="40" spans="1:23" s="104" customFormat="1" ht="12.75" customHeight="1">
      <c r="A40" s="100">
        <v>23</v>
      </c>
      <c r="B40" s="55">
        <v>38442.11875</v>
      </c>
      <c r="C40" s="105">
        <v>38446.333333333336</v>
      </c>
      <c r="D40" s="102">
        <f>(C40-B40)*24-1</f>
        <v>100.15000000002328</v>
      </c>
      <c r="E40" s="101" t="s">
        <v>39</v>
      </c>
      <c r="F40" s="103"/>
      <c r="G40" s="106"/>
      <c r="H40" s="105"/>
      <c r="I40" s="105"/>
      <c r="J40" s="64">
        <f>(I40-H40)*24</f>
        <v>0</v>
      </c>
      <c r="K40" s="102">
        <f>(I40-H40)*24</f>
        <v>0</v>
      </c>
      <c r="L40" s="107" t="s">
        <v>24</v>
      </c>
      <c r="M40" s="108"/>
      <c r="N40" s="108"/>
      <c r="O40" s="109"/>
      <c r="P40" s="123"/>
      <c r="Q40" s="63">
        <f t="shared" si="0"/>
      </c>
      <c r="R40" s="12">
        <f t="shared" si="1"/>
        <v>1</v>
      </c>
      <c r="S40" s="12">
        <f t="shared" si="2"/>
      </c>
      <c r="T40" s="54">
        <f t="shared" si="9"/>
        <v>1</v>
      </c>
      <c r="U40" s="3"/>
      <c r="V40" s="3"/>
      <c r="W40" s="3"/>
    </row>
    <row r="41" spans="1:23" s="104" customFormat="1" ht="12.75">
      <c r="A41" s="85"/>
      <c r="B41" s="86"/>
      <c r="C41" s="86"/>
      <c r="D41" s="87">
        <f>SUM(D38:D40)</f>
        <v>139.54999999993015</v>
      </c>
      <c r="E41" s="88"/>
      <c r="F41" s="89"/>
      <c r="G41" s="90"/>
      <c r="H41" s="86"/>
      <c r="I41" s="86"/>
      <c r="J41" s="87">
        <f>SUM(J36:J40)</f>
        <v>3.450000000069849</v>
      </c>
      <c r="K41" s="87">
        <f>SUM(K36:K40)</f>
        <v>3.450000000069849</v>
      </c>
      <c r="L41" s="91"/>
      <c r="M41" s="92"/>
      <c r="N41" s="92"/>
      <c r="O41" s="93"/>
      <c r="P41" s="88"/>
      <c r="Q41" s="63">
        <f t="shared" si="0"/>
      </c>
      <c r="R41" s="12">
        <f t="shared" si="1"/>
      </c>
      <c r="S41" s="12">
        <f t="shared" si="2"/>
      </c>
      <c r="T41" s="54">
        <f t="shared" si="9"/>
        <v>0</v>
      </c>
      <c r="U41" s="3"/>
      <c r="V41" s="3"/>
      <c r="W41" s="3"/>
    </row>
    <row r="42" spans="1:23" s="104" customFormat="1" ht="12.75" customHeight="1">
      <c r="A42" s="100">
        <v>24</v>
      </c>
      <c r="B42" s="105">
        <v>38448.333333333336</v>
      </c>
      <c r="C42" s="105">
        <v>38453.447916666664</v>
      </c>
      <c r="D42" s="102">
        <f>(C42-B42)*24</f>
        <v>122.74999999988358</v>
      </c>
      <c r="E42" s="101" t="s">
        <v>78</v>
      </c>
      <c r="F42" s="103">
        <v>104925</v>
      </c>
      <c r="G42" s="106"/>
      <c r="H42" s="105">
        <v>38453.447916666664</v>
      </c>
      <c r="I42" s="105">
        <v>38453.50555555556</v>
      </c>
      <c r="J42" s="163">
        <f>(I42-H42)*24</f>
        <v>1.3833333334769122</v>
      </c>
      <c r="K42" s="163">
        <f>(I42-H42)*24</f>
        <v>1.3833333334769122</v>
      </c>
      <c r="L42" s="107" t="s">
        <v>37</v>
      </c>
      <c r="M42" s="108" t="s">
        <v>37</v>
      </c>
      <c r="N42" s="108" t="s">
        <v>37</v>
      </c>
      <c r="O42" s="109" t="s">
        <v>26</v>
      </c>
      <c r="P42" s="123" t="s">
        <v>77</v>
      </c>
      <c r="Q42" s="63">
        <f t="shared" si="0"/>
        <v>1</v>
      </c>
      <c r="R42" s="12">
        <f t="shared" si="1"/>
      </c>
      <c r="S42" s="12">
        <f t="shared" si="2"/>
      </c>
      <c r="T42" s="54">
        <f t="shared" si="9"/>
        <v>1</v>
      </c>
      <c r="U42" s="3"/>
      <c r="V42" s="3"/>
      <c r="W42" s="3"/>
    </row>
    <row r="43" spans="1:23" s="104" customFormat="1" ht="12.75" customHeight="1">
      <c r="A43" s="100">
        <v>25</v>
      </c>
      <c r="B43" s="55">
        <v>38453.50555555556</v>
      </c>
      <c r="C43" s="105">
        <v>38453.666666666664</v>
      </c>
      <c r="D43" s="102">
        <f>(C43-B43)*24</f>
        <v>3.8666666665230878</v>
      </c>
      <c r="E43" s="101" t="s">
        <v>39</v>
      </c>
      <c r="F43" s="103"/>
      <c r="G43" s="106"/>
      <c r="H43" s="105"/>
      <c r="I43" s="105"/>
      <c r="J43" s="102"/>
      <c r="K43" s="102"/>
      <c r="L43" s="107" t="s">
        <v>24</v>
      </c>
      <c r="M43" s="108"/>
      <c r="N43" s="108"/>
      <c r="O43" s="109"/>
      <c r="P43" s="123"/>
      <c r="Q43" s="63">
        <f t="shared" si="0"/>
      </c>
      <c r="R43" s="12">
        <f t="shared" si="1"/>
        <v>1</v>
      </c>
      <c r="S43" s="12">
        <f t="shared" si="2"/>
      </c>
      <c r="T43" s="54">
        <f t="shared" si="9"/>
        <v>1</v>
      </c>
      <c r="U43" s="3"/>
      <c r="V43" s="3"/>
      <c r="W43" s="3"/>
    </row>
    <row r="44" spans="1:23" s="104" customFormat="1" ht="12.75">
      <c r="A44" s="85"/>
      <c r="B44" s="86"/>
      <c r="C44" s="86"/>
      <c r="D44" s="87">
        <f>SUM(D42:D43)</f>
        <v>126.61666666640667</v>
      </c>
      <c r="E44" s="88"/>
      <c r="F44" s="89"/>
      <c r="G44" s="90"/>
      <c r="H44" s="86"/>
      <c r="I44" s="86"/>
      <c r="J44" s="87">
        <f>SUM(J42)</f>
        <v>1.3833333334769122</v>
      </c>
      <c r="K44" s="87">
        <f>SUM(K42)</f>
        <v>1.3833333334769122</v>
      </c>
      <c r="L44" s="91"/>
      <c r="M44" s="92"/>
      <c r="N44" s="92"/>
      <c r="O44" s="93"/>
      <c r="P44" s="88"/>
      <c r="Q44" s="63">
        <f t="shared" si="0"/>
      </c>
      <c r="R44" s="12">
        <f t="shared" si="1"/>
      </c>
      <c r="S44" s="12">
        <f t="shared" si="2"/>
      </c>
      <c r="T44" s="54">
        <f t="shared" si="9"/>
        <v>0</v>
      </c>
      <c r="U44" s="3"/>
      <c r="V44" s="3"/>
      <c r="W44" s="3"/>
    </row>
    <row r="45" spans="1:23" s="104" customFormat="1" ht="12.75" customHeight="1">
      <c r="A45" s="100">
        <v>26</v>
      </c>
      <c r="B45" s="105">
        <v>38454.333333333336</v>
      </c>
      <c r="C45" s="105">
        <v>38456.525</v>
      </c>
      <c r="D45" s="102">
        <f>(C45-B45)*24</f>
        <v>52.59999999997672</v>
      </c>
      <c r="E45" s="101" t="s">
        <v>107</v>
      </c>
      <c r="F45" s="103">
        <v>104926</v>
      </c>
      <c r="G45" s="106"/>
      <c r="H45" s="105">
        <v>38456.525</v>
      </c>
      <c r="I45" s="105">
        <v>38456.54652777778</v>
      </c>
      <c r="J45" s="163">
        <f>(I45-H45)*24</f>
        <v>0.5166666666045785</v>
      </c>
      <c r="K45" s="163">
        <f>(I45-H45)*24</f>
        <v>0.5166666666045785</v>
      </c>
      <c r="L45" s="107" t="s">
        <v>105</v>
      </c>
      <c r="M45" s="108" t="s">
        <v>105</v>
      </c>
      <c r="N45" s="108" t="s">
        <v>105</v>
      </c>
      <c r="O45" s="109" t="s">
        <v>26</v>
      </c>
      <c r="P45" s="123" t="s">
        <v>106</v>
      </c>
      <c r="Q45" s="63">
        <f t="shared" si="0"/>
        <v>1</v>
      </c>
      <c r="R45" s="12">
        <f t="shared" si="1"/>
      </c>
      <c r="S45" s="12">
        <f t="shared" si="2"/>
      </c>
      <c r="T45" s="54">
        <f>SUM(Q45:S45)</f>
        <v>1</v>
      </c>
      <c r="U45" s="3"/>
      <c r="V45" s="3"/>
      <c r="W45" s="3"/>
    </row>
    <row r="46" spans="1:23" s="104" customFormat="1" ht="12.75" customHeight="1">
      <c r="A46" s="100">
        <v>27</v>
      </c>
      <c r="B46" s="55">
        <v>38456.54652777778</v>
      </c>
      <c r="C46" s="105">
        <v>38463.006944444445</v>
      </c>
      <c r="D46" s="102">
        <f>(C46-B46)*24</f>
        <v>155.05000000004657</v>
      </c>
      <c r="E46" s="101" t="s">
        <v>39</v>
      </c>
      <c r="F46" s="103"/>
      <c r="G46" s="106"/>
      <c r="H46" s="105"/>
      <c r="I46" s="105"/>
      <c r="J46" s="102"/>
      <c r="K46" s="102"/>
      <c r="L46" s="107" t="s">
        <v>24</v>
      </c>
      <c r="M46" s="108"/>
      <c r="N46" s="108"/>
      <c r="O46" s="109"/>
      <c r="P46" s="123"/>
      <c r="Q46" s="63">
        <f t="shared" si="0"/>
      </c>
      <c r="R46" s="12">
        <f t="shared" si="1"/>
        <v>1</v>
      </c>
      <c r="S46" s="12">
        <f t="shared" si="2"/>
      </c>
      <c r="T46" s="54">
        <f>SUM(Q46:S46)</f>
        <v>1</v>
      </c>
      <c r="U46" s="3"/>
      <c r="V46" s="3"/>
      <c r="W46" s="3"/>
    </row>
    <row r="47" spans="1:23" s="104" customFormat="1" ht="12.75">
      <c r="A47" s="85"/>
      <c r="B47" s="86"/>
      <c r="C47" s="86"/>
      <c r="D47" s="87">
        <f>SUM(D45:D46)</f>
        <v>207.65000000002328</v>
      </c>
      <c r="E47" s="88"/>
      <c r="F47" s="89"/>
      <c r="G47" s="90"/>
      <c r="H47" s="86"/>
      <c r="I47" s="86"/>
      <c r="J47" s="87">
        <f>SUM(J45)</f>
        <v>0.5166666666045785</v>
      </c>
      <c r="K47" s="87">
        <f>SUM(K45)</f>
        <v>0.5166666666045785</v>
      </c>
      <c r="L47" s="91"/>
      <c r="M47" s="92"/>
      <c r="N47" s="92"/>
      <c r="O47" s="93"/>
      <c r="P47" s="88"/>
      <c r="Q47" s="63">
        <f t="shared" si="0"/>
      </c>
      <c r="R47" s="12">
        <f t="shared" si="1"/>
      </c>
      <c r="S47" s="12">
        <f t="shared" si="2"/>
      </c>
      <c r="T47" s="54">
        <f>SUM(Q47:S47)</f>
        <v>0</v>
      </c>
      <c r="U47" s="3"/>
      <c r="V47" s="3"/>
      <c r="W47" s="3"/>
    </row>
    <row r="48" spans="1:23" s="104" customFormat="1" ht="12.75">
      <c r="A48" s="111"/>
      <c r="B48" s="55"/>
      <c r="C48" s="55"/>
      <c r="D48" s="112"/>
      <c r="E48" s="113"/>
      <c r="F48" s="114"/>
      <c r="G48" s="115"/>
      <c r="H48" s="55"/>
      <c r="I48" s="55"/>
      <c r="J48" s="112"/>
      <c r="K48" s="112"/>
      <c r="L48" s="116"/>
      <c r="M48" s="117"/>
      <c r="N48" s="117"/>
      <c r="O48" s="118"/>
      <c r="P48" s="113"/>
      <c r="Q48" s="3"/>
      <c r="R48" s="3"/>
      <c r="S48" s="3"/>
      <c r="T48" s="3"/>
      <c r="U48" s="3"/>
      <c r="V48" s="3"/>
      <c r="W48" s="3"/>
    </row>
    <row r="49" spans="1:18" ht="12.75">
      <c r="A49" s="29"/>
      <c r="B49" s="16"/>
      <c r="C49" s="16"/>
      <c r="D49" s="110"/>
      <c r="E49" s="14"/>
      <c r="F49" s="50"/>
      <c r="G49" s="48"/>
      <c r="K49" s="20"/>
      <c r="Q49" s="8"/>
      <c r="R49" s="1">
        <f>IF($P50="Store Lost",1,"")</f>
      </c>
    </row>
    <row r="50" spans="1:18" ht="12.75">
      <c r="A50" s="29"/>
      <c r="B50" s="16"/>
      <c r="C50" s="16"/>
      <c r="D50" s="7"/>
      <c r="E50" s="14"/>
      <c r="F50" s="50"/>
      <c r="G50" s="48"/>
      <c r="K50" s="20"/>
      <c r="Q50" s="8"/>
      <c r="R50" s="1">
        <f>IF($P51="Store Lost",1,"")</f>
      </c>
    </row>
    <row r="51" spans="1:18" ht="14.25" customHeight="1">
      <c r="A51" s="29"/>
      <c r="B51" s="16"/>
      <c r="C51" s="13" t="s">
        <v>15</v>
      </c>
      <c r="D51" s="40">
        <f>Q53</f>
        <v>15</v>
      </c>
      <c r="E51" s="14"/>
      <c r="F51" s="50"/>
      <c r="G51" s="48"/>
      <c r="H51" s="31"/>
      <c r="I51" s="31"/>
      <c r="J51" s="45" t="s">
        <v>8</v>
      </c>
      <c r="K51" s="65"/>
      <c r="L51" s="66"/>
      <c r="M51" s="67"/>
      <c r="N51" s="67"/>
      <c r="O51" s="76"/>
      <c r="P51" s="8"/>
      <c r="R51" s="1">
        <f>IF($L51="Scheduled",1,"")</f>
      </c>
    </row>
    <row r="52" spans="1:18" ht="12.75">
      <c r="A52" s="29"/>
      <c r="B52" s="16"/>
      <c r="C52" s="13" t="s">
        <v>18</v>
      </c>
      <c r="D52" s="40">
        <f>D53-D51</f>
        <v>10</v>
      </c>
      <c r="E52" s="14"/>
      <c r="F52" s="50"/>
      <c r="G52" s="48"/>
      <c r="H52" s="31"/>
      <c r="I52" s="31"/>
      <c r="J52" s="7" t="s">
        <v>9</v>
      </c>
      <c r="K52" s="34" t="s">
        <v>10</v>
      </c>
      <c r="L52" s="66"/>
      <c r="M52" s="67"/>
      <c r="N52" s="67"/>
      <c r="O52" s="76"/>
      <c r="P52" s="8"/>
      <c r="R52" s="1">
        <f>IF($L52="Scheduled",1,"")</f>
      </c>
    </row>
    <row r="53" spans="1:20" ht="13.5" thickBot="1">
      <c r="A53" s="29"/>
      <c r="B53" s="16"/>
      <c r="C53" s="13" t="s">
        <v>14</v>
      </c>
      <c r="D53" s="41">
        <f>COUNT(A6:A49)</f>
        <v>25</v>
      </c>
      <c r="E53" s="14"/>
      <c r="F53" s="50"/>
      <c r="G53" s="48"/>
      <c r="H53" s="31"/>
      <c r="I53" s="31"/>
      <c r="J53" s="25">
        <f>SUM(J6:J47)/2</f>
        <v>22.366666666406672</v>
      </c>
      <c r="K53" s="25">
        <f>SUM(K6:K47)/2</f>
        <v>22.366666666406672</v>
      </c>
      <c r="L53" s="66"/>
      <c r="M53" s="67"/>
      <c r="N53" s="67"/>
      <c r="O53" s="76"/>
      <c r="P53" s="8"/>
      <c r="Q53" s="41">
        <f>SUM(Q1:Q49)</f>
        <v>15</v>
      </c>
      <c r="R53" s="41">
        <f>SUM(R1:R49)</f>
        <v>9</v>
      </c>
      <c r="S53" s="41">
        <f>SUM(S1:S49)</f>
        <v>5</v>
      </c>
      <c r="T53" s="42">
        <f>SUM(Q53:S53)</f>
        <v>29</v>
      </c>
    </row>
    <row r="54" spans="1:19" ht="13.5" thickTop="1">
      <c r="A54" s="29"/>
      <c r="B54" s="16"/>
      <c r="C54" s="13"/>
      <c r="D54" s="7"/>
      <c r="E54" s="14"/>
      <c r="F54" s="50"/>
      <c r="G54" s="48"/>
      <c r="H54" s="31"/>
      <c r="I54" s="31"/>
      <c r="J54" s="7"/>
      <c r="K54" s="33"/>
      <c r="L54" s="66"/>
      <c r="M54" s="67"/>
      <c r="N54" s="67"/>
      <c r="O54" s="66"/>
      <c r="P54" s="8"/>
      <c r="Q54" s="1" t="s">
        <v>27</v>
      </c>
      <c r="R54" s="2" t="s">
        <v>24</v>
      </c>
      <c r="S54" s="1" t="s">
        <v>28</v>
      </c>
    </row>
    <row r="55" spans="1:20" ht="12.75">
      <c r="A55" s="29"/>
      <c r="B55" s="16"/>
      <c r="C55" s="13" t="s">
        <v>11</v>
      </c>
      <c r="D55" s="7">
        <f>SUM(D6:D49)/2</f>
        <v>1616.9666666663252</v>
      </c>
      <c r="E55" s="18">
        <f>D55/24</f>
        <v>67.37361111109688</v>
      </c>
      <c r="F55" s="52" t="s">
        <v>36</v>
      </c>
      <c r="G55" s="48"/>
      <c r="H55" s="31"/>
      <c r="I55" s="31"/>
      <c r="J55" s="7"/>
      <c r="K55" s="33"/>
      <c r="L55" s="66"/>
      <c r="M55" s="67"/>
      <c r="N55" s="67"/>
      <c r="O55" s="66"/>
      <c r="P55" s="8"/>
      <c r="Q55" s="1">
        <f>IF($O57="Store Lost",1,"")</f>
      </c>
      <c r="T55" s="42"/>
    </row>
    <row r="56" spans="1:17" ht="12.75">
      <c r="A56" s="29"/>
      <c r="B56" s="16"/>
      <c r="C56" s="13" t="s">
        <v>12</v>
      </c>
      <c r="D56" s="7">
        <f>J53</f>
        <v>22.366666666406672</v>
      </c>
      <c r="E56" s="14" t="s">
        <v>31</v>
      </c>
      <c r="F56" s="50"/>
      <c r="G56" s="48"/>
      <c r="H56" s="31"/>
      <c r="I56" s="31"/>
      <c r="J56" s="7"/>
      <c r="K56" s="33"/>
      <c r="L56" s="66"/>
      <c r="M56" s="67"/>
      <c r="N56" s="67"/>
      <c r="O56" s="66"/>
      <c r="P56" s="8"/>
      <c r="Q56" s="1">
        <f>IF($O58="Store Lost",1,"")</f>
      </c>
    </row>
    <row r="57" spans="1:29" ht="13.5" thickBot="1">
      <c r="A57" s="29"/>
      <c r="B57" s="16"/>
      <c r="C57" s="13" t="s">
        <v>13</v>
      </c>
      <c r="D57" s="25">
        <f>SUM(D55:D56)</f>
        <v>1639.3333333327319</v>
      </c>
      <c r="E57" s="18"/>
      <c r="F57" s="50"/>
      <c r="G57" s="48"/>
      <c r="H57" s="31"/>
      <c r="I57" s="31"/>
      <c r="J57" s="7"/>
      <c r="K57" s="33"/>
      <c r="L57" s="66"/>
      <c r="M57" s="67"/>
      <c r="N57" s="67"/>
      <c r="O57" s="66"/>
      <c r="P57" s="8"/>
      <c r="Q57" s="1">
        <f>IF($O59="Store Lost",1,"")</f>
      </c>
      <c r="AA57" s="3"/>
      <c r="AB57" s="3"/>
      <c r="AC57" s="3"/>
    </row>
    <row r="58" spans="1:18" ht="13.5" thickTop="1">
      <c r="A58" s="29"/>
      <c r="B58" s="16"/>
      <c r="C58" s="13"/>
      <c r="D58" s="26"/>
      <c r="E58" s="47"/>
      <c r="F58" s="50"/>
      <c r="G58" s="48"/>
      <c r="H58" s="7"/>
      <c r="I58" s="31"/>
      <c r="J58" s="7"/>
      <c r="K58" s="33"/>
      <c r="L58" s="66"/>
      <c r="M58" s="67"/>
      <c r="N58" s="67"/>
      <c r="O58" s="66"/>
      <c r="P58" s="8"/>
      <c r="Q58" s="43">
        <f>Q53+R53</f>
        <v>24</v>
      </c>
      <c r="R58" s="1">
        <f aca="true" t="shared" si="10" ref="R58:R72">IF($P60="Store Lost",1,"")</f>
      </c>
    </row>
    <row r="59" spans="1:26" ht="12.75">
      <c r="A59" s="29"/>
      <c r="B59" s="16"/>
      <c r="C59" s="13"/>
      <c r="D59" s="26"/>
      <c r="E59" s="14"/>
      <c r="F59" s="50"/>
      <c r="G59" s="48"/>
      <c r="H59" s="31"/>
      <c r="I59" s="31"/>
      <c r="J59" s="7"/>
      <c r="K59" s="33"/>
      <c r="L59" s="66"/>
      <c r="M59" s="67"/>
      <c r="N59" s="67"/>
      <c r="O59" s="66"/>
      <c r="P59" s="8"/>
      <c r="Q59" s="8"/>
      <c r="R59" s="1">
        <f t="shared" si="10"/>
      </c>
      <c r="S59" s="3"/>
      <c r="T59" s="3"/>
      <c r="U59" s="3"/>
      <c r="V59" s="3"/>
      <c r="W59" s="3"/>
      <c r="X59" s="3"/>
      <c r="Y59" s="3"/>
      <c r="Z59" s="3"/>
    </row>
    <row r="60" spans="1:18" ht="12.75">
      <c r="A60" s="29"/>
      <c r="B60" s="16"/>
      <c r="C60" s="13" t="s">
        <v>29</v>
      </c>
      <c r="D60" s="27">
        <f>IF(D51,D55/D51,D55)</f>
        <v>107.79777777775502</v>
      </c>
      <c r="E60" s="14"/>
      <c r="F60" s="50"/>
      <c r="G60" s="48"/>
      <c r="J60" s="32"/>
      <c r="K60" s="20"/>
      <c r="Q60" s="8"/>
      <c r="R60" s="1">
        <f t="shared" si="10"/>
      </c>
    </row>
    <row r="61" spans="1:18" ht="12.75">
      <c r="A61" s="29"/>
      <c r="B61" s="16"/>
      <c r="C61" s="13" t="s">
        <v>16</v>
      </c>
      <c r="D61" s="26">
        <f>IF(D51,24/D60,0)</f>
        <v>0.2226390978994059</v>
      </c>
      <c r="E61" s="120"/>
      <c r="F61" s="122"/>
      <c r="G61" s="121"/>
      <c r="K61" s="20"/>
      <c r="Q61" s="8"/>
      <c r="R61" s="1" t="e">
        <f>IF(#REF!="Store Lost",1,"")</f>
        <v>#REF!</v>
      </c>
    </row>
    <row r="62" spans="1:18" ht="12.75">
      <c r="A62" s="29"/>
      <c r="B62" s="16"/>
      <c r="C62" s="13" t="s">
        <v>17</v>
      </c>
      <c r="D62" s="36">
        <f>D55/D57</f>
        <v>0.9863562423751028</v>
      </c>
      <c r="E62" s="21"/>
      <c r="F62" s="50"/>
      <c r="G62" s="48"/>
      <c r="K62" s="20"/>
      <c r="Q62" s="8"/>
      <c r="R62" s="1" t="e">
        <f>IF(#REF!="Store Lost",1,"")</f>
        <v>#REF!</v>
      </c>
    </row>
    <row r="63" spans="1:18" ht="12.75">
      <c r="A63" s="29"/>
      <c r="B63" s="16"/>
      <c r="C63" s="16"/>
      <c r="D63" s="7"/>
      <c r="E63" s="14"/>
      <c r="F63" s="50"/>
      <c r="G63" s="48"/>
      <c r="K63" s="20"/>
      <c r="Q63" s="8"/>
      <c r="R63" s="1">
        <f t="shared" si="10"/>
      </c>
    </row>
    <row r="64" spans="1:18" ht="12.75">
      <c r="A64" s="29"/>
      <c r="B64" s="16"/>
      <c r="C64" s="16"/>
      <c r="D64" s="7"/>
      <c r="E64" s="14"/>
      <c r="F64" s="50"/>
      <c r="G64" s="48"/>
      <c r="K64" s="20"/>
      <c r="Q64" s="8"/>
      <c r="R64" s="1">
        <f t="shared" si="10"/>
      </c>
    </row>
    <row r="65" spans="1:18" ht="12.75">
      <c r="A65" s="29"/>
      <c r="B65" s="16"/>
      <c r="C65" s="16"/>
      <c r="D65" s="7"/>
      <c r="E65" s="14"/>
      <c r="F65" s="50"/>
      <c r="G65" s="48"/>
      <c r="K65" s="20"/>
      <c r="Q65" s="8"/>
      <c r="R65" s="1">
        <f t="shared" si="10"/>
      </c>
    </row>
    <row r="66" spans="1:18" ht="12.75">
      <c r="A66" s="29"/>
      <c r="B66" s="16"/>
      <c r="C66" s="16"/>
      <c r="D66" s="7"/>
      <c r="E66" s="14"/>
      <c r="F66" s="50"/>
      <c r="G66" s="48"/>
      <c r="K66" s="20"/>
      <c r="Q66" s="8"/>
      <c r="R66" s="1">
        <f t="shared" si="10"/>
      </c>
    </row>
    <row r="67" spans="1:18" ht="12.75">
      <c r="A67" s="29"/>
      <c r="B67" s="16"/>
      <c r="C67" s="16"/>
      <c r="D67" s="7"/>
      <c r="E67" s="14"/>
      <c r="F67" s="50"/>
      <c r="G67" s="48"/>
      <c r="K67" s="20"/>
      <c r="Q67" s="8"/>
      <c r="R67" s="1">
        <f t="shared" si="10"/>
      </c>
    </row>
    <row r="68" spans="1:29" s="5" customFormat="1" ht="13.5" thickBot="1">
      <c r="A68" s="29"/>
      <c r="B68" s="16"/>
      <c r="C68" s="16"/>
      <c r="D68" s="7"/>
      <c r="E68" s="14"/>
      <c r="F68" s="50"/>
      <c r="G68" s="48"/>
      <c r="H68" s="32"/>
      <c r="I68" s="32"/>
      <c r="J68" s="22"/>
      <c r="K68" s="20"/>
      <c r="L68" s="74"/>
      <c r="M68" s="75"/>
      <c r="N68" s="75"/>
      <c r="O68" s="74"/>
      <c r="P68" s="9"/>
      <c r="Q68" s="8"/>
      <c r="R68" s="1">
        <f t="shared" si="10"/>
      </c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18" ht="12.75">
      <c r="A69" s="29"/>
      <c r="B69" s="16"/>
      <c r="C69" s="16"/>
      <c r="D69" s="7"/>
      <c r="E69" s="14"/>
      <c r="F69" s="50"/>
      <c r="G69" s="48"/>
      <c r="K69" s="20"/>
      <c r="Q69" s="8"/>
      <c r="R69" s="1">
        <f t="shared" si="10"/>
      </c>
    </row>
    <row r="70" spans="1:18" ht="12.75">
      <c r="A70" s="29"/>
      <c r="B70" s="16"/>
      <c r="C70" s="16"/>
      <c r="D70" s="7"/>
      <c r="E70" s="14"/>
      <c r="F70" s="50"/>
      <c r="G70" s="48"/>
      <c r="K70" s="20"/>
      <c r="Q70" s="8"/>
      <c r="R70" s="1">
        <f t="shared" si="10"/>
      </c>
    </row>
    <row r="71" spans="1:18" ht="12.75">
      <c r="A71" s="29"/>
      <c r="B71" s="16"/>
      <c r="C71" s="16"/>
      <c r="D71" s="7"/>
      <c r="E71" s="14"/>
      <c r="F71" s="50"/>
      <c r="G71" s="48"/>
      <c r="K71" s="20"/>
      <c r="Q71" s="8"/>
      <c r="R71" s="1">
        <f t="shared" si="10"/>
      </c>
    </row>
    <row r="72" spans="1:18" ht="12.75">
      <c r="A72" s="29"/>
      <c r="B72" s="16"/>
      <c r="C72" s="16"/>
      <c r="D72" s="7"/>
      <c r="E72" s="14"/>
      <c r="F72" s="50"/>
      <c r="G72" s="48"/>
      <c r="K72" s="20"/>
      <c r="Q72" s="8"/>
      <c r="R72" s="1">
        <f t="shared" si="10"/>
      </c>
    </row>
    <row r="73" spans="1:11" ht="12.75">
      <c r="A73" s="29"/>
      <c r="B73" s="16"/>
      <c r="C73" s="16"/>
      <c r="D73" s="7"/>
      <c r="E73" s="14"/>
      <c r="F73" s="50"/>
      <c r="G73" s="48"/>
      <c r="K73" s="20"/>
    </row>
    <row r="74" spans="1:11" ht="12.75">
      <c r="A74" s="29"/>
      <c r="B74" s="16"/>
      <c r="C74" s="16"/>
      <c r="D74" s="7"/>
      <c r="E74" s="14"/>
      <c r="F74" s="50"/>
      <c r="G74" s="48"/>
      <c r="K74" s="20"/>
    </row>
    <row r="75" spans="1:16" ht="12.75">
      <c r="A75" s="29"/>
      <c r="B75" s="16"/>
      <c r="C75" s="16"/>
      <c r="D75" s="7"/>
      <c r="E75" s="14"/>
      <c r="F75" s="50"/>
      <c r="G75" s="48"/>
      <c r="H75" s="31"/>
      <c r="I75" s="31"/>
      <c r="J75" s="7"/>
      <c r="K75" s="33"/>
      <c r="L75" s="66"/>
      <c r="M75" s="67"/>
      <c r="N75" s="67"/>
      <c r="O75" s="66"/>
      <c r="P75" s="8"/>
    </row>
    <row r="76" spans="1:16" ht="12.75">
      <c r="A76" s="29"/>
      <c r="B76" s="16"/>
      <c r="C76" s="16"/>
      <c r="E76" s="14"/>
      <c r="F76" s="50"/>
      <c r="G76" s="48"/>
      <c r="H76" s="31"/>
      <c r="I76" s="31"/>
      <c r="L76" s="66"/>
      <c r="M76" s="67"/>
      <c r="N76" s="67"/>
      <c r="O76" s="66"/>
      <c r="P76" s="8"/>
    </row>
    <row r="77" spans="1:29" s="4" customFormat="1" ht="13.5" thickBot="1">
      <c r="A77" s="29"/>
      <c r="B77" s="16"/>
      <c r="C77" s="16"/>
      <c r="D77" s="22"/>
      <c r="E77" s="14"/>
      <c r="F77" s="50"/>
      <c r="G77" s="48"/>
      <c r="H77" s="31"/>
      <c r="I77" s="31"/>
      <c r="J77" s="22"/>
      <c r="K77" s="35"/>
      <c r="L77" s="66"/>
      <c r="M77" s="67"/>
      <c r="N77" s="67"/>
      <c r="O77" s="66"/>
      <c r="P77" s="8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s="3" customFormat="1" ht="14.25" thickBot="1" thickTop="1">
      <c r="A78" s="29"/>
      <c r="B78" s="16"/>
      <c r="C78" s="16"/>
      <c r="D78" s="22"/>
      <c r="E78" s="14"/>
      <c r="F78" s="50"/>
      <c r="G78" s="48"/>
      <c r="H78" s="31"/>
      <c r="I78" s="31"/>
      <c r="J78" s="22"/>
      <c r="K78" s="35"/>
      <c r="L78" s="66"/>
      <c r="M78" s="67"/>
      <c r="N78" s="67"/>
      <c r="O78" s="66"/>
      <c r="P78" s="8"/>
      <c r="Q78" s="1"/>
      <c r="R78" s="1"/>
      <c r="S78" s="1"/>
      <c r="T78" s="1"/>
      <c r="U78" s="1"/>
      <c r="V78" s="1"/>
      <c r="W78" s="1"/>
      <c r="X78" s="1"/>
      <c r="Y78" s="1"/>
      <c r="Z78" s="1"/>
      <c r="AA78" s="5"/>
      <c r="AB78" s="5"/>
      <c r="AC78" s="5"/>
    </row>
    <row r="79" spans="1:16" ht="12.75">
      <c r="A79" s="29"/>
      <c r="B79" s="16"/>
      <c r="C79" s="16"/>
      <c r="F79" s="50"/>
      <c r="G79" s="48"/>
      <c r="H79" s="31"/>
      <c r="I79" s="31"/>
      <c r="L79" s="66"/>
      <c r="M79" s="67"/>
      <c r="N79" s="67"/>
      <c r="O79" s="66"/>
      <c r="P79" s="8"/>
    </row>
    <row r="80" spans="2:26" ht="13.5" thickBot="1">
      <c r="B80" s="16"/>
      <c r="C80" s="16"/>
      <c r="F80" s="50"/>
      <c r="G80" s="48"/>
      <c r="H80" s="31"/>
      <c r="I80" s="31"/>
      <c r="L80" s="66"/>
      <c r="M80" s="67"/>
      <c r="N80" s="67"/>
      <c r="O80" s="66"/>
      <c r="P80" s="8"/>
      <c r="R80" s="5"/>
      <c r="S80" s="5"/>
      <c r="T80" s="5"/>
      <c r="U80" s="5"/>
      <c r="V80" s="5"/>
      <c r="W80" s="5"/>
      <c r="X80" s="5"/>
      <c r="Y80" s="5"/>
      <c r="Z80" s="5"/>
    </row>
    <row r="81" spans="2:16" ht="12.75">
      <c r="B81" s="16"/>
      <c r="C81" s="16"/>
      <c r="F81" s="50"/>
      <c r="G81" s="48"/>
      <c r="H81" s="31"/>
      <c r="I81" s="31"/>
      <c r="L81" s="66"/>
      <c r="M81" s="67"/>
      <c r="N81" s="67"/>
      <c r="O81" s="66"/>
      <c r="P81" s="8"/>
    </row>
    <row r="82" spans="2:17" ht="12.75">
      <c r="B82" s="16"/>
      <c r="C82" s="16"/>
      <c r="F82" s="50"/>
      <c r="G82" s="48"/>
      <c r="H82" s="31"/>
      <c r="I82" s="31"/>
      <c r="L82" s="66"/>
      <c r="M82" s="67"/>
      <c r="N82" s="67"/>
      <c r="O82" s="66"/>
      <c r="P82" s="8"/>
      <c r="Q82" s="1">
        <f aca="true" t="shared" si="11" ref="Q82:Q139">IF($O84="Store Lost",1,"")</f>
      </c>
    </row>
    <row r="83" spans="2:17" ht="12.75">
      <c r="B83" s="16"/>
      <c r="C83" s="16"/>
      <c r="F83" s="50"/>
      <c r="G83" s="48"/>
      <c r="H83" s="31"/>
      <c r="I83" s="31"/>
      <c r="L83" s="66"/>
      <c r="M83" s="67"/>
      <c r="N83" s="67"/>
      <c r="O83" s="66"/>
      <c r="P83" s="8"/>
      <c r="Q83" s="1">
        <f t="shared" si="11"/>
      </c>
    </row>
    <row r="84" spans="2:17" ht="12.75">
      <c r="B84" s="16"/>
      <c r="C84" s="16"/>
      <c r="Q84" s="1">
        <f t="shared" si="11"/>
      </c>
    </row>
    <row r="85" ht="12.75">
      <c r="Q85" s="1">
        <f t="shared" si="11"/>
      </c>
    </row>
    <row r="86" ht="12.75">
      <c r="Q86" s="1">
        <f t="shared" si="11"/>
      </c>
    </row>
    <row r="87" spans="17:29" ht="13.5" thickBot="1">
      <c r="Q87" s="1">
        <f t="shared" si="11"/>
      </c>
      <c r="AA87" s="4"/>
      <c r="AB87" s="4"/>
      <c r="AC87" s="4"/>
    </row>
    <row r="88" spans="17:29" ht="13.5" thickTop="1">
      <c r="Q88" s="1">
        <f t="shared" si="11"/>
      </c>
      <c r="AA88" s="3"/>
      <c r="AB88" s="3"/>
      <c r="AC88" s="3"/>
    </row>
    <row r="89" spans="17:26" ht="13.5" thickBot="1">
      <c r="Q89" s="1">
        <f t="shared" si="11"/>
      </c>
      <c r="R89" s="4"/>
      <c r="S89" s="4"/>
      <c r="T89" s="4"/>
      <c r="U89" s="4"/>
      <c r="V89" s="4"/>
      <c r="W89" s="4"/>
      <c r="X89" s="4"/>
      <c r="Y89" s="4"/>
      <c r="Z89" s="4"/>
    </row>
    <row r="90" spans="17:26" ht="13.5" thickTop="1">
      <c r="Q90" s="1">
        <f t="shared" si="11"/>
      </c>
      <c r="R90" s="3"/>
      <c r="S90" s="3"/>
      <c r="T90" s="3"/>
      <c r="U90" s="3"/>
      <c r="V90" s="3"/>
      <c r="W90" s="3"/>
      <c r="X90" s="3"/>
      <c r="Y90" s="3"/>
      <c r="Z90" s="3"/>
    </row>
    <row r="91" spans="1:29" s="5" customFormat="1" ht="13.5" thickBot="1">
      <c r="A91" s="30"/>
      <c r="B91" s="19"/>
      <c r="C91" s="19"/>
      <c r="D91" s="22"/>
      <c r="E91" s="23"/>
      <c r="F91" s="51"/>
      <c r="G91" s="49"/>
      <c r="H91" s="32"/>
      <c r="I91" s="32"/>
      <c r="J91" s="22"/>
      <c r="K91" s="35"/>
      <c r="L91" s="74"/>
      <c r="M91" s="75"/>
      <c r="N91" s="75"/>
      <c r="O91" s="74"/>
      <c r="P91" s="9"/>
      <c r="Q91" s="1">
        <f t="shared" si="11"/>
      </c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ht="12.75">
      <c r="Q92" s="1">
        <f t="shared" si="11"/>
      </c>
    </row>
    <row r="93" ht="12.75">
      <c r="Q93" s="1">
        <f t="shared" si="11"/>
      </c>
    </row>
    <row r="94" ht="12.75">
      <c r="Q94" s="1">
        <f t="shared" si="11"/>
      </c>
    </row>
    <row r="95" ht="12.75">
      <c r="Q95" s="1">
        <f t="shared" si="11"/>
      </c>
    </row>
    <row r="96" ht="12.75">
      <c r="Q96" s="1">
        <f t="shared" si="11"/>
      </c>
    </row>
    <row r="97" ht="12.75">
      <c r="Q97" s="1">
        <f t="shared" si="11"/>
      </c>
    </row>
    <row r="98" ht="12.75">
      <c r="Q98" s="1">
        <f t="shared" si="11"/>
      </c>
    </row>
    <row r="99" ht="12.75">
      <c r="Q99" s="1">
        <f t="shared" si="11"/>
      </c>
    </row>
    <row r="100" ht="12.75">
      <c r="Q100" s="1">
        <f t="shared" si="11"/>
      </c>
    </row>
    <row r="101" spans="17:29" ht="13.5" thickBot="1">
      <c r="Q101" s="1">
        <f t="shared" si="11"/>
      </c>
      <c r="AA101" s="5"/>
      <c r="AB101" s="5"/>
      <c r="AC101" s="5"/>
    </row>
    <row r="102" ht="12.75">
      <c r="Q102" s="1">
        <f t="shared" si="11"/>
      </c>
    </row>
    <row r="103" spans="17:26" ht="13.5" thickBot="1">
      <c r="Q103" s="1">
        <f t="shared" si="11"/>
      </c>
      <c r="R103" s="5"/>
      <c r="S103" s="5"/>
      <c r="T103" s="5"/>
      <c r="U103" s="5"/>
      <c r="V103" s="5"/>
      <c r="W103" s="5"/>
      <c r="X103" s="5"/>
      <c r="Y103" s="5"/>
      <c r="Z103" s="5"/>
    </row>
    <row r="104" spans="1:29" s="5" customFormat="1" ht="13.5" thickBot="1">
      <c r="A104" s="30"/>
      <c r="B104" s="19"/>
      <c r="C104" s="19"/>
      <c r="D104" s="22"/>
      <c r="E104" s="23"/>
      <c r="F104" s="51"/>
      <c r="G104" s="49"/>
      <c r="H104" s="32"/>
      <c r="I104" s="32"/>
      <c r="J104" s="22"/>
      <c r="K104" s="35"/>
      <c r="L104" s="74"/>
      <c r="M104" s="75"/>
      <c r="N104" s="75"/>
      <c r="O104" s="74"/>
      <c r="P104" s="9"/>
      <c r="Q104" s="1">
        <f t="shared" si="11"/>
      </c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s="3" customFormat="1" ht="12.75">
      <c r="A105" s="30"/>
      <c r="B105" s="19"/>
      <c r="C105" s="19"/>
      <c r="D105" s="22"/>
      <c r="E105" s="23"/>
      <c r="F105" s="51"/>
      <c r="G105" s="49"/>
      <c r="H105" s="32"/>
      <c r="I105" s="32"/>
      <c r="J105" s="22"/>
      <c r="K105" s="35"/>
      <c r="L105" s="74"/>
      <c r="M105" s="75"/>
      <c r="N105" s="75"/>
      <c r="O105" s="74"/>
      <c r="P105" s="9"/>
      <c r="Q105" s="1">
        <f t="shared" si="11"/>
      </c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s="5" customFormat="1" ht="13.5" thickBot="1">
      <c r="A106" s="30"/>
      <c r="B106" s="19"/>
      <c r="C106" s="19"/>
      <c r="D106" s="22"/>
      <c r="E106" s="23"/>
      <c r="F106" s="51"/>
      <c r="G106" s="49"/>
      <c r="H106" s="32"/>
      <c r="I106" s="32"/>
      <c r="J106" s="22"/>
      <c r="K106" s="35"/>
      <c r="L106" s="74"/>
      <c r="M106" s="75"/>
      <c r="N106" s="75"/>
      <c r="O106" s="74"/>
      <c r="P106" s="9"/>
      <c r="Q106" s="1">
        <f t="shared" si="11"/>
      </c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ht="12.75">
      <c r="Q107" s="1">
        <f t="shared" si="11"/>
      </c>
    </row>
    <row r="108" ht="12.75">
      <c r="Q108" s="1">
        <f t="shared" si="11"/>
      </c>
    </row>
    <row r="109" ht="12.75">
      <c r="Q109" s="1">
        <f t="shared" si="11"/>
      </c>
    </row>
    <row r="110" ht="12.75">
      <c r="Q110" s="1">
        <f t="shared" si="11"/>
      </c>
    </row>
    <row r="111" ht="12.75">
      <c r="Q111" s="1">
        <f t="shared" si="11"/>
      </c>
    </row>
    <row r="112" ht="12.75">
      <c r="Q112" s="1">
        <f t="shared" si="11"/>
      </c>
    </row>
    <row r="113" ht="12.75">
      <c r="Q113" s="1">
        <f t="shared" si="11"/>
      </c>
    </row>
    <row r="114" spans="17:29" ht="13.5" thickBot="1">
      <c r="Q114" s="1">
        <f t="shared" si="11"/>
      </c>
      <c r="AA114" s="5"/>
      <c r="AB114" s="5"/>
      <c r="AC114" s="5"/>
    </row>
    <row r="115" spans="17:29" ht="12.75">
      <c r="Q115" s="1">
        <f t="shared" si="11"/>
      </c>
      <c r="AA115" s="3"/>
      <c r="AB115" s="3"/>
      <c r="AC115" s="3"/>
    </row>
    <row r="116" spans="17:29" ht="13.5" thickBot="1">
      <c r="Q116" s="1">
        <f t="shared" si="11"/>
      </c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7:26" ht="12.75">
      <c r="Q117" s="1">
        <f t="shared" si="11"/>
      </c>
      <c r="R117" s="3"/>
      <c r="S117" s="3"/>
      <c r="T117" s="3"/>
      <c r="U117" s="3"/>
      <c r="V117" s="3"/>
      <c r="W117" s="3"/>
      <c r="X117" s="3"/>
      <c r="Y117" s="3"/>
      <c r="Z117" s="3"/>
    </row>
    <row r="118" spans="17:26" ht="13.5" thickBot="1">
      <c r="Q118" s="1">
        <f t="shared" si="11"/>
      </c>
      <c r="R118" s="5"/>
      <c r="S118" s="5"/>
      <c r="T118" s="5"/>
      <c r="U118" s="5"/>
      <c r="V118" s="5"/>
      <c r="W118" s="5"/>
      <c r="X118" s="5"/>
      <c r="Y118" s="5"/>
      <c r="Z118" s="5"/>
    </row>
    <row r="119" ht="12.75">
      <c r="Q119" s="1">
        <f t="shared" si="11"/>
      </c>
    </row>
    <row r="120" ht="12.75">
      <c r="Q120" s="1">
        <f t="shared" si="11"/>
      </c>
    </row>
    <row r="121" ht="12.75">
      <c r="Q121" s="1">
        <f t="shared" si="11"/>
      </c>
    </row>
    <row r="122" ht="12.75">
      <c r="Q122" s="1">
        <f t="shared" si="11"/>
      </c>
    </row>
    <row r="123" ht="12.75">
      <c r="Q123" s="1">
        <f t="shared" si="11"/>
      </c>
    </row>
    <row r="124" ht="12.75">
      <c r="Q124" s="1">
        <f t="shared" si="11"/>
      </c>
    </row>
    <row r="125" ht="12.75">
      <c r="Q125" s="1">
        <f t="shared" si="11"/>
      </c>
    </row>
    <row r="126" ht="12.75">
      <c r="Q126" s="1">
        <f t="shared" si="11"/>
      </c>
    </row>
    <row r="127" spans="1:29" s="5" customFormat="1" ht="13.5" thickBot="1">
      <c r="A127" s="30"/>
      <c r="B127" s="19"/>
      <c r="C127" s="19"/>
      <c r="D127" s="22"/>
      <c r="E127" s="23"/>
      <c r="F127" s="51"/>
      <c r="G127" s="49"/>
      <c r="H127" s="32"/>
      <c r="I127" s="32"/>
      <c r="J127" s="22"/>
      <c r="K127" s="35"/>
      <c r="L127" s="74"/>
      <c r="M127" s="75"/>
      <c r="N127" s="75"/>
      <c r="O127" s="74"/>
      <c r="P127" s="9"/>
      <c r="Q127" s="1">
        <f t="shared" si="11"/>
      </c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ht="12.75">
      <c r="Q128" s="1">
        <f t="shared" si="11"/>
      </c>
    </row>
    <row r="129" ht="12.75">
      <c r="Q129" s="1">
        <f t="shared" si="11"/>
      </c>
    </row>
    <row r="130" ht="12.75">
      <c r="Q130" s="1">
        <f t="shared" si="11"/>
      </c>
    </row>
    <row r="131" ht="12.75">
      <c r="Q131" s="1">
        <f t="shared" si="11"/>
      </c>
    </row>
    <row r="132" ht="12.75">
      <c r="Q132" s="1">
        <f t="shared" si="11"/>
      </c>
    </row>
    <row r="133" ht="12.75">
      <c r="Q133" s="1">
        <f t="shared" si="11"/>
      </c>
    </row>
    <row r="134" ht="12.75">
      <c r="Q134" s="1">
        <f t="shared" si="11"/>
      </c>
    </row>
    <row r="135" ht="12.75">
      <c r="Q135" s="1">
        <f t="shared" si="11"/>
      </c>
    </row>
    <row r="136" ht="12.75">
      <c r="Q136" s="1">
        <f t="shared" si="11"/>
      </c>
    </row>
    <row r="137" spans="17:29" ht="13.5" thickBot="1">
      <c r="Q137" s="1">
        <f t="shared" si="11"/>
      </c>
      <c r="AA137" s="5"/>
      <c r="AB137" s="5"/>
      <c r="AC137" s="5"/>
    </row>
    <row r="138" ht="12.75">
      <c r="Q138" s="1">
        <f t="shared" si="11"/>
      </c>
    </row>
    <row r="139" spans="17:26" ht="13.5" thickBot="1">
      <c r="Q139" s="1">
        <f t="shared" si="11"/>
      </c>
      <c r="R139" s="5"/>
      <c r="S139" s="5"/>
      <c r="T139" s="5"/>
      <c r="U139" s="5"/>
      <c r="V139" s="5"/>
      <c r="W139" s="5"/>
      <c r="X139" s="5"/>
      <c r="Y139" s="5"/>
      <c r="Z139" s="5"/>
    </row>
    <row r="143" ht="12.75">
      <c r="Q143" s="1">
        <f>COUNT(Q49:Q139)</f>
        <v>2</v>
      </c>
    </row>
  </sheetData>
  <mergeCells count="1">
    <mergeCell ref="A2:I2"/>
  </mergeCells>
  <printOptions/>
  <pageMargins left="0" right="0" top="0" bottom="0.03" header="0.19" footer="0.15"/>
  <pageSetup fitToHeight="0" fitToWidth="1" horizontalDpi="600" verticalDpi="600" orientation="landscape" paperSize="5" scale="53" r:id="rId2"/>
  <headerFooter alignWithMargins="0">
    <oddFooter>&amp;RUpdated &amp;D</oddFooter>
  </headerFooter>
  <rowBreaks count="1" manualBreakCount="1">
    <brk id="81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V28"/>
  <sheetViews>
    <sheetView tabSelected="1" workbookViewId="0" topLeftCell="A1">
      <selection activeCell="A14" sqref="A14:IV14"/>
    </sheetView>
  </sheetViews>
  <sheetFormatPr defaultColWidth="9.140625" defaultRowHeight="12.75"/>
  <cols>
    <col min="1" max="1" width="20.421875" style="0" customWidth="1"/>
    <col min="11" max="11" width="8.8515625" style="0" customWidth="1"/>
    <col min="12" max="12" width="10.28125" style="0" customWidth="1"/>
    <col min="13" max="14" width="8.28125" style="0" customWidth="1"/>
    <col min="15" max="15" width="10.57421875" style="0" customWidth="1"/>
    <col min="16" max="16" width="6.00390625" style="0" customWidth="1"/>
    <col min="17" max="17" width="9.421875" style="0" customWidth="1"/>
    <col min="18" max="18" width="4.8515625" style="0" customWidth="1"/>
    <col min="19" max="19" width="9.421875" style="0" customWidth="1"/>
    <col min="20" max="20" width="8.140625" style="0" customWidth="1"/>
    <col min="21" max="21" width="9.00390625" style="0" customWidth="1"/>
    <col min="22" max="24" width="6.57421875" style="0" customWidth="1"/>
    <col min="25" max="25" width="11.140625" style="0" bestFit="1" customWidth="1"/>
    <col min="26" max="26" width="10.57421875" style="0" bestFit="1" customWidth="1"/>
  </cols>
  <sheetData>
    <row r="3" spans="1:12" ht="12.75">
      <c r="A3" s="166"/>
      <c r="B3" s="164" t="s">
        <v>38</v>
      </c>
      <c r="C3" s="173"/>
      <c r="D3" s="173"/>
      <c r="E3" s="173"/>
      <c r="F3" s="173"/>
      <c r="G3" s="173"/>
      <c r="H3" s="173"/>
      <c r="I3" s="173"/>
      <c r="J3" s="173"/>
      <c r="K3" s="173"/>
      <c r="L3" s="165"/>
    </row>
    <row r="4" spans="1:12" ht="12.75">
      <c r="A4" s="164" t="s">
        <v>80</v>
      </c>
      <c r="B4" s="166" t="s">
        <v>51</v>
      </c>
      <c r="C4" s="174" t="s">
        <v>54</v>
      </c>
      <c r="D4" s="174" t="s">
        <v>59</v>
      </c>
      <c r="E4" s="174" t="s">
        <v>37</v>
      </c>
      <c r="F4" s="174" t="s">
        <v>48</v>
      </c>
      <c r="G4" s="174" t="s">
        <v>44</v>
      </c>
      <c r="H4" s="174" t="s">
        <v>55</v>
      </c>
      <c r="I4" s="174" t="s">
        <v>41</v>
      </c>
      <c r="J4" s="174" t="s">
        <v>105</v>
      </c>
      <c r="K4" s="174" t="s">
        <v>109</v>
      </c>
      <c r="L4" s="167" t="s">
        <v>79</v>
      </c>
    </row>
    <row r="5" spans="1:12" ht="12.75">
      <c r="A5" s="166" t="s">
        <v>82</v>
      </c>
      <c r="B5" s="168">
        <v>0</v>
      </c>
      <c r="C5" s="175">
        <v>0</v>
      </c>
      <c r="D5" s="175">
        <v>0</v>
      </c>
      <c r="E5" s="175">
        <v>2</v>
      </c>
      <c r="F5" s="175">
        <v>2</v>
      </c>
      <c r="G5" s="175">
        <v>0</v>
      </c>
      <c r="H5" s="175">
        <v>0</v>
      </c>
      <c r="I5" s="175">
        <v>0</v>
      </c>
      <c r="J5" s="175">
        <v>0</v>
      </c>
      <c r="K5" s="175">
        <v>1</v>
      </c>
      <c r="L5" s="169">
        <v>5</v>
      </c>
    </row>
    <row r="6" spans="1:12" ht="12.75">
      <c r="A6" s="170" t="s">
        <v>81</v>
      </c>
      <c r="B6" s="171">
        <v>0</v>
      </c>
      <c r="C6" s="177">
        <v>0</v>
      </c>
      <c r="D6" s="177">
        <v>0</v>
      </c>
      <c r="E6" s="177">
        <v>0</v>
      </c>
      <c r="F6" s="177">
        <v>0</v>
      </c>
      <c r="G6" s="177">
        <v>0</v>
      </c>
      <c r="H6" s="177">
        <v>0</v>
      </c>
      <c r="I6" s="177">
        <v>0</v>
      </c>
      <c r="J6" s="177">
        <v>0</v>
      </c>
      <c r="K6" s="177">
        <v>0</v>
      </c>
      <c r="L6" s="172">
        <v>0</v>
      </c>
    </row>
    <row r="7" spans="1:12" ht="12.75">
      <c r="A7" s="170" t="s">
        <v>83</v>
      </c>
      <c r="B7" s="171">
        <v>1</v>
      </c>
      <c r="C7" s="177">
        <v>2</v>
      </c>
      <c r="D7" s="177">
        <v>1</v>
      </c>
      <c r="E7" s="177">
        <v>4</v>
      </c>
      <c r="F7" s="177">
        <v>2</v>
      </c>
      <c r="G7" s="177">
        <v>2</v>
      </c>
      <c r="H7" s="177">
        <v>1</v>
      </c>
      <c r="I7" s="177">
        <v>1</v>
      </c>
      <c r="J7" s="177">
        <v>1</v>
      </c>
      <c r="K7" s="177">
        <v>0</v>
      </c>
      <c r="L7" s="172">
        <v>15</v>
      </c>
    </row>
    <row r="8" spans="1:12" ht="12.75">
      <c r="A8" s="176" t="s">
        <v>84</v>
      </c>
      <c r="B8" s="178">
        <v>0.5333333333255723</v>
      </c>
      <c r="C8" s="179">
        <v>1.03333333338378</v>
      </c>
      <c r="D8" s="179">
        <v>6.7000000000116415</v>
      </c>
      <c r="E8" s="179">
        <v>6.95000000030268</v>
      </c>
      <c r="F8" s="179">
        <v>2.5999999997438863</v>
      </c>
      <c r="G8" s="179">
        <v>0.8833333332440816</v>
      </c>
      <c r="H8" s="179">
        <v>0.3666666666395031</v>
      </c>
      <c r="I8" s="179">
        <v>2.6666666666278616</v>
      </c>
      <c r="J8" s="179">
        <v>0.5166666666045785</v>
      </c>
      <c r="K8" s="179">
        <v>0.11666666652308777</v>
      </c>
      <c r="L8" s="180">
        <v>22.366666666406672</v>
      </c>
    </row>
    <row r="12" ht="13.5" thickBot="1"/>
    <row r="13" spans="2:21" ht="12.75">
      <c r="B13" s="182" t="s">
        <v>48</v>
      </c>
      <c r="C13" s="183" t="s">
        <v>86</v>
      </c>
      <c r="D13" s="183" t="s">
        <v>37</v>
      </c>
      <c r="E13" s="183" t="s">
        <v>87</v>
      </c>
      <c r="F13" s="183" t="s">
        <v>88</v>
      </c>
      <c r="G13" s="183" t="s">
        <v>89</v>
      </c>
      <c r="H13" s="183" t="s">
        <v>90</v>
      </c>
      <c r="I13" s="183" t="s">
        <v>91</v>
      </c>
      <c r="J13" s="183" t="s">
        <v>92</v>
      </c>
      <c r="K13" s="183" t="s">
        <v>93</v>
      </c>
      <c r="L13" s="183" t="s">
        <v>94</v>
      </c>
      <c r="M13" s="183" t="s">
        <v>95</v>
      </c>
      <c r="N13" s="183" t="s">
        <v>96</v>
      </c>
      <c r="O13" s="183" t="s">
        <v>97</v>
      </c>
      <c r="P13" s="183" t="s">
        <v>98</v>
      </c>
      <c r="Q13" s="183" t="s">
        <v>99</v>
      </c>
      <c r="R13" s="183" t="s">
        <v>59</v>
      </c>
      <c r="S13" s="184" t="s">
        <v>100</v>
      </c>
      <c r="T13" s="184" t="s">
        <v>79</v>
      </c>
      <c r="U13" s="185" t="s">
        <v>101</v>
      </c>
    </row>
    <row r="14" spans="1:21" s="192" customFormat="1" ht="12.75" hidden="1">
      <c r="A14" s="186" t="s">
        <v>103</v>
      </c>
      <c r="B14" s="189">
        <f>GETPIVOTDATA("Sum of System
Length",$A$3,"Group","RF")</f>
        <v>2.5999999997438863</v>
      </c>
      <c r="C14" s="189">
        <f>GETPIVOTDATA("Sum of System
Length",$A$3,"Group","DIA")</f>
        <v>0.11666666652308777</v>
      </c>
      <c r="D14" s="189">
        <f>GETPIVOTDATA("Sum of System
Length",$A$3,"Group","PS")</f>
        <v>6.95000000030268</v>
      </c>
      <c r="E14" s="189">
        <f>GETPIVOTDATA("Sum of System
Length",$A$3,"Group","CTL")</f>
        <v>0.5333333333255723</v>
      </c>
      <c r="F14" s="189"/>
      <c r="G14" s="189"/>
      <c r="H14" s="189">
        <f>GETPIVOTDATA("Sum of System
Length",$A$3,"Group","UES")</f>
        <v>0.8833333332440816</v>
      </c>
      <c r="I14" s="189">
        <f>GETPIVOTDATA("Sum of System
Length",$A$3,"Group","ME")</f>
        <v>0.5166666666045785</v>
      </c>
      <c r="J14" s="189"/>
      <c r="K14" s="189"/>
      <c r="L14" s="189">
        <f>GETPIVOTDATA("Sum of System
Length",$A$3,"Group","OAG")</f>
        <v>1.03333333338378</v>
      </c>
      <c r="M14" s="189"/>
      <c r="N14" s="189">
        <f>GETPIVOTDATA("Sum of System
Length",$A$3,"Group","XFD")</f>
        <v>2.6666666666278616</v>
      </c>
      <c r="O14" s="189"/>
      <c r="P14" s="189">
        <f>GETPIVOTDATA("Sum of System
Length",$A$3,"Group","Other")</f>
        <v>6.7000000000116415</v>
      </c>
      <c r="Q14" s="189"/>
      <c r="R14" s="189"/>
      <c r="S14" s="190">
        <f>GETPIVOTDATA("Sum of System
Length",$A$3,"Group","UNK")</f>
        <v>0.3666666666395031</v>
      </c>
      <c r="T14" s="190">
        <f>SUM(B14:S14)</f>
        <v>22.366666666406672</v>
      </c>
      <c r="U14" s="191"/>
    </row>
    <row r="15" spans="1:22" s="192" customFormat="1" ht="12.75">
      <c r="A15" s="186" t="s">
        <v>104</v>
      </c>
      <c r="B15" s="195">
        <f>IF(B14,SUM(B14/B24),"")</f>
        <v>0.0015860105732481743</v>
      </c>
      <c r="C15" s="195">
        <f>IF(C14,SUM(C14/B24),"")</f>
        <v>7.11671410267165E-05</v>
      </c>
      <c r="D15" s="195">
        <f>IF(D14,SUM(D14/B24),"")</f>
        <v>0.004239528263707948</v>
      </c>
      <c r="E15" s="195">
        <f>IF(E14,SUM(E14/B24),"")</f>
        <v>0.0003253355022320667</v>
      </c>
      <c r="F15" s="195">
        <f>IF(F14,SUM(F14/B24),"")</f>
      </c>
      <c r="G15" s="195">
        <f>IF(G14,SUM(G14/B24),"")</f>
      </c>
      <c r="H15" s="195">
        <f>IF(H14,SUM(H14/B24),"")</f>
        <v>0.0005388369255252577</v>
      </c>
      <c r="I15" s="195">
        <f>IF(I14,SUM(I14/B24),"")</f>
        <v>0.00031516876775402686</v>
      </c>
      <c r="J15" s="195">
        <f>IF(J14,SUM(J14/B24),"")</f>
      </c>
      <c r="K15" s="195">
        <f>IF(K14,SUM(K14/B24),"")</f>
      </c>
      <c r="L15" s="195">
        <f>IF(L14,SUM(L14/B24),"")</f>
        <v>0.0006303375356145745</v>
      </c>
      <c r="M15" s="195">
        <f>IF(M14,SUM(M14/B24),"")</f>
      </c>
      <c r="N15" s="195">
        <f>IF(N14,SUM(N14/B24),"")</f>
        <v>0.0016266775111603334</v>
      </c>
      <c r="O15" s="195">
        <f>IF(O14,SUM(O14/B24),"")</f>
      </c>
      <c r="P15" s="195">
        <f>IF(P14,SUM(P14/B24),"")</f>
        <v>0.004087027246856913</v>
      </c>
      <c r="Q15" s="195">
        <f>IF(Q14,SUM(Q14/B24),"")</f>
      </c>
      <c r="R15" s="195">
        <f>IF(R14,SUM(R14/B24),"")</f>
      </c>
      <c r="S15" s="195">
        <f>IF(S14,SUM(S14/B24),"")</f>
        <v>0.00022366815777123076</v>
      </c>
      <c r="T15" s="195">
        <f>IF(T14,SUM(T14/B24),"")</f>
        <v>0.013643757624897243</v>
      </c>
      <c r="U15" s="189">
        <f>IF(U14,SUM(U14/O13),"")</f>
      </c>
      <c r="V15" s="194">
        <f>IF(V14,SUM(V14/O13),"")</f>
      </c>
    </row>
    <row r="16" spans="1:21" ht="12.75">
      <c r="A16" s="186" t="s">
        <v>102</v>
      </c>
      <c r="B16" s="187">
        <v>0.009</v>
      </c>
      <c r="C16" s="187">
        <v>0.002</v>
      </c>
      <c r="D16" s="187">
        <v>0.009</v>
      </c>
      <c r="E16" s="187">
        <v>0.005</v>
      </c>
      <c r="F16" s="187">
        <v>0.001</v>
      </c>
      <c r="G16" s="187">
        <v>0.001</v>
      </c>
      <c r="H16" s="187">
        <v>0.001</v>
      </c>
      <c r="I16" s="187">
        <v>0.003</v>
      </c>
      <c r="J16" s="187">
        <v>0.003</v>
      </c>
      <c r="K16" s="187">
        <v>0.001</v>
      </c>
      <c r="L16" s="187">
        <v>0.001</v>
      </c>
      <c r="M16" s="187">
        <v>0</v>
      </c>
      <c r="N16" s="187">
        <v>0.001</v>
      </c>
      <c r="O16" s="187">
        <v>0.001</v>
      </c>
      <c r="P16" s="187">
        <v>0.003</v>
      </c>
      <c r="Q16" s="187">
        <v>0.001</v>
      </c>
      <c r="R16" s="187">
        <v>0.003</v>
      </c>
      <c r="S16" s="187">
        <v>0.001</v>
      </c>
      <c r="T16" s="187">
        <v>0.04600000000000001</v>
      </c>
      <c r="U16" s="188"/>
    </row>
    <row r="18" spans="1:20" ht="13.5" thickBot="1">
      <c r="A18" s="196" t="s">
        <v>108</v>
      </c>
      <c r="B18">
        <f>GETPIVOTDATA("Sum of Store Lost",$A$3,"Group","RF")</f>
        <v>2</v>
      </c>
      <c r="D18">
        <f>GETPIVOTDATA("Sum of Store Lost",$A$3,"Group","PS")</f>
        <v>4</v>
      </c>
      <c r="E18">
        <f>GETPIVOTDATA("Sum of Store Lost",$A$3,"Group","CTL")</f>
        <v>1</v>
      </c>
      <c r="H18">
        <f>GETPIVOTDATA("Sum of Store Lost",$A$3,"Group","UES")</f>
        <v>2</v>
      </c>
      <c r="I18">
        <f>GETPIVOTDATA("Sum of Store Lost",$A$3,"Group","ME")</f>
        <v>1</v>
      </c>
      <c r="L18">
        <f>GETPIVOTDATA("Sum of Store Lost",$A$3,"Group","OAG")</f>
        <v>2</v>
      </c>
      <c r="N18">
        <f>GETPIVOTDATA("Sum of Store Lost",$A$3,"Group","XFD")</f>
        <v>1</v>
      </c>
      <c r="P18">
        <f>GETPIVOTDATA("Sum of Store Lost",$A$3,"Group","Other")</f>
        <v>1</v>
      </c>
      <c r="S18">
        <f>GETPIVOTDATA("Sum of Store Lost",$A$3,"Group","UNK")</f>
        <v>1</v>
      </c>
      <c r="T18" s="190">
        <f>SUM(B18:S18)</f>
        <v>15</v>
      </c>
    </row>
    <row r="19" spans="2:20" ht="12.75">
      <c r="B19" s="182" t="s">
        <v>48</v>
      </c>
      <c r="C19" s="183" t="s">
        <v>86</v>
      </c>
      <c r="D19" s="183" t="s">
        <v>37</v>
      </c>
      <c r="E19" s="183" t="s">
        <v>87</v>
      </c>
      <c r="F19" s="183" t="s">
        <v>88</v>
      </c>
      <c r="G19" s="183" t="s">
        <v>89</v>
      </c>
      <c r="H19" s="183" t="s">
        <v>90</v>
      </c>
      <c r="I19" s="183" t="s">
        <v>91</v>
      </c>
      <c r="J19" s="183" t="s">
        <v>92</v>
      </c>
      <c r="K19" s="183" t="s">
        <v>93</v>
      </c>
      <c r="L19" s="183" t="s">
        <v>94</v>
      </c>
      <c r="M19" s="183" t="s">
        <v>95</v>
      </c>
      <c r="N19" s="183" t="s">
        <v>96</v>
      </c>
      <c r="O19" s="183" t="s">
        <v>97</v>
      </c>
      <c r="P19" s="183" t="s">
        <v>98</v>
      </c>
      <c r="Q19" s="183" t="s">
        <v>99</v>
      </c>
      <c r="R19" s="183" t="s">
        <v>59</v>
      </c>
      <c r="S19" s="184" t="s">
        <v>100</v>
      </c>
      <c r="T19" s="190"/>
    </row>
    <row r="20" spans="1:20" ht="12.75">
      <c r="A20" s="186" t="s">
        <v>104</v>
      </c>
      <c r="B20" s="199">
        <f aca="true" t="shared" si="0" ref="B20:L20">B18/($B23/24)</f>
        <v>0.029685213053254122</v>
      </c>
      <c r="C20" s="199">
        <f t="shared" si="0"/>
        <v>0</v>
      </c>
      <c r="D20" s="199">
        <f t="shared" si="0"/>
        <v>0.059370426106508244</v>
      </c>
      <c r="E20" s="199">
        <f t="shared" si="0"/>
        <v>0.014842606526627061</v>
      </c>
      <c r="F20" s="199">
        <f t="shared" si="0"/>
        <v>0</v>
      </c>
      <c r="G20" s="199">
        <f t="shared" si="0"/>
        <v>0</v>
      </c>
      <c r="H20" s="199">
        <f t="shared" si="0"/>
        <v>0.029685213053254122</v>
      </c>
      <c r="I20" s="199">
        <f t="shared" si="0"/>
        <v>0.014842606526627061</v>
      </c>
      <c r="J20" s="199">
        <f t="shared" si="0"/>
        <v>0</v>
      </c>
      <c r="K20" s="199">
        <f t="shared" si="0"/>
        <v>0</v>
      </c>
      <c r="L20" s="199">
        <f t="shared" si="0"/>
        <v>0.029685213053254122</v>
      </c>
      <c r="M20" s="200"/>
      <c r="N20" s="199">
        <f>N18/($B23/24)</f>
        <v>0.014842606526627061</v>
      </c>
      <c r="O20" s="200"/>
      <c r="P20" s="199">
        <f>P18/($B23/24)</f>
        <v>0.014842606526627061</v>
      </c>
      <c r="Q20" s="200"/>
      <c r="R20" s="200"/>
      <c r="S20" s="199">
        <f>S18/($B23/24)</f>
        <v>0.014842606526627061</v>
      </c>
      <c r="T20" s="199">
        <f>T18/($B23/24)</f>
        <v>0.22263909789940592</v>
      </c>
    </row>
    <row r="21" spans="1:21" ht="12.75">
      <c r="A21" s="197" t="s">
        <v>102</v>
      </c>
      <c r="B21" s="198">
        <v>0.12</v>
      </c>
      <c r="C21" s="198">
        <v>0.03</v>
      </c>
      <c r="D21" s="198">
        <v>0.1</v>
      </c>
      <c r="E21" s="198">
        <v>0.05</v>
      </c>
      <c r="F21" s="198">
        <v>0.01</v>
      </c>
      <c r="G21" s="198">
        <v>0.01</v>
      </c>
      <c r="H21" s="198">
        <v>0.02</v>
      </c>
      <c r="I21" s="198">
        <v>0.05</v>
      </c>
      <c r="J21" s="198">
        <v>0.01</v>
      </c>
      <c r="K21" s="198">
        <v>0.02</v>
      </c>
      <c r="L21" s="198">
        <v>0.02</v>
      </c>
      <c r="M21" s="193">
        <v>0</v>
      </c>
      <c r="N21" s="193">
        <v>0.01</v>
      </c>
      <c r="O21" s="193">
        <v>0.01</v>
      </c>
      <c r="P21" s="193">
        <v>0.01</v>
      </c>
      <c r="Q21" s="193">
        <v>0.01</v>
      </c>
      <c r="R21" s="193">
        <v>0.02</v>
      </c>
      <c r="S21" s="193">
        <v>0.02</v>
      </c>
      <c r="T21" s="193">
        <f>SUM(B21:S21)</f>
        <v>0.5200000000000001</v>
      </c>
      <c r="U21" s="181"/>
    </row>
    <row r="23" spans="1:2" ht="12.75">
      <c r="A23" s="13" t="s">
        <v>11</v>
      </c>
      <c r="B23" s="192">
        <f>'Main Data'!D55</f>
        <v>1616.9666666663252</v>
      </c>
    </row>
    <row r="24" spans="1:2" ht="12.75">
      <c r="A24" s="201" t="s">
        <v>13</v>
      </c>
      <c r="B24" s="193">
        <f>'Main Data'!D57</f>
        <v>1639.3333333327319</v>
      </c>
    </row>
    <row r="28" ht="12.75">
      <c r="A28" s="16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V67" sqref="V67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T66" sqref="T66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Rod Gerig</Manager>
  <Company>ANL/APS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Shift Summary</dc:title>
  <dc:subject>Downtime</dc:subject>
  <dc:creator>Dmitriy Ronzhin</dc:creator>
  <cp:keywords>Run 1998-5 Availability Downtime 1999</cp:keywords>
  <dc:description/>
  <cp:lastModifiedBy>Flood</cp:lastModifiedBy>
  <cp:lastPrinted>2005-04-21T12:54:46Z</cp:lastPrinted>
  <dcterms:created xsi:type="dcterms:W3CDTF">1998-01-15T00:06:45Z</dcterms:created>
  <dcterms:modified xsi:type="dcterms:W3CDTF">2007-12-04T13:14:48Z</dcterms:modified>
  <cp:category>Downtime</cp:category>
  <cp:version/>
  <cp:contentType/>
  <cp:contentStatus/>
</cp:coreProperties>
</file>