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440" windowWidth="26580" windowHeight="15220" tabRatio="879" activeTab="10"/>
  </bookViews>
  <sheets>
    <sheet name="Constants" sheetId="1" r:id="rId1"/>
    <sheet name="TeV and DAQ" sheetId="2" r:id="rId2"/>
    <sheet name="CPU Properties" sheetId="3" r:id="rId3"/>
    <sheet name="Installed CPU" sheetId="4" r:id="rId4"/>
    <sheet name="CPU by Year" sheetId="5" r:id="rId5"/>
    <sheet name="Available Disk" sheetId="6" r:id="rId6"/>
    <sheet name="Reco Times" sheetId="7" r:id="rId7"/>
    <sheet name="D0 Reco Time" sheetId="8" r:id="rId8"/>
    <sheet name="Reco CPU" sheetId="9" r:id="rId9"/>
    <sheet name="Analysis CPU" sheetId="10" r:id="rId10"/>
    <sheet name="CPU Roll Up" sheetId="11" r:id="rId11"/>
    <sheet name="Tape Volume" sheetId="12" r:id="rId12"/>
    <sheet name="MC Model" sheetId="13" r:id="rId13"/>
  </sheets>
  <definedNames>
    <definedName name="Billion">'Constants'!$B$16</definedName>
    <definedName name="BytesPerTB">'Constants'!$B$11</definedName>
    <definedName name="D0RecoToRaw">'Tape Volume'!$D$21</definedName>
    <definedName name="DaysPerYear">'Constants'!$B$4</definedName>
    <definedName name="HoursPerDay">'Constants'!$B$3</definedName>
    <definedName name="HoursPerWeek">'Constants'!$B$6</definedName>
    <definedName name="kBPerTB">'Constants'!$B$12</definedName>
    <definedName name="MBPerTB">'Constants'!$B$10</definedName>
    <definedName name="MCBase">'Tape Volume'!#REF!</definedName>
    <definedName name="Million">'Constants'!$B$15</definedName>
    <definedName name="RecoToRaw">'Tape Volume'!$D$4</definedName>
    <definedName name="SecPerDay">'Constants'!$B$8</definedName>
    <definedName name="SecPerHour">'Constants'!$B$2</definedName>
    <definedName name="SecPerYear">'Constants'!$B$5</definedName>
    <definedName name="TapeTBtoDiskTB">'Constants'!$B$17</definedName>
    <definedName name="TapeVolumeContingency">'Tape Volume'!$B$1</definedName>
    <definedName name="Thousand">'Constants'!$B$14</definedName>
    <definedName name="WeeksPerYear">'Constants'!$B$7</definedName>
  </definedNames>
  <calcPr fullCalcOnLoad="1"/>
</workbook>
</file>

<file path=xl/comments2.xml><?xml version="1.0" encoding="utf-8"?>
<comments xmlns="http://schemas.openxmlformats.org/spreadsheetml/2006/main">
  <authors>
    <author>Robert Kutschke</author>
  </authors>
  <commentList>
    <comment ref="B12" authorId="0">
      <text>
        <r>
          <rPr>
            <b/>
            <sz val="9"/>
            <rFont val="Verdana"/>
            <family val="0"/>
          </rPr>
          <t>Robert Kutschke:</t>
        </r>
        <r>
          <rPr>
            <sz val="9"/>
            <rFont val="Verdana"/>
            <family val="0"/>
          </rPr>
          <t xml:space="preserve">
Measured average over a period with 115 store hours per week.</t>
        </r>
      </text>
    </comment>
    <comment ref="B25" authorId="0">
      <text>
        <r>
          <rPr>
            <b/>
            <sz val="9"/>
            <rFont val="Verdana"/>
            <family val="0"/>
          </rPr>
          <t>Robert Kutschke:</t>
        </r>
        <r>
          <rPr>
            <sz val="9"/>
            <rFont val="Verdana"/>
            <family val="0"/>
          </rPr>
          <t xml:space="preserve">
Measured rate for a period with 115 store hours per week.</t>
        </r>
      </text>
    </comment>
    <comment ref="B29" authorId="0">
      <text>
        <r>
          <rPr>
            <b/>
            <sz val="9"/>
            <rFont val="Verdana"/>
            <family val="0"/>
          </rPr>
          <t>Robert Kutschke:</t>
        </r>
        <r>
          <rPr>
            <sz val="9"/>
            <rFont val="Verdana"/>
            <family val="0"/>
          </rPr>
          <t xml:space="preserve">
Spreads events 
uniformly  over 168/52.</t>
        </r>
      </text>
    </comment>
    <comment ref="B16" authorId="0">
      <text>
        <r>
          <rPr>
            <b/>
            <sz val="9"/>
            <rFont val="Verdana"/>
            <family val="0"/>
          </rPr>
          <t>Robert Kutschke:</t>
        </r>
        <r>
          <rPr>
            <sz val="9"/>
            <rFont val="Verdana"/>
            <family val="0"/>
          </rPr>
          <t xml:space="preserve">
Spreads events uniformly over 168/52.</t>
        </r>
      </text>
    </comment>
  </commentList>
</comments>
</file>

<file path=xl/comments4.xml><?xml version="1.0" encoding="utf-8"?>
<comments xmlns="http://schemas.openxmlformats.org/spreadsheetml/2006/main">
  <authors>
    <author>Robert Kutschke</author>
  </authors>
  <commentList>
    <comment ref="B17" authorId="0">
      <text>
        <r>
          <rPr>
            <b/>
            <sz val="9"/>
            <rFont val="Verdana"/>
            <family val="0"/>
          </rPr>
          <t>Robert Kutschke:</t>
        </r>
        <r>
          <rPr>
            <sz val="9"/>
            <rFont val="Verdana"/>
            <family val="0"/>
          </rPr>
          <t xml:space="preserve">
This number disagrees with Steve Timm by about 20.</t>
        </r>
      </text>
    </comment>
  </commentList>
</comments>
</file>

<file path=xl/comments6.xml><?xml version="1.0" encoding="utf-8"?>
<comments xmlns="http://schemas.openxmlformats.org/spreadsheetml/2006/main">
  <authors>
    <author>Robert Kutschke</author>
  </authors>
  <commentList>
    <comment ref="A1" authorId="0">
      <text>
        <r>
          <rPr>
            <b/>
            <sz val="9"/>
            <rFont val="Verdana"/>
            <family val="0"/>
          </rPr>
          <t>Robert Kutschke:</t>
        </r>
        <r>
          <rPr>
            <sz val="9"/>
            <rFont val="Verdana"/>
            <family val="0"/>
          </rPr>
          <t xml:space="preserve">
From Joe Boyd, May 2008.</t>
        </r>
      </text>
    </comment>
    <comment ref="A11" authorId="0">
      <text>
        <r>
          <rPr>
            <b/>
            <sz val="9"/>
            <rFont val="Verdana"/>
            <family val="0"/>
          </rPr>
          <t>Robert Kutschke:</t>
        </r>
        <r>
          <rPr>
            <sz val="9"/>
            <rFont val="Verdana"/>
            <family val="0"/>
          </rPr>
          <t xml:space="preserve">
From Joe Boyd, May 2008.</t>
        </r>
      </text>
    </comment>
  </commentList>
</comments>
</file>

<file path=xl/sharedStrings.xml><?xml version="1.0" encoding="utf-8"?>
<sst xmlns="http://schemas.openxmlformats.org/spreadsheetml/2006/main" count="421" uniqueCount="377">
  <si>
    <t>Subtotal</t>
  </si>
  <si>
    <t>Amber's spreadsheet for 2006 planning:</t>
  </si>
  <si>
    <t>Value I will use for 'Analysis CPU'</t>
  </si>
  <si>
    <t>Nominal CPU Requirement</t>
  </si>
  <si>
    <t>GHz</t>
  </si>
  <si>
    <t>SpecCINT-2000</t>
  </si>
  <si>
    <t>Integrated event count (Billions)</t>
  </si>
  <si>
    <t>Integrated event count (Billions):</t>
  </si>
  <si>
    <t>Required SpecCINT2000 (Millions):</t>
  </si>
  <si>
    <t>CDF:</t>
  </si>
  <si>
    <t>0.45 GHz-s per event in 2005; analyze the integrated data set in 1 week.   See conversion note below.</t>
  </si>
  <si>
    <t>Production CPU</t>
  </si>
  <si>
    <t>Analysis CPU</t>
  </si>
  <si>
    <t>CPU on Hand</t>
  </si>
  <si>
    <t>Production CPU</t>
  </si>
  <si>
    <t>Ntupling:</t>
  </si>
  <si>
    <t>Required for Ntupling SpecCINT2000 (Millions):</t>
  </si>
  <si>
    <t>Total:</t>
  </si>
  <si>
    <t>D0:</t>
  </si>
  <si>
    <t>Analysis CPU:</t>
  </si>
  <si>
    <t>Total</t>
  </si>
  <si>
    <t>CPU on Hand:</t>
  </si>
  <si>
    <t>Projected CPU requirements.  All values are in SpecCINT-2000.</t>
  </si>
  <si>
    <t>CDF</t>
  </si>
  <si>
    <t xml:space="preserve">D0:    </t>
  </si>
  <si>
    <t>CDF:</t>
  </si>
  <si>
    <t>D0:</t>
  </si>
  <si>
    <t>1000 GHz in 2005, scaled by total number of events since start of Run II.</t>
  </si>
  <si>
    <t>this is equivalent to 1240 GHz in 2005, scaled by the total number of events since the start of Run II.</t>
  </si>
  <si>
    <t>Rate to analyze events to do full dataset in 1 week ( in kHz)</t>
  </si>
  <si>
    <t>Total number of events to Oct-1-2005, since start of Run II, in billions. From SAM data base.</t>
  </si>
  <si>
    <t>GHz-s to analyze one event; input from Amber's spreadsheets.</t>
  </si>
  <si>
    <t>Required CPU, in GHz to do analysis in 2005.</t>
  </si>
  <si>
    <t>Converting D0 model into CDF style:</t>
  </si>
  <si>
    <t>Models:</t>
  </si>
  <si>
    <t>D0:</t>
  </si>
  <si>
    <t>Ramp down as LHC ramps up:</t>
  </si>
  <si>
    <t>One thousand</t>
  </si>
  <si>
    <t>Efficiency:</t>
  </si>
  <si>
    <t>D0</t>
  </si>
  <si>
    <t>SpecCINT-2000/GHz</t>
  </si>
  <si>
    <t>Estimates used on worksheet 'Analysis CPU'.  Need to know SpecCINT2000/GHz in 2005 for CDF and 2006 for D0.</t>
  </si>
  <si>
    <t>Contingency:</t>
  </si>
  <si>
    <t>Subtotal</t>
  </si>
  <si>
    <t>DC event rate observed over Jan-1 to Apr-1 2008, from TeV and DAQ.</t>
  </si>
  <si>
    <t>Factor to deal with very high lumi runs.</t>
  </si>
  <si>
    <t>Power in Spec CINT2000-s required to ntuple one event.</t>
  </si>
  <si>
    <t>Fraction of reco time needed to do ntupling step, per event.</t>
  </si>
  <si>
    <t>Power in Spec CINT-2000-s required to do skimming and CAF making for one event.</t>
  </si>
  <si>
    <t>D0</t>
  </si>
  <si>
    <t>Installed power in CAB, in GHz.</t>
  </si>
  <si>
    <t>Power in GHz-s required to do skimming and CAF making for one event.</t>
  </si>
  <si>
    <t>Scale factor for new reco:</t>
  </si>
  <si>
    <t>Scale factor for new MC:</t>
  </si>
  <si>
    <t>Scale factor for new reco:</t>
  </si>
  <si>
    <t>A useful figure of merit: to move 1 PB of data in one year is a DC rate of 34 MB/s, where 1MB=1024*1024 bytes.</t>
  </si>
  <si>
    <t>Factor for new code versions:</t>
  </si>
  <si>
    <t>Contingency</t>
  </si>
  <si>
    <t>CDF</t>
  </si>
  <si>
    <t>Type</t>
  </si>
  <si>
    <t>SpecCINT-2000</t>
  </si>
  <si>
    <t>GHz</t>
  </si>
  <si>
    <t>Installed CPU Power</t>
  </si>
  <si>
    <t>Total</t>
  </si>
  <si>
    <t>p17 data period includes the very high lumi stuff in march.</t>
  </si>
  <si>
    <t>Miscellaneous disks that I do not know their current use but were purchased in 2005…2007.  Not included above.</t>
  </si>
  <si>
    <t>Total SPECINT2000 (Millions):</t>
  </si>
  <si>
    <t>Installed (including analysis CPU):</t>
  </si>
  <si>
    <t>Planned retirement:</t>
  </si>
  <si>
    <t>Total Installed</t>
  </si>
  <si>
    <t>Total Installed:</t>
  </si>
  <si>
    <t>Fraction of year remaning:</t>
  </si>
  <si>
    <t>Base required SpecCINT2000 (Millions):</t>
  </si>
  <si>
    <t>CSL to Reco Factor</t>
  </si>
  <si>
    <t>Contingency</t>
  </si>
  <si>
    <t>Fraction of reco required:</t>
  </si>
  <si>
    <t>Gen X factor:</t>
  </si>
  <si>
    <t>Power in Spec CINT2000-s required to process one event, including the high lumi projection.</t>
  </si>
  <si>
    <t>Power in Spec CINT2000 required to perform calibration.</t>
  </si>
  <si>
    <t>(this CPU power is used DC except for long shut-downs)</t>
  </si>
  <si>
    <t>Factor for higher luminosities.  Ting says that for the highest lumi running he must double the</t>
  </si>
  <si>
    <t>number of nodes allocated to calibration.  I guess that half the time we will have very high lumi.</t>
  </si>
  <si>
    <t>Required SpecCINT2000 (Millions):</t>
  </si>
  <si>
    <t>Efficiency:</t>
  </si>
  <si>
    <t>Total SPECINT2000 (Millions):</t>
  </si>
  <si>
    <t>D0:</t>
  </si>
  <si>
    <t>Total Installed (including analysis CPU):</t>
  </si>
  <si>
    <t>Burst factor:</t>
  </si>
  <si>
    <t>Burst adjusted SpecCINT2000 (Millions):</t>
  </si>
  <si>
    <t>Condor slots assigned to calibration.</t>
  </si>
  <si>
    <t>Nominal GHz/slot</t>
  </si>
  <si>
    <t>Power in Spec CINT2000-required to perform calibration.</t>
  </si>
  <si>
    <t>Required SpecCINT2000 (Millions):</t>
  </si>
  <si>
    <t>Installed power in CAB in Spec CINT2000</t>
  </si>
  <si>
    <t>Xeon 2x2 LV</t>
  </si>
  <si>
    <t>Opteron 2x2</t>
  </si>
  <si>
    <t>Opteron 2x2</t>
  </si>
  <si>
    <t>thread</t>
  </si>
  <si>
    <t>Factor</t>
  </si>
  <si>
    <t>Spec CINT2000</t>
  </si>
  <si>
    <t>Subtotal:</t>
  </si>
  <si>
    <t>Subtotal:</t>
  </si>
  <si>
    <t>&lt;=2004</t>
  </si>
  <si>
    <t>Seconds in an hour</t>
  </si>
  <si>
    <t>Hours in a day</t>
  </si>
  <si>
    <t>Days in a year</t>
  </si>
  <si>
    <t>Seconds in a year</t>
  </si>
  <si>
    <t>Hours in a week</t>
  </si>
  <si>
    <t>MB in 1 TB</t>
  </si>
  <si>
    <t>Bytes  in 1 TB</t>
  </si>
  <si>
    <t>kB in 1 TB</t>
  </si>
  <si>
    <t>Power in GHz-s required to do reco+skim+CAF making for one event.</t>
  </si>
  <si>
    <t>For this data set He needed to double calibration slots to 400 and plans to add 400 slots for reco.</t>
  </si>
  <si>
    <t>So a contingency of 20% should cover this, unless we get lots more of this high lumi running.</t>
  </si>
  <si>
    <t>Power in Spec CINT2000-s to do reco+skim+CAF making for one event.</t>
  </si>
  <si>
    <t>Power in GHz-s required to process one event.</t>
  </si>
  <si>
    <t>Raw data size (TB):</t>
  </si>
  <si>
    <t>+Contingency (PB):</t>
  </si>
  <si>
    <t>Total (TB):</t>
  </si>
  <si>
    <t>+ Contingency (PB):</t>
  </si>
  <si>
    <t>Required SpecCINT2000 (Millions):</t>
  </si>
  <si>
    <t>Fraction of CAB  required to do skimming and CAF making.  From Qizhong, March 20, 2008</t>
  </si>
  <si>
    <t>Reco to Raw Size ratio:</t>
  </si>
  <si>
    <t>FY08</t>
  </si>
  <si>
    <t>Reco data size(TB)</t>
  </si>
  <si>
    <t>MC data size(TB):</t>
  </si>
  <si>
    <t>Total (TB):</t>
  </si>
  <si>
    <t>CDF</t>
  </si>
  <si>
    <t>Contingency:</t>
  </si>
  <si>
    <t>Spec CINT2000-s for skimming and CAF Making:</t>
  </si>
  <si>
    <t>Observed number of events per day processed, from Ting, May 2008 for Feb 2008 data.</t>
  </si>
  <si>
    <t>MC Model</t>
  </si>
  <si>
    <t>One million</t>
  </si>
  <si>
    <t>Million Spec CINT2000</t>
  </si>
  <si>
    <t>Million Spec CINT2000</t>
  </si>
  <si>
    <t>CPU by FY of purchase.  Usually installed early in following FY.</t>
  </si>
  <si>
    <t>&lt;=2007</t>
  </si>
  <si>
    <t>to Date</t>
  </si>
  <si>
    <t>Remain</t>
  </si>
  <si>
    <t xml:space="preserve"> Total</t>
  </si>
  <si>
    <t>Raw Events (Millions)</t>
  </si>
  <si>
    <t>MC Factor</t>
  </si>
  <si>
    <t>MC Events (Millions)</t>
  </si>
  <si>
    <t>From Ting May 2008:</t>
  </si>
  <si>
    <t>TB of disk per slot ( older models had 0.5 or 0.4 TB per slot ).</t>
  </si>
  <si>
    <t>TB Raw disk space: Here TB=1024*1E9</t>
  </si>
  <si>
    <t>TB Raw disk space: TB=1024*1.E9</t>
  </si>
  <si>
    <t>TB where now TB=1024**4</t>
  </si>
  <si>
    <t>Approximate useful space after filesystem created.</t>
  </si>
  <si>
    <t>Fraction to convert raw satabeast space to useful space.</t>
  </si>
  <si>
    <t>Units</t>
  </si>
  <si>
    <t>C2*XEON,3.06GHZ</t>
  </si>
  <si>
    <t>2*XEON,3.0GHZ</t>
  </si>
  <si>
    <t>2*DUAL CORE OPTERON 265</t>
  </si>
  <si>
    <t>One billion</t>
  </si>
  <si>
    <t>Number of Disk TB in one (1024)**4 Tb</t>
  </si>
  <si>
    <t>Pool, cache and project disk purchases by year:</t>
  </si>
  <si>
    <t>DC Event rate for 2008 from the Tev and DAQ sheet.</t>
  </si>
  <si>
    <t>Rate in Hz that one slot processes events</t>
  </si>
  <si>
    <t>Infered DAQ rate (MB/s):</t>
  </si>
  <si>
    <t>Inferred DAQ rate (MB/s):</t>
  </si>
  <si>
    <t>Events from the experiment:</t>
  </si>
  <si>
    <t>CDF</t>
  </si>
  <si>
    <t>Events from the experiment (Billions):</t>
  </si>
  <si>
    <t>Spec CINT2000-s for reco:</t>
  </si>
  <si>
    <t>Power in GHz-s required to process one event.</t>
  </si>
  <si>
    <t>Out of Waranty</t>
  </si>
  <si>
    <t>Fraction</t>
  </si>
  <si>
    <t>Fraction</t>
  </si>
  <si>
    <t>Out of Waranty</t>
  </si>
  <si>
    <t>OK</t>
  </si>
  <si>
    <t>SERVER,2.6GHZ XEON</t>
  </si>
  <si>
    <t>Yearly raw data size (TB):</t>
  </si>
  <si>
    <t>Total number of events (Billions):</t>
  </si>
  <si>
    <t>Total number of events (Billions):</t>
  </si>
  <si>
    <t>DC event rate (Hz):</t>
  </si>
  <si>
    <t>DC ecvent rate (Hz):</t>
  </si>
  <si>
    <t>Config is: CPUs x Cores per CPU</t>
  </si>
  <si>
    <t>Power in GHz-s required to process one event, including the high lumi projection.</t>
  </si>
  <si>
    <t>Spec CINT2000-s for reco:</t>
  </si>
  <si>
    <t>Gen X Factor</t>
  </si>
  <si>
    <t>Reprocessing fraction:</t>
  </si>
  <si>
    <t>CDF Calibration:</t>
  </si>
  <si>
    <t>Nexan SataBeast  Spaceology in TB, using 2007 and 2008 units as an example.</t>
  </si>
  <si>
    <t>Data disks in the raid 6 configuration: 3 arrays of ( 12 data + 2 parity ) = 42</t>
  </si>
  <si>
    <t>CDF: 7x4TB &amp; 5x6TB servers = 58 raw TB</t>
  </si>
  <si>
    <t>CDF: 22 servers with various disk:  Maybe O(100 raw TB)</t>
  </si>
  <si>
    <t>Name</t>
  </si>
  <si>
    <t>Total Cores</t>
  </si>
  <si>
    <t>Xeon 1x2, 2.6</t>
  </si>
  <si>
    <t>CDF is running about 20E6 events per day, using 1200 slots in the GROUP CAF.</t>
  </si>
  <si>
    <t>Number of Nodes in the GROUP CAF</t>
  </si>
  <si>
    <t>Installed GHz of the GROUP CAF</t>
  </si>
  <si>
    <t>Available Condor slots in the GROUP CAF</t>
  </si>
  <si>
    <t>Condor slots assigned to production</t>
  </si>
  <si>
    <t>Rate in Hz that the farm processes events.</t>
  </si>
  <si>
    <t>Fraction of GROUP CAF dedicated to production.</t>
  </si>
  <si>
    <t>Installed power of the GROUP CAF, in Spec CINT2000.</t>
  </si>
  <si>
    <t>Measured average event rate (Hz):</t>
  </si>
  <si>
    <t>Measured average rate (Hz):</t>
  </si>
  <si>
    <t>FY08 To Date</t>
  </si>
  <si>
    <t xml:space="preserve"> Before FY08</t>
  </si>
  <si>
    <t>FY08 Remain</t>
  </si>
  <si>
    <t>FY10</t>
  </si>
  <si>
    <t>FY11</t>
  </si>
  <si>
    <t>Running hours/week:</t>
  </si>
  <si>
    <t>End of Tevatron running.</t>
  </si>
  <si>
    <t>Second pass processing:</t>
  </si>
  <si>
    <t>CDF</t>
  </si>
  <si>
    <t>Power in GHz-s required to nutple one event.</t>
  </si>
  <si>
    <t>Power in GHz-s required to reco+ntuple one event.</t>
  </si>
  <si>
    <t>Power in Spec CINT2000-s required to reco+ntuple one event.</t>
  </si>
  <si>
    <t>Future purchases</t>
  </si>
  <si>
    <t>OUT</t>
  </si>
  <si>
    <t>Xeon 1x2, 2.6</t>
  </si>
  <si>
    <t>Xeon 1x2, 3.06</t>
  </si>
  <si>
    <t>Q4 2005</t>
  </si>
  <si>
    <t>Xeon 1x2, 3.00</t>
  </si>
  <si>
    <t>Xeon 2x2 LV</t>
  </si>
  <si>
    <t>Opteron 2x2</t>
  </si>
  <si>
    <t>Xeon 1x4</t>
  </si>
  <si>
    <t>Subtotal:</t>
  </si>
  <si>
    <t>Subtotal:</t>
  </si>
  <si>
    <t>It is not clear if there is enough power to plug in the unused ones.  I have asked him to clarify.</t>
  </si>
  <si>
    <t>4 satabeasts are currently unused; all are 42 TB nominal.</t>
  </si>
  <si>
    <t>3 are available.</t>
  </si>
  <si>
    <t>These numbers already have normal operating efficiencies folded in.  They do not account for exceptional farm downtimes.</t>
  </si>
  <si>
    <t>Subtotal:</t>
  </si>
  <si>
    <t>Xeon 1x4</t>
  </si>
  <si>
    <t>On order:</t>
  </si>
  <si>
    <t>Xeon 1x2, 3.00</t>
  </si>
  <si>
    <t>Grand total:</t>
  </si>
  <si>
    <t>Total Cores</t>
  </si>
  <si>
    <t>Production</t>
  </si>
  <si>
    <t>CDF</t>
  </si>
  <si>
    <t>Xeon 1x4</t>
  </si>
  <si>
    <t>Grand total:</t>
  </si>
  <si>
    <t>Total CPU Power</t>
  </si>
  <si>
    <t>Total CPU Power</t>
  </si>
  <si>
    <t>OK</t>
  </si>
  <si>
    <t>D0:</t>
  </si>
  <si>
    <t>CDF:</t>
  </si>
  <si>
    <t>Slots to hold disks</t>
  </si>
  <si>
    <t xml:space="preserve"> (measured in 2006-2007 run)</t>
  </si>
  <si>
    <t>(measured in 2006-2007 run)</t>
  </si>
  <si>
    <t xml:space="preserve"> </t>
  </si>
  <si>
    <t>FY08</t>
  </si>
  <si>
    <t>CDF:</t>
  </si>
  <si>
    <t>D0:</t>
  </si>
  <si>
    <t>4 satabeasts are currently unused</t>
  </si>
  <si>
    <t>3 ( 1 42 TB raw and 2 21 TB raw) are available.</t>
  </si>
  <si>
    <t>Note from Joe Boyd  on May 15, 2008 on unused drives:</t>
  </si>
  <si>
    <t>From Joe Boyd:</t>
  </si>
  <si>
    <t>DUAL QUAD CORE XEON X5355,2.66GHZ</t>
  </si>
  <si>
    <t>2*2.33GHZ LOW VOLT XEON</t>
  </si>
  <si>
    <t>Q4 2003</t>
  </si>
  <si>
    <t>Q4 2004</t>
  </si>
  <si>
    <t>Q4 2004</t>
  </si>
  <si>
    <t>Calendar</t>
  </si>
  <si>
    <t>Q4 2007</t>
  </si>
  <si>
    <t>Q1 2007</t>
  </si>
  <si>
    <t>Quarter</t>
  </si>
  <si>
    <t>Received</t>
  </si>
  <si>
    <t>2x2</t>
  </si>
  <si>
    <t>2x2</t>
  </si>
  <si>
    <t>2x4</t>
  </si>
  <si>
    <t>Cores/</t>
  </si>
  <si>
    <t>box</t>
  </si>
  <si>
    <t>Config</t>
  </si>
  <si>
    <t>(GHz)</t>
  </si>
  <si>
    <t>Fraction of Group CAF dedicated to calibration.</t>
  </si>
  <si>
    <t>Observed burst factor.</t>
  </si>
  <si>
    <t>Power in Spec CINT2000-s required to process one event.</t>
  </si>
  <si>
    <t>Power in Spec CINT2000-s required to process one event.</t>
  </si>
  <si>
    <t>Number</t>
  </si>
  <si>
    <t>Name</t>
  </si>
  <si>
    <t>GHz</t>
  </si>
  <si>
    <t>Spec CINT2000</t>
  </si>
  <si>
    <t>CAB</t>
  </si>
  <si>
    <t>Summed raw data size (TB):</t>
  </si>
  <si>
    <t>He said that if we buy any new disk, there is not enough power in the disk corner of FCC to plug them in.</t>
  </si>
  <si>
    <t>http://d0om.fnal.gov/d0admin/project_disks/</t>
  </si>
  <si>
    <t>http://d0om.fnal.gov/d0admin/cdf_disks/</t>
  </si>
  <si>
    <t>170 TB= 50 TB read pool + 120 TB project space.</t>
  </si>
  <si>
    <t>( 10% for higher occupancy for higher lumi plus 20% general contingency ).</t>
  </si>
  <si>
    <t>4 unused: see note below.</t>
  </si>
  <si>
    <t>4 unused, see note below.</t>
  </si>
  <si>
    <t>Type</t>
  </si>
  <si>
    <t>FermiUnits</t>
  </si>
  <si>
    <t>Spec</t>
  </si>
  <si>
    <t>CINT2000</t>
  </si>
  <si>
    <t>Speed/core</t>
  </si>
  <si>
    <t>D0</t>
  </si>
  <si>
    <t>Type</t>
  </si>
  <si>
    <t>Hyperthread Factor: Multiplies Speed units but only for CD, not D0.</t>
  </si>
  <si>
    <t>Warranty</t>
  </si>
  <si>
    <t>(2008)</t>
  </si>
  <si>
    <t>Number</t>
  </si>
  <si>
    <t>CDF</t>
  </si>
  <si>
    <t>This is probably low average of what we might get.</t>
  </si>
  <si>
    <t>D0</t>
  </si>
  <si>
    <t>Average SpecCINT-2000/core in rest of CAB.</t>
  </si>
  <si>
    <t>Average GHz/core in rest of CAB.</t>
  </si>
  <si>
    <t>Average GHz/core in Production Farm</t>
  </si>
  <si>
    <t>Seconds per day</t>
  </si>
  <si>
    <t>Measured rate, in Hz, that D0 processes events.</t>
  </si>
  <si>
    <t>From 'Tev and DAQ' - DC processing rate required to keep up with data.</t>
  </si>
  <si>
    <t>Cores in production farm.</t>
  </si>
  <si>
    <t>Cores from rest of CAB, if any, used for production (on average Jan-Apr 2008).</t>
  </si>
  <si>
    <t>MISCOMP NAME (Abbreviated)</t>
  </si>
  <si>
    <t>Xeon 2x2 LV</t>
  </si>
  <si>
    <t>Opteron 2x2</t>
  </si>
  <si>
    <t>Contingency:</t>
  </si>
  <si>
    <t>Buffer of MC for future reco(TB):</t>
  </si>
  <si>
    <t>Calibration SpecCINT2000 (Millions):</t>
  </si>
  <si>
    <t>Reprocessing Fraction:</t>
  </si>
  <si>
    <t>Required SpecCINT2000 (Millions):</t>
  </si>
  <si>
    <t xml:space="preserve">  </t>
  </si>
  <si>
    <t>Yearly events (Billions):</t>
  </si>
  <si>
    <t>Yearly events (Billions):</t>
  </si>
  <si>
    <t>Yearly raw data size (TB):</t>
  </si>
  <si>
    <t>Summed raw data size (TB):</t>
  </si>
  <si>
    <t>CDF</t>
  </si>
  <si>
    <t>Raw event size (kB):</t>
  </si>
  <si>
    <t>Hyper-</t>
  </si>
  <si>
    <t>Group CAF</t>
  </si>
  <si>
    <t>Type</t>
  </si>
  <si>
    <t>Time in seconds for one slot to process one event.</t>
  </si>
  <si>
    <t>Useful Size(TB)</t>
  </si>
  <si>
    <t>&lt;=2004</t>
  </si>
  <si>
    <t>Useful Size(TB)</t>
  </si>
  <si>
    <t>Raw Size/Unit (TB):</t>
  </si>
  <si>
    <t>Miscellaneous (k$):</t>
  </si>
  <si>
    <t>Cost per Unit:</t>
  </si>
  <si>
    <t>CPU (k$):</t>
  </si>
  <si>
    <t>Disk (k$):</t>
  </si>
  <si>
    <t>Total cost per unit (k$):</t>
  </si>
  <si>
    <t>Units acquired:</t>
  </si>
  <si>
    <t>Estimates for &lt;=2004 come from</t>
  </si>
  <si>
    <t>Start date of the model.</t>
  </si>
  <si>
    <t>Shutdown weeks:</t>
  </si>
  <si>
    <t>Last Day of FY</t>
  </si>
  <si>
    <t>FY09</t>
  </si>
  <si>
    <t>Days in FY before End of Run:</t>
  </si>
  <si>
    <t>D0</t>
  </si>
  <si>
    <t>2x1</t>
  </si>
  <si>
    <t>Weeks per year</t>
  </si>
  <si>
    <t>159 TB= 115 SAM cache + 44 TB project space</t>
  </si>
  <si>
    <t xml:space="preserve"> </t>
  </si>
  <si>
    <t>1 is to be installed as scratch space.</t>
  </si>
  <si>
    <t>1 (on d0srv070) is destined for sam cache (he was not clear about size but I infer 42 TB nominal.)</t>
  </si>
  <si>
    <t>Total useful size available, TB</t>
  </si>
  <si>
    <t>Total useful size available, TB.</t>
  </si>
  <si>
    <t>The data in ascii form are available by clicking "Daily Unmered totals (ascii list)".</t>
  </si>
  <si>
    <t>Excluding days with fewer than 2 million events processed, the averge processing rate is 5.1 million events/day.</t>
  </si>
  <si>
    <t>See the new worksheet 'D0 Reco Time" for the details to backup these numbers.</t>
  </si>
  <si>
    <t>CD-doc-2686-v2</t>
  </si>
  <si>
    <t>Average rate of event production (Millions of events/day).  See figure below.</t>
  </si>
  <si>
    <t>The figure below is from the url: http://www-bd.fnal.gov/pplot/today/DataSummaryTables.html</t>
  </si>
  <si>
    <t>http://www-d0.fnal.gov/computing/reprocessing/primary/stats_p20.12.00,p20.12.01,p20.12.02/Stats.html</t>
  </si>
  <si>
    <t>The figure below is from the url:</t>
  </si>
  <si>
    <t>Click on "Daily totals".</t>
  </si>
  <si>
    <t>Average time, in seconds, to process one event on one core.</t>
  </si>
  <si>
    <t>The these numbers include data from mid March when the Tevatron ran at unusually high peak luminosity.</t>
  </si>
  <si>
    <t>These numbers average over different instantaneous luminostities, different processor types.</t>
  </si>
  <si>
    <t>These numbers include a typical distribution of efficiencies.  They do account for occasional periods of very poor efficiency.</t>
  </si>
  <si>
    <t>Average power of cores used for production (SpecCINT-2000)</t>
  </si>
  <si>
    <t>Average power of cores used for production (GHz)</t>
  </si>
  <si>
    <t>Rate in Hz that one core processes events.</t>
  </si>
  <si>
    <t>Total cores used for production.</t>
  </si>
  <si>
    <t>This worksheet gives an independent measurement of the CPU power required to process one average D0 event.</t>
  </si>
  <si>
    <t>GROUPCAF has 6 Condor slots per node (all nodes); one slot used by Condor, leaving 5 job slots.</t>
  </si>
  <si>
    <t>An option is always to take a little longer to process some data periods.</t>
  </si>
  <si>
    <t>CDF test sample uses data from period 16, Jan 28-Feb 28.</t>
  </si>
  <si>
    <t>Averge power in GHz-s to process one event.</t>
  </si>
  <si>
    <t>Average power in SpecCINT2000-s to process one event.</t>
  </si>
  <si>
    <t>Average SpecCINT-2000/core in Production Farm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</si>
</sst>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yy"/>
    <numFmt numFmtId="166" formatCode="0.000"/>
    <numFmt numFmtId="167" formatCode="0.0"/>
    <numFmt numFmtId="168" formatCode="0.0%"/>
    <numFmt numFmtId="169" formatCode="#,##0.0"/>
    <numFmt numFmtId="170" formatCode="0.0000"/>
    <numFmt numFmtId="171" formatCode="General"/>
    <numFmt numFmtId="172" formatCode="0.0"/>
    <numFmt numFmtId="173" formatCode="0"/>
    <numFmt numFmtId="174" formatCode="0"/>
    <numFmt numFmtId="175" formatCode="0.0"/>
    <numFmt numFmtId="176" formatCode="0.0"/>
    <numFmt numFmtId="177" formatCode="0.00"/>
    <numFmt numFmtId="178" formatCode="0.0"/>
    <numFmt numFmtId="179" formatCode="#,##0"/>
    <numFmt numFmtId="180" formatCode="#,##0.00"/>
    <numFmt numFmtId="181" formatCode="0.00"/>
    <numFmt numFmtId="182" formatCode="0.00"/>
    <numFmt numFmtId="183" formatCode="0.00"/>
    <numFmt numFmtId="184" formatCode="0.00"/>
    <numFmt numFmtId="185" formatCode="0.00"/>
    <numFmt numFmtId="186" formatCode="0.0"/>
    <numFmt numFmtId="187" formatCode="0.00"/>
    <numFmt numFmtId="188" formatCode="0"/>
    <numFmt numFmtId="189" formatCode="0.00"/>
    <numFmt numFmtId="190" formatCode="0.00"/>
    <numFmt numFmtId="191" formatCode="#,##0.00"/>
    <numFmt numFmtId="192" formatCode="0.00"/>
    <numFmt numFmtId="193" formatCode="0.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u val="single"/>
      <sz val="10"/>
      <color indexed="12"/>
      <name val="Verdana"/>
      <family val="0"/>
    </font>
    <font>
      <sz val="14"/>
      <color indexed="10"/>
      <name val="Verdana"/>
      <family val="0"/>
    </font>
    <font>
      <u val="single"/>
      <sz val="10"/>
      <color indexed="61"/>
      <name val="Verdana"/>
      <family val="0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4" fontId="0" fillId="0" borderId="0" xfId="0" applyNumberFormat="1" applyAlignment="1" quotePrefix="1">
      <alignment/>
    </xf>
    <xf numFmtId="3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2" fontId="0" fillId="4" borderId="0" xfId="0" applyNumberFormat="1" applyFill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169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0" fillId="5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4" borderId="0" xfId="0" applyNumberFormat="1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4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0" fillId="5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20" applyAlignment="1" applyProtection="1">
      <alignment/>
      <protection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173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77" fontId="0" fillId="3" borderId="0" xfId="0" applyNumberFormat="1" applyFill="1" applyAlignment="1">
      <alignment/>
    </xf>
    <xf numFmtId="167" fontId="0" fillId="4" borderId="1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77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173" fontId="0" fillId="0" borderId="0" xfId="0" applyNumberFormat="1" applyFill="1" applyAlignment="1" quotePrefix="1">
      <alignment horizontal="center"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3" fontId="0" fillId="0" borderId="0" xfId="0" applyNumberFormat="1" applyFill="1" applyAlignment="1">
      <alignment horizontal="center"/>
    </xf>
    <xf numFmtId="177" fontId="0" fillId="0" borderId="0" xfId="0" applyNumberFormat="1" applyAlignment="1">
      <alignment/>
    </xf>
    <xf numFmtId="173" fontId="0" fillId="0" borderId="0" xfId="0" applyNumberFormat="1" applyAlignment="1">
      <alignment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3" fontId="0" fillId="0" borderId="0" xfId="0" applyNumberFormat="1" applyFill="1" applyAlignment="1">
      <alignment horizontal="center"/>
    </xf>
    <xf numFmtId="177" fontId="0" fillId="0" borderId="0" xfId="0" applyNumberFormat="1" applyAlignment="1">
      <alignment horizontal="right"/>
    </xf>
    <xf numFmtId="177" fontId="0" fillId="4" borderId="0" xfId="0" applyNumberFormat="1" applyFill="1" applyAlignment="1">
      <alignment/>
    </xf>
    <xf numFmtId="177" fontId="0" fillId="4" borderId="0" xfId="0" applyNumberFormat="1" applyFill="1" applyAlignment="1">
      <alignment horizontal="right"/>
    </xf>
    <xf numFmtId="177" fontId="0" fillId="3" borderId="0" xfId="0" applyNumberFormat="1" applyFill="1" applyAlignment="1">
      <alignment/>
    </xf>
    <xf numFmtId="177" fontId="0" fillId="3" borderId="0" xfId="0" applyNumberFormat="1" applyFill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4" borderId="0" xfId="0" applyNumberFormat="1" applyFill="1" applyAlignment="1">
      <alignment/>
    </xf>
    <xf numFmtId="177" fontId="0" fillId="4" borderId="0" xfId="0" applyNumberFormat="1" applyFill="1" applyAlignment="1">
      <alignment/>
    </xf>
    <xf numFmtId="4" fontId="0" fillId="4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18</xdr:row>
      <xdr:rowOff>95250</xdr:rowOff>
    </xdr:from>
    <xdr:to>
      <xdr:col>9</xdr:col>
      <xdr:colOff>561975</xdr:colOff>
      <xdr:row>35</xdr:row>
      <xdr:rowOff>152400</xdr:rowOff>
    </xdr:to>
    <xdr:pic>
      <xdr:nvPicPr>
        <xdr:cNvPr id="1" name="Picture 4" descr="FermiUnitsvsSpecInts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009900"/>
          <a:ext cx="37052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95250</xdr:rowOff>
    </xdr:from>
    <xdr:to>
      <xdr:col>3</xdr:col>
      <xdr:colOff>314325</xdr:colOff>
      <xdr:row>36</xdr:row>
      <xdr:rowOff>0</xdr:rowOff>
    </xdr:to>
    <xdr:pic>
      <xdr:nvPicPr>
        <xdr:cNvPr id="2" name="Picture 3" descr="FermiUnitvsClock.pd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09900"/>
          <a:ext cx="370522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75</xdr:row>
      <xdr:rowOff>66675</xdr:rowOff>
    </xdr:from>
    <xdr:to>
      <xdr:col>5</xdr:col>
      <xdr:colOff>400050</xdr:colOff>
      <xdr:row>93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2211050"/>
          <a:ext cx="40005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38</xdr:row>
      <xdr:rowOff>85725</xdr:rowOff>
    </xdr:from>
    <xdr:to>
      <xdr:col>7</xdr:col>
      <xdr:colOff>771525</xdr:colOff>
      <xdr:row>71</xdr:row>
      <xdr:rowOff>76200</xdr:rowOff>
    </xdr:to>
    <xdr:pic>
      <xdr:nvPicPr>
        <xdr:cNvPr id="1" name="Picture 2" descr="remote_daily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238875"/>
          <a:ext cx="619125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0om.fnal.gov/d0admin/cdf_disks/" TargetMode="External" /><Relationship Id="rId2" Type="http://schemas.openxmlformats.org/officeDocument/2006/relationships/hyperlink" Target="http://d0om.fnal.gov/d0admin/project_disks/" TargetMode="External" /><Relationship Id="rId3" Type="http://schemas.openxmlformats.org/officeDocument/2006/relationships/comments" Target="../comments6.xml" /><Relationship Id="rId4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workbookViewId="0" topLeftCell="A1">
      <selection activeCell="B7" sqref="B7"/>
    </sheetView>
  </sheetViews>
  <sheetFormatPr defaultColWidth="11.00390625" defaultRowHeight="12.75"/>
  <cols>
    <col min="2" max="2" width="15.375" style="0" customWidth="1"/>
  </cols>
  <sheetData>
    <row r="1" spans="6:7" ht="18">
      <c r="F1" s="129" t="s">
        <v>356</v>
      </c>
      <c r="G1" s="129"/>
    </row>
    <row r="2" spans="2:3" ht="12.75">
      <c r="B2">
        <v>3600</v>
      </c>
      <c r="C2" t="s">
        <v>103</v>
      </c>
    </row>
    <row r="3" spans="2:3" ht="12.75">
      <c r="B3">
        <v>24</v>
      </c>
      <c r="C3" t="s">
        <v>104</v>
      </c>
    </row>
    <row r="4" spans="2:3" ht="12.75">
      <c r="B4">
        <v>365</v>
      </c>
      <c r="C4" t="s">
        <v>105</v>
      </c>
    </row>
    <row r="5" spans="2:3" ht="12.75">
      <c r="B5">
        <f>SecPerHour*HoursPerDay*DaysPerYear</f>
        <v>31536000</v>
      </c>
      <c r="C5" t="s">
        <v>106</v>
      </c>
    </row>
    <row r="6" spans="2:3" ht="12.75">
      <c r="B6">
        <v>168</v>
      </c>
      <c r="C6" t="s">
        <v>107</v>
      </c>
    </row>
    <row r="7" spans="2:3" ht="12.75">
      <c r="B7">
        <v>52</v>
      </c>
      <c r="C7" t="s">
        <v>346</v>
      </c>
    </row>
    <row r="8" spans="2:3" ht="12.75">
      <c r="B8">
        <f>SecPerHour*HoursPerDay</f>
        <v>86400</v>
      </c>
      <c r="C8" t="s">
        <v>304</v>
      </c>
    </row>
    <row r="10" spans="2:3" ht="12.75">
      <c r="B10">
        <f>1024*1024</f>
        <v>1048576</v>
      </c>
      <c r="C10" t="s">
        <v>108</v>
      </c>
    </row>
    <row r="11" spans="2:3" ht="12.75">
      <c r="B11" s="9">
        <f>1024*1024*1024*1024</f>
        <v>1099511627776</v>
      </c>
      <c r="C11" t="s">
        <v>109</v>
      </c>
    </row>
    <row r="12" spans="2:3" ht="12.75">
      <c r="B12">
        <f>1024*1024*1024</f>
        <v>1073741824</v>
      </c>
      <c r="C12" t="s">
        <v>110</v>
      </c>
    </row>
    <row r="14" spans="2:3" ht="12.75">
      <c r="B14">
        <v>1000</v>
      </c>
      <c r="C14" t="s">
        <v>37</v>
      </c>
    </row>
    <row r="15" spans="2:3" ht="12.75">
      <c r="B15" s="37">
        <v>1000000</v>
      </c>
      <c r="C15" t="s">
        <v>132</v>
      </c>
    </row>
    <row r="16" spans="2:3" ht="12.75">
      <c r="B16" s="37">
        <v>1000000000</v>
      </c>
      <c r="C16" t="s">
        <v>154</v>
      </c>
    </row>
    <row r="17" spans="2:3" ht="12.75">
      <c r="B17" s="63">
        <f>1.024*1.024*1.024</f>
        <v>1.073741824</v>
      </c>
      <c r="C17" t="s">
        <v>155</v>
      </c>
    </row>
  </sheetData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="150" zoomScaleNormal="150" workbookViewId="0" topLeftCell="A3">
      <selection activeCell="D21" sqref="D21"/>
    </sheetView>
  </sheetViews>
  <sheetFormatPr defaultColWidth="11.00390625" defaultRowHeight="12.75"/>
  <cols>
    <col min="1" max="1" width="5.625" style="0" customWidth="1"/>
    <col min="2" max="2" width="20.625" style="0" customWidth="1"/>
    <col min="3" max="3" width="12.25390625" style="0" bestFit="1" customWidth="1"/>
    <col min="4" max="4" width="7.75390625" style="0" customWidth="1"/>
    <col min="5" max="5" width="6.625" style="0" customWidth="1"/>
    <col min="6" max="6" width="8.375" style="0" customWidth="1"/>
    <col min="7" max="7" width="10.125" style="0" customWidth="1"/>
    <col min="8" max="8" width="10.625" style="0" customWidth="1"/>
  </cols>
  <sheetData>
    <row r="1" ht="12.75">
      <c r="A1" s="30" t="s">
        <v>34</v>
      </c>
    </row>
    <row r="2" spans="1:2" ht="12.75">
      <c r="A2" t="s">
        <v>23</v>
      </c>
      <c r="B2" t="s">
        <v>27</v>
      </c>
    </row>
    <row r="3" spans="1:2" ht="12.75">
      <c r="A3" t="s">
        <v>24</v>
      </c>
      <c r="B3" t="s">
        <v>10</v>
      </c>
    </row>
    <row r="4" ht="12.75">
      <c r="B4" t="s">
        <v>28</v>
      </c>
    </row>
    <row r="6" spans="1:3" ht="12.75">
      <c r="A6" s="148"/>
      <c r="B6" s="155" t="s">
        <v>3</v>
      </c>
      <c r="C6" s="155"/>
    </row>
    <row r="7" spans="1:3" ht="12.75">
      <c r="A7" s="148"/>
      <c r="B7" s="148" t="s">
        <v>4</v>
      </c>
      <c r="C7" s="148" t="s">
        <v>5</v>
      </c>
    </row>
    <row r="8" spans="1:3" ht="12.75">
      <c r="A8" s="148" t="s">
        <v>25</v>
      </c>
      <c r="B8" s="148">
        <v>1000</v>
      </c>
      <c r="C8">
        <f>B8*'Installed CPU'!$D$70</f>
        <v>476000</v>
      </c>
    </row>
    <row r="9" spans="1:3" ht="12.75">
      <c r="A9" s="148" t="s">
        <v>26</v>
      </c>
      <c r="B9" s="148">
        <v>1240</v>
      </c>
      <c r="C9">
        <f>B9*'Installed CPU'!$D$70</f>
        <v>590240</v>
      </c>
    </row>
    <row r="10" ht="12.75">
      <c r="A10" s="134"/>
    </row>
    <row r="11" spans="3:9" ht="12.75">
      <c r="C11">
        <v>2005</v>
      </c>
      <c r="D11">
        <v>2008</v>
      </c>
      <c r="E11">
        <v>2009</v>
      </c>
      <c r="F11">
        <v>2010</v>
      </c>
      <c r="G11">
        <v>2011</v>
      </c>
      <c r="H11">
        <v>2012</v>
      </c>
      <c r="I11" s="38">
        <v>2013</v>
      </c>
    </row>
    <row r="12" spans="1:9" ht="12.75">
      <c r="A12" t="s">
        <v>36</v>
      </c>
      <c r="C12" s="121"/>
      <c r="D12" s="121">
        <v>1</v>
      </c>
      <c r="E12" s="121">
        <v>1</v>
      </c>
      <c r="F12" s="121">
        <v>1</v>
      </c>
      <c r="G12" s="121">
        <v>1</v>
      </c>
      <c r="H12" s="146">
        <v>0.8</v>
      </c>
      <c r="I12" s="147">
        <v>0.6</v>
      </c>
    </row>
    <row r="13" spans="1:9" ht="12.75">
      <c r="A13" t="s">
        <v>38</v>
      </c>
      <c r="C13" s="121"/>
      <c r="D13" s="121">
        <v>0.7</v>
      </c>
      <c r="E13" s="121">
        <v>0.7</v>
      </c>
      <c r="F13" s="121">
        <v>0.7</v>
      </c>
      <c r="G13" s="121">
        <v>0.7</v>
      </c>
      <c r="H13" s="146">
        <v>0.7</v>
      </c>
      <c r="I13" s="147">
        <v>0.7</v>
      </c>
    </row>
    <row r="14" spans="1:9" ht="12.75">
      <c r="A14" t="s">
        <v>42</v>
      </c>
      <c r="C14" s="121"/>
      <c r="D14" s="121">
        <v>0.2</v>
      </c>
      <c r="E14" s="121">
        <v>0.2</v>
      </c>
      <c r="F14" s="121">
        <v>0.2</v>
      </c>
      <c r="G14" s="121">
        <v>0.2</v>
      </c>
      <c r="H14" s="121">
        <v>0.2</v>
      </c>
      <c r="I14" s="89">
        <v>0.2</v>
      </c>
    </row>
    <row r="15" spans="3:9" ht="12.75">
      <c r="C15" s="121"/>
      <c r="D15" s="121"/>
      <c r="E15" s="121"/>
      <c r="F15" s="121"/>
      <c r="G15" s="121"/>
      <c r="H15" s="121"/>
      <c r="I15" s="89"/>
    </row>
    <row r="16" spans="1:9" ht="12.75">
      <c r="A16" s="20" t="s">
        <v>9</v>
      </c>
      <c r="C16" s="121"/>
      <c r="D16" s="121"/>
      <c r="E16" s="121"/>
      <c r="F16" s="121"/>
      <c r="G16" s="121"/>
      <c r="H16" s="121"/>
      <c r="I16" s="89"/>
    </row>
    <row r="17" spans="1:9" ht="12.75">
      <c r="A17" t="s">
        <v>6</v>
      </c>
      <c r="C17" s="121">
        <f>2384326366/Billion</f>
        <v>2.384326366</v>
      </c>
      <c r="D17" s="121">
        <f>'TeV and DAQ'!E20</f>
        <v>6.881389846285714</v>
      </c>
      <c r="E17" s="121">
        <f>'TeV and DAQ'!F20</f>
        <v>8.500425560571427</v>
      </c>
      <c r="F17" s="121">
        <f>'TeV and DAQ'!G20</f>
        <v>10.659139846285713</v>
      </c>
      <c r="G17" s="121">
        <f>'TeV and DAQ'!H20</f>
        <v>10.659139846285713</v>
      </c>
      <c r="H17" s="121">
        <f>G17</f>
        <v>10.659139846285713</v>
      </c>
      <c r="I17" s="90">
        <f>H17</f>
        <v>10.659139846285713</v>
      </c>
    </row>
    <row r="18" spans="1:9" ht="12.75">
      <c r="A18" t="s">
        <v>120</v>
      </c>
      <c r="C18" s="140"/>
      <c r="D18" s="157">
        <f>$C$8*(D17/$C$17)*D12*(1+D14)/D13/Million</f>
        <v>2.3550526449067264</v>
      </c>
      <c r="E18" s="157">
        <f>$C$8*(E17/$C$17)*E12*(1+E14)/E13/Million</f>
        <v>2.9091433774910853</v>
      </c>
      <c r="F18" s="157">
        <f>$C$8*(F17/$C$17)*F12*(1+F14)/F13/Million</f>
        <v>3.6479310209368974</v>
      </c>
      <c r="G18" s="157">
        <f>$C$8*(G17/$C$17)*G12*(1+G14)/G13/Million</f>
        <v>3.6479310209368974</v>
      </c>
      <c r="H18" s="157">
        <f>$C$8*(H17/$C$17)*H12*(1+H14)/H13/Million</f>
        <v>2.918344816749518</v>
      </c>
      <c r="I18" s="158">
        <f>$C$8*(I17/$C$17)*I12*(1+I14)/I13/Million</f>
        <v>2.1887586125621388</v>
      </c>
    </row>
    <row r="19" ht="12.75">
      <c r="I19" s="41"/>
    </row>
    <row r="20" spans="1:9" ht="12.75">
      <c r="A20" s="19" t="s">
        <v>35</v>
      </c>
      <c r="I20" s="41"/>
    </row>
    <row r="21" spans="1:9" ht="12.75">
      <c r="A21" t="s">
        <v>7</v>
      </c>
      <c r="B21" s="121"/>
      <c r="C21" s="145">
        <f>1671700749/Billion</f>
        <v>1.671700749</v>
      </c>
      <c r="D21" s="145">
        <f>'TeV and DAQ'!E33</f>
        <v>4.516350574285714</v>
      </c>
      <c r="E21" s="145">
        <f>'TeV and DAQ'!F33</f>
        <v>5.682056288571428</v>
      </c>
      <c r="F21" s="145">
        <f>'TeV and DAQ'!G33</f>
        <v>7.236330574285714</v>
      </c>
      <c r="G21" s="145">
        <f>'TeV and DAQ'!H33</f>
        <v>7.236330574285714</v>
      </c>
      <c r="H21" s="145">
        <f>G21</f>
        <v>7.236330574285714</v>
      </c>
      <c r="I21" s="156">
        <f>H21</f>
        <v>7.236330574285714</v>
      </c>
    </row>
    <row r="22" spans="1:9" ht="12.75">
      <c r="A22" t="s">
        <v>8</v>
      </c>
      <c r="D22" s="159">
        <f>$C$9*(D21/$C$21)*D12*(1+D14)/D13/Million</f>
        <v>2.7336376847464443</v>
      </c>
      <c r="E22" s="159">
        <f>$C$9*(E21/$C$21)*E12*(1+E14)/E13/Million</f>
        <v>3.439211137799229</v>
      </c>
      <c r="F22" s="159">
        <f>$C$9*(F21/$C$21)*F12*(1+F14)/F13/Million</f>
        <v>4.37997574186961</v>
      </c>
      <c r="G22" s="159">
        <f>$C$9*(G21/$C$21)*G12*(1+G14)/G13/Million</f>
        <v>4.37997574186961</v>
      </c>
      <c r="H22" s="159">
        <f>$C$9*(H21/$C$21)*H12*(1+H14)/H13/Million</f>
        <v>3.503980593495688</v>
      </c>
      <c r="I22" s="160">
        <f>$C$9*(I21/$C$21)*I12*(1+I14)/I13/Million</f>
        <v>2.627985445121766</v>
      </c>
    </row>
    <row r="25" ht="12.75">
      <c r="A25" t="s">
        <v>33</v>
      </c>
    </row>
    <row r="26" spans="1:2" ht="12.75">
      <c r="A26" s="145">
        <f>C21</f>
        <v>1.671700749</v>
      </c>
      <c r="B26" t="s">
        <v>30</v>
      </c>
    </row>
    <row r="27" spans="1:2" ht="12.75">
      <c r="A27" s="149">
        <f>A26*Billion/SecPerYear*WeeksPerYear/Thousand</f>
        <v>2.75648271651446</v>
      </c>
      <c r="B27" t="s">
        <v>29</v>
      </c>
    </row>
    <row r="28" spans="1:2" ht="12.75">
      <c r="A28" s="149">
        <v>0.45</v>
      </c>
      <c r="B28" t="s">
        <v>31</v>
      </c>
    </row>
    <row r="29" spans="1:2" ht="12.75">
      <c r="A29" s="150">
        <f>A27*Thousand*A28</f>
        <v>1240.4172224315068</v>
      </c>
      <c r="B29" t="s">
        <v>32</v>
      </c>
    </row>
  </sheetData>
  <mergeCells count="1">
    <mergeCell ref="B6:C6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F13" sqref="F13"/>
    </sheetView>
  </sheetViews>
  <sheetFormatPr defaultColWidth="11.00390625" defaultRowHeight="12.75"/>
  <sheetData>
    <row r="1" ht="12.75">
      <c r="A1" t="s">
        <v>22</v>
      </c>
    </row>
    <row r="3" spans="3:8" ht="12.75">
      <c r="C3">
        <v>2008</v>
      </c>
      <c r="D3">
        <v>2009</v>
      </c>
      <c r="E3">
        <v>2010</v>
      </c>
      <c r="F3">
        <v>2011</v>
      </c>
      <c r="G3">
        <v>2012</v>
      </c>
      <c r="H3" s="118">
        <v>2013</v>
      </c>
    </row>
    <row r="4" ht="12.75">
      <c r="A4" s="163" t="s">
        <v>322</v>
      </c>
    </row>
    <row r="5" spans="1:5" ht="12.75">
      <c r="A5" t="s">
        <v>14</v>
      </c>
      <c r="C5" s="121">
        <f>'Reco CPU'!F23</f>
        <v>1.1252089487903223</v>
      </c>
      <c r="D5" s="121">
        <f>'Reco CPU'!G23</f>
        <v>1.509745536935484</v>
      </c>
      <c r="E5" s="121">
        <f>'Reco CPU'!H23</f>
        <v>1.5097455369354835</v>
      </c>
    </row>
    <row r="6" spans="1:8" ht="12.75">
      <c r="A6" t="s">
        <v>12</v>
      </c>
      <c r="C6" s="161">
        <f>'Analysis CPU'!D18</f>
        <v>2.3550526449067264</v>
      </c>
      <c r="D6" s="161">
        <f>'Analysis CPU'!E18</f>
        <v>2.9091433774910853</v>
      </c>
      <c r="E6" s="161">
        <f>'Analysis CPU'!F18</f>
        <v>3.6479310209368974</v>
      </c>
      <c r="F6" s="161">
        <f>'Analysis CPU'!G18</f>
        <v>3.6479310209368974</v>
      </c>
      <c r="G6" s="161">
        <f>'Analysis CPU'!H18</f>
        <v>2.918344816749518</v>
      </c>
      <c r="H6" s="161">
        <f>'Analysis CPU'!I18</f>
        <v>2.1887586125621388</v>
      </c>
    </row>
    <row r="7" spans="1:8" ht="12.75">
      <c r="A7" t="s">
        <v>17</v>
      </c>
      <c r="C7" s="164">
        <f>SUM(C5:C6)</f>
        <v>3.4802615936970485</v>
      </c>
      <c r="D7" s="164">
        <f>SUM(D5:D6)</f>
        <v>4.418888914426569</v>
      </c>
      <c r="E7" s="161">
        <f>SUM(E6)</f>
        <v>3.6479310209368974</v>
      </c>
      <c r="F7" s="161"/>
      <c r="G7" s="161"/>
      <c r="H7" s="161"/>
    </row>
    <row r="8" spans="1:4" ht="12.75">
      <c r="A8" t="s">
        <v>13</v>
      </c>
      <c r="C8" s="165">
        <f>'CPU by Year'!E8</f>
        <v>9.418944999999999</v>
      </c>
      <c r="D8" s="165">
        <f>'CPU by Year'!F8</f>
        <v>9.540564</v>
      </c>
    </row>
    <row r="10" ht="12.75">
      <c r="A10" s="19" t="s">
        <v>18</v>
      </c>
    </row>
    <row r="11" spans="1:5" ht="12.75">
      <c r="A11" t="s">
        <v>11</v>
      </c>
      <c r="C11" s="121">
        <f>'Reco CPU'!F39</f>
        <v>3.6152179487193274</v>
      </c>
      <c r="D11" s="121">
        <f>'Reco CPU'!G39</f>
        <v>3.615217948719328</v>
      </c>
      <c r="E11" s="121">
        <f>'Reco CPU'!H39</f>
        <v>3.6152179487193274</v>
      </c>
    </row>
    <row r="12" spans="1:8" ht="12.75">
      <c r="A12" t="s">
        <v>19</v>
      </c>
      <c r="C12" s="162">
        <f>'Analysis CPU'!D22</f>
        <v>2.7336376847464443</v>
      </c>
      <c r="D12" s="162">
        <f>'Analysis CPU'!E22</f>
        <v>3.439211137799229</v>
      </c>
      <c r="E12" s="162">
        <f>'Analysis CPU'!F22</f>
        <v>4.37997574186961</v>
      </c>
      <c r="F12" s="162">
        <f>'Analysis CPU'!G22</f>
        <v>4.37997574186961</v>
      </c>
      <c r="G12" s="162">
        <f>'Analysis CPU'!H22</f>
        <v>3.503980593495688</v>
      </c>
      <c r="H12" s="162">
        <f>'Analysis CPU'!I22</f>
        <v>2.627985445121766</v>
      </c>
    </row>
    <row r="13" spans="1:5" ht="12.75">
      <c r="A13" t="s">
        <v>20</v>
      </c>
      <c r="C13" s="113">
        <f>SUM(C11:C12)</f>
        <v>6.348855633465772</v>
      </c>
      <c r="D13" s="113">
        <f>SUM(D11:D12)</f>
        <v>7.054429086518557</v>
      </c>
      <c r="E13" s="121">
        <f>SUM(E11:E12)</f>
        <v>7.995193690588938</v>
      </c>
    </row>
    <row r="14" spans="1:4" ht="12.75">
      <c r="A14" t="s">
        <v>21</v>
      </c>
      <c r="C14" s="113">
        <f>'CPU by Year'!E13</f>
        <v>10.06252</v>
      </c>
      <c r="D14" s="113">
        <f>'CPU by Year'!F13</f>
        <v>10.30464</v>
      </c>
    </row>
  </sheetData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D15" sqref="D15"/>
    </sheetView>
  </sheetViews>
  <sheetFormatPr defaultColWidth="11.00390625" defaultRowHeight="12.75"/>
  <cols>
    <col min="2" max="2" width="9.125" style="0" customWidth="1"/>
    <col min="3" max="3" width="11.875" style="0" customWidth="1"/>
    <col min="4" max="4" width="9.875" style="0" customWidth="1"/>
    <col min="6" max="6" width="13.625" style="0" bestFit="1" customWidth="1"/>
  </cols>
  <sheetData>
    <row r="1" spans="1:3" ht="12.75">
      <c r="A1" t="s">
        <v>312</v>
      </c>
      <c r="B1" s="109">
        <v>0.3</v>
      </c>
      <c r="C1" t="s">
        <v>284</v>
      </c>
    </row>
    <row r="3" ht="12.75">
      <c r="A3" s="20" t="s">
        <v>127</v>
      </c>
    </row>
    <row r="4" spans="1:5" ht="12.75">
      <c r="A4" t="s">
        <v>122</v>
      </c>
      <c r="D4" s="115">
        <v>2.03</v>
      </c>
      <c r="E4" t="s">
        <v>243</v>
      </c>
    </row>
    <row r="6" spans="3:7" ht="12.75">
      <c r="C6" s="105"/>
      <c r="D6" s="111" t="s">
        <v>246</v>
      </c>
      <c r="E6" s="105" t="s">
        <v>342</v>
      </c>
      <c r="F6" s="105" t="s">
        <v>203</v>
      </c>
      <c r="G6" s="105" t="s">
        <v>204</v>
      </c>
    </row>
    <row r="7" spans="4:7" ht="12.75">
      <c r="D7" s="103"/>
      <c r="E7" s="89"/>
      <c r="F7" s="103"/>
      <c r="G7" s="103"/>
    </row>
    <row r="8" spans="1:8" ht="12" customHeight="1">
      <c r="A8" t="s">
        <v>116</v>
      </c>
      <c r="D8" s="107">
        <f>'TeV and DAQ'!D18+'TeV and DAQ'!E18</f>
        <v>271.4686045822288</v>
      </c>
      <c r="E8" s="107">
        <f>'TeV and DAQ'!F18</f>
        <v>247.28649961096897</v>
      </c>
      <c r="F8" s="107">
        <f>'TeV and DAQ'!G18</f>
        <v>329.7153328146253</v>
      </c>
      <c r="G8" s="107">
        <f>'TeV and DAQ'!H18</f>
        <v>0</v>
      </c>
      <c r="H8" t="s">
        <v>245</v>
      </c>
    </row>
    <row r="9" spans="1:7" ht="12.75" customHeight="1">
      <c r="A9" t="s">
        <v>124</v>
      </c>
      <c r="D9" s="107">
        <f>D8*RecoToRaw</f>
        <v>551.0812673019244</v>
      </c>
      <c r="E9" s="107">
        <f>E8*RecoToRaw</f>
        <v>501.99159421026695</v>
      </c>
      <c r="F9" s="107">
        <f>F8*RecoToRaw</f>
        <v>669.3221256136893</v>
      </c>
      <c r="G9" s="107">
        <f>G8*RecoToRaw</f>
        <v>0</v>
      </c>
    </row>
    <row r="10" spans="1:7" ht="12.75" customHeight="1">
      <c r="A10" t="s">
        <v>52</v>
      </c>
      <c r="D10" s="110">
        <v>1</v>
      </c>
      <c r="E10" s="110">
        <v>1</v>
      </c>
      <c r="F10" s="110">
        <v>1</v>
      </c>
      <c r="G10" s="110">
        <v>1</v>
      </c>
    </row>
    <row r="11" spans="1:7" ht="12.75">
      <c r="A11" t="s">
        <v>125</v>
      </c>
      <c r="D11" s="107">
        <f>250</f>
        <v>250</v>
      </c>
      <c r="E11" s="110">
        <f>250</f>
        <v>250</v>
      </c>
      <c r="F11" s="110">
        <f>250</f>
        <v>250</v>
      </c>
      <c r="G11" s="110">
        <f>250</f>
        <v>250</v>
      </c>
    </row>
    <row r="12" spans="1:7" ht="12.75">
      <c r="A12" t="s">
        <v>53</v>
      </c>
      <c r="D12" s="116">
        <v>1</v>
      </c>
      <c r="E12" s="116">
        <v>1</v>
      </c>
      <c r="F12" s="116">
        <v>1</v>
      </c>
      <c r="G12" s="116">
        <v>1</v>
      </c>
    </row>
    <row r="13" spans="4:7" ht="12.75">
      <c r="D13" s="107"/>
      <c r="E13" s="107"/>
      <c r="F13" s="107"/>
      <c r="G13" s="107"/>
    </row>
    <row r="14" spans="1:7" ht="12.75">
      <c r="A14" t="s">
        <v>126</v>
      </c>
      <c r="D14" s="107">
        <f>D8+D9*D10+D11*D12</f>
        <v>1072.5498718841532</v>
      </c>
      <c r="E14" s="110">
        <f>E8+E9*E10+E11*E12</f>
        <v>999.2780938212359</v>
      </c>
      <c r="F14" s="110">
        <f>F8+F9*F10+F11*F12</f>
        <v>1249.0374584283145</v>
      </c>
      <c r="G14" s="110">
        <f>G8+G9*G10+G11*G12</f>
        <v>250</v>
      </c>
    </row>
    <row r="15" spans="1:7" ht="12.75">
      <c r="A15" s="106" t="s">
        <v>117</v>
      </c>
      <c r="D15" s="112">
        <f>(1+TapeVolumeContingency)*D14/1024</f>
        <v>1.361635579540429</v>
      </c>
      <c r="E15" s="112">
        <f>(1+TapeVolumeContingency)*E14/1024</f>
        <v>1.268614767546491</v>
      </c>
      <c r="F15" s="112">
        <f>(1+TapeVolumeContingency)*F14/1024</f>
        <v>1.5856920858953212</v>
      </c>
      <c r="G15" s="112">
        <f>(1+TapeVolumeContingency)*G14/1024</f>
        <v>0.3173828125</v>
      </c>
    </row>
    <row r="20" ht="12.75">
      <c r="A20" s="19" t="s">
        <v>240</v>
      </c>
    </row>
    <row r="21" spans="1:5" ht="12.75">
      <c r="A21" t="s">
        <v>122</v>
      </c>
      <c r="D21" s="115">
        <v>1.58</v>
      </c>
      <c r="E21" t="s">
        <v>244</v>
      </c>
    </row>
    <row r="23" spans="3:7" ht="12.75">
      <c r="C23" s="108"/>
      <c r="D23" s="108" t="s">
        <v>123</v>
      </c>
      <c r="E23" s="108" t="s">
        <v>342</v>
      </c>
      <c r="F23" s="108" t="s">
        <v>203</v>
      </c>
      <c r="G23" s="108" t="s">
        <v>204</v>
      </c>
    </row>
    <row r="25" spans="1:7" ht="12.75">
      <c r="A25" t="s">
        <v>116</v>
      </c>
      <c r="D25" s="110">
        <f>'TeV and DAQ'!D31+'TeV and DAQ'!E31</f>
        <v>231.06557500016476</v>
      </c>
      <c r="E25" s="110">
        <f>'TeV and DAQ'!F31</f>
        <v>206.27312894378392</v>
      </c>
      <c r="F25" s="110">
        <f>'TeV and DAQ'!G31</f>
        <v>275.03083859171187</v>
      </c>
      <c r="G25" s="110">
        <f>'TeV and DAQ'!H31</f>
        <v>0</v>
      </c>
    </row>
    <row r="26" spans="1:7" ht="12.75">
      <c r="A26" t="s">
        <v>124</v>
      </c>
      <c r="D26" s="110">
        <f>D25*D0RecoToRaw</f>
        <v>365.0836085002603</v>
      </c>
      <c r="E26" s="110">
        <f>E25*D0RecoToRaw</f>
        <v>325.9115437311786</v>
      </c>
      <c r="F26" s="110">
        <f>F25*D0RecoToRaw</f>
        <v>434.54872497490476</v>
      </c>
      <c r="G26" s="110">
        <f>G25*D0RecoToRaw</f>
        <v>0</v>
      </c>
    </row>
    <row r="27" spans="1:7" ht="12.75">
      <c r="A27" t="s">
        <v>54</v>
      </c>
      <c r="D27" s="110">
        <v>1</v>
      </c>
      <c r="E27" s="110">
        <v>1</v>
      </c>
      <c r="F27" s="110">
        <v>1</v>
      </c>
      <c r="G27" s="110">
        <v>1</v>
      </c>
    </row>
    <row r="28" spans="1:7" ht="12.75">
      <c r="A28" t="s">
        <v>125</v>
      </c>
      <c r="D28" s="110">
        <v>95</v>
      </c>
      <c r="E28" s="110">
        <v>95</v>
      </c>
      <c r="F28" s="110">
        <v>95</v>
      </c>
      <c r="G28" s="110">
        <v>95</v>
      </c>
    </row>
    <row r="29" spans="1:7" ht="12.75">
      <c r="A29" t="s">
        <v>53</v>
      </c>
      <c r="D29" s="116">
        <v>1</v>
      </c>
      <c r="E29" s="116">
        <v>1</v>
      </c>
      <c r="F29" s="116">
        <v>1</v>
      </c>
      <c r="G29" s="116">
        <v>1</v>
      </c>
    </row>
    <row r="30" spans="1:7" ht="12.75">
      <c r="A30" t="s">
        <v>313</v>
      </c>
      <c r="D30" s="110">
        <v>40</v>
      </c>
      <c r="E30" s="110">
        <v>0</v>
      </c>
      <c r="F30" s="110">
        <v>0</v>
      </c>
      <c r="G30" s="110">
        <v>0</v>
      </c>
    </row>
    <row r="31" spans="4:7" ht="12.75">
      <c r="D31" s="110"/>
      <c r="E31" s="110"/>
      <c r="F31" s="110"/>
      <c r="G31" s="110"/>
    </row>
    <row r="32" spans="1:7" ht="12.75">
      <c r="A32" t="s">
        <v>118</v>
      </c>
      <c r="D32" s="110">
        <f>D25+D26*D27+D28*D29+D30</f>
        <v>731.1491835004251</v>
      </c>
      <c r="E32" s="110">
        <f>E25+E26*E27+E28*E29+E30</f>
        <v>627.1846726749625</v>
      </c>
      <c r="F32" s="110">
        <f>F25+F26*F27+F28*F29+F30</f>
        <v>804.5795635666166</v>
      </c>
      <c r="G32" s="110">
        <f>G25+G26*G27+G28*G29+G30</f>
        <v>95</v>
      </c>
    </row>
    <row r="33" spans="1:7" ht="12.75">
      <c r="A33" s="106" t="s">
        <v>119</v>
      </c>
      <c r="D33" s="113">
        <f>(1+TapeVolumeContingency)*D32/1024</f>
        <v>0.9282167368657741</v>
      </c>
      <c r="E33" s="113">
        <f>(1+TapeVolumeContingency)*E32/1024</f>
        <v>0.796230541481886</v>
      </c>
      <c r="F33" s="113">
        <f>(1+TapeVolumeContingency)*F32/1024</f>
        <v>1.0214388990591812</v>
      </c>
      <c r="G33" s="113">
        <f>(1+TapeVolumeContingency)*G32/1024</f>
        <v>0.12060546875</v>
      </c>
    </row>
    <row r="35" ht="12.75">
      <c r="A35" t="s">
        <v>55</v>
      </c>
    </row>
  </sheetData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G6" sqref="G6"/>
    </sheetView>
  </sheetViews>
  <sheetFormatPr defaultColWidth="11.00390625" defaultRowHeight="12.75"/>
  <cols>
    <col min="2" max="2" width="6.75390625" style="0" customWidth="1"/>
    <col min="3" max="3" width="8.625" style="0" customWidth="1"/>
    <col min="4" max="4" width="11.375" style="0" customWidth="1"/>
    <col min="5" max="5" width="8.25390625" style="0" customWidth="1"/>
    <col min="6" max="6" width="8.125" style="0" customWidth="1"/>
    <col min="7" max="7" width="9.25390625" style="0" customWidth="1"/>
    <col min="8" max="8" width="7.75390625" style="0" customWidth="1"/>
    <col min="9" max="9" width="8.375" style="0" customWidth="1"/>
    <col min="10" max="10" width="8.25390625" style="0" customWidth="1"/>
    <col min="11" max="11" width="7.00390625" style="0" customWidth="1"/>
  </cols>
  <sheetData>
    <row r="1" ht="12.75">
      <c r="A1" t="s">
        <v>131</v>
      </c>
    </row>
    <row r="2" spans="3:11" ht="12.75">
      <c r="C2" s="38" t="s">
        <v>136</v>
      </c>
      <c r="D2" s="38">
        <v>2008</v>
      </c>
      <c r="E2" s="38">
        <v>2008</v>
      </c>
      <c r="F2" s="38">
        <v>2008</v>
      </c>
      <c r="G2" s="38">
        <v>2009</v>
      </c>
      <c r="H2" s="38">
        <v>2010</v>
      </c>
      <c r="I2" s="38">
        <v>2011</v>
      </c>
      <c r="J2" s="38">
        <v>2012</v>
      </c>
      <c r="K2" s="38">
        <v>2013</v>
      </c>
    </row>
    <row r="3" spans="1:11" ht="12.75">
      <c r="A3" t="s">
        <v>322</v>
      </c>
      <c r="C3" s="38"/>
      <c r="D3" s="38" t="s">
        <v>137</v>
      </c>
      <c r="E3" s="38" t="s">
        <v>138</v>
      </c>
      <c r="F3" s="38" t="s">
        <v>139</v>
      </c>
      <c r="G3" s="38"/>
      <c r="H3" s="38"/>
      <c r="I3" s="38"/>
      <c r="J3" s="38"/>
      <c r="K3" s="38"/>
    </row>
    <row r="4" spans="1:11" ht="12.75">
      <c r="A4" t="s">
        <v>140</v>
      </c>
      <c r="D4" s="52">
        <f>'TeV and DAQ'!D17</f>
        <v>0.879979688</v>
      </c>
      <c r="E4" s="52">
        <f>'TeV and DAQ'!E17</f>
        <v>0.9048857142857142</v>
      </c>
      <c r="F4" s="71">
        <f>D4+E4</f>
        <v>1.7848654022857142</v>
      </c>
      <c r="G4" s="71"/>
      <c r="H4" s="71"/>
      <c r="I4" s="71"/>
      <c r="J4" s="71"/>
      <c r="K4" s="71"/>
    </row>
    <row r="5" spans="1:11" ht="12.75">
      <c r="A5" t="s">
        <v>141</v>
      </c>
      <c r="F5">
        <v>0.7</v>
      </c>
      <c r="G5">
        <v>0.7</v>
      </c>
      <c r="H5">
        <v>0.7</v>
      </c>
      <c r="I5">
        <v>0.7</v>
      </c>
      <c r="J5">
        <v>0.7</v>
      </c>
      <c r="K5">
        <v>0.7</v>
      </c>
    </row>
    <row r="6" ht="12.75">
      <c r="A6" t="s">
        <v>142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4"/>
  <sheetViews>
    <sheetView zoomScale="125" zoomScaleNormal="125" workbookViewId="0" topLeftCell="A5">
      <selection activeCell="E20" sqref="E20"/>
    </sheetView>
  </sheetViews>
  <sheetFormatPr defaultColWidth="11.00390625" defaultRowHeight="12.75"/>
  <cols>
    <col min="1" max="1" width="2.375" style="0" customWidth="1"/>
    <col min="2" max="2" width="26.625" style="0" customWidth="1"/>
    <col min="3" max="3" width="10.25390625" style="0" bestFit="1" customWidth="1"/>
    <col min="4" max="4" width="12.00390625" style="0" customWidth="1"/>
    <col min="5" max="5" width="10.25390625" style="0" customWidth="1"/>
    <col min="6" max="6" width="10.375" style="0" customWidth="1"/>
    <col min="7" max="7" width="11.25390625" style="0" customWidth="1"/>
    <col min="8" max="8" width="11.875" style="0" bestFit="1" customWidth="1"/>
  </cols>
  <sheetData>
    <row r="1" spans="2:3" ht="12.75">
      <c r="B1" s="3">
        <v>38107</v>
      </c>
      <c r="C1" t="s">
        <v>339</v>
      </c>
    </row>
    <row r="2" spans="2:4" ht="12.75">
      <c r="B2" s="10">
        <v>38989</v>
      </c>
      <c r="C2" s="11" t="s">
        <v>206</v>
      </c>
      <c r="D2" s="11"/>
    </row>
    <row r="3" spans="2:3" ht="10.5" customHeight="1">
      <c r="B3" s="3"/>
      <c r="C3" s="2"/>
    </row>
    <row r="5" spans="3:8" ht="12.75">
      <c r="C5" s="1" t="s">
        <v>201</v>
      </c>
      <c r="D5" s="1" t="s">
        <v>200</v>
      </c>
      <c r="E5" s="1" t="s">
        <v>202</v>
      </c>
      <c r="F5" s="1" t="s">
        <v>342</v>
      </c>
      <c r="G5" s="1" t="s">
        <v>203</v>
      </c>
      <c r="H5" s="1" t="s">
        <v>204</v>
      </c>
    </row>
    <row r="6" spans="2:8" ht="12.75">
      <c r="B6" t="s">
        <v>341</v>
      </c>
      <c r="C6" s="1"/>
      <c r="D6" s="1"/>
      <c r="E6" s="4">
        <v>38259</v>
      </c>
      <c r="F6" s="4">
        <v>38624</v>
      </c>
      <c r="G6" s="4">
        <v>38989</v>
      </c>
      <c r="H6" s="4">
        <v>39354</v>
      </c>
    </row>
    <row r="7" spans="2:8" ht="12.75">
      <c r="B7" t="s">
        <v>343</v>
      </c>
      <c r="C7" s="1"/>
      <c r="D7" s="5">
        <f>DATEDIF(DATE(2007,9,30),B1,"D")-1</f>
        <v>213</v>
      </c>
      <c r="E7" s="6">
        <f>IF($B$2&gt;=E6,DATEDIF(B1,E6,"D")+1,DATEDIF(B1,$B$2,"D")+1)</f>
        <v>153</v>
      </c>
      <c r="F7" s="6">
        <f>IF($B$2&gt;=F6,365,IF(E6&lt;$B$2,DATEDIF(E6,$B$2,"D"),0))</f>
        <v>365</v>
      </c>
      <c r="G7" s="6">
        <f>IF($B$2&gt;=G6,365,IF(F6&lt;$B$2,DATEDIF(F6,$B$2,"D"),0))</f>
        <v>365</v>
      </c>
      <c r="H7" s="6">
        <f>IF($B$2&gt;=H6,365,IF(G6&lt;$B$2,DATEDIF(G6,$B$2,"D"),0))</f>
        <v>0</v>
      </c>
    </row>
    <row r="8" spans="2:8" ht="12.75">
      <c r="B8" t="s">
        <v>340</v>
      </c>
      <c r="E8">
        <v>0</v>
      </c>
      <c r="F8">
        <v>13</v>
      </c>
      <c r="G8">
        <v>0</v>
      </c>
      <c r="H8">
        <v>0</v>
      </c>
    </row>
    <row r="9" spans="2:8" ht="12.75">
      <c r="B9" t="s">
        <v>205</v>
      </c>
      <c r="E9">
        <v>115</v>
      </c>
      <c r="F9">
        <v>115</v>
      </c>
      <c r="G9">
        <v>115</v>
      </c>
      <c r="H9">
        <v>115</v>
      </c>
    </row>
    <row r="11" ht="12.75">
      <c r="B11" s="20" t="s">
        <v>322</v>
      </c>
    </row>
    <row r="12" spans="2:8" ht="12.75">
      <c r="B12" t="s">
        <v>199</v>
      </c>
      <c r="E12">
        <v>100</v>
      </c>
      <c r="F12">
        <v>100</v>
      </c>
      <c r="G12">
        <v>100</v>
      </c>
      <c r="H12">
        <v>100</v>
      </c>
    </row>
    <row r="13" spans="2:8" ht="12.75">
      <c r="B13" t="s">
        <v>323</v>
      </c>
      <c r="E13" s="12">
        <v>164</v>
      </c>
      <c r="F13" s="12">
        <v>164</v>
      </c>
      <c r="G13" s="12">
        <v>164</v>
      </c>
      <c r="H13" s="12">
        <v>164</v>
      </c>
    </row>
    <row r="14" spans="2:8" ht="12.75">
      <c r="B14" t="s">
        <v>159</v>
      </c>
      <c r="E14" s="56">
        <f>E12*E13/1024</f>
        <v>16.015625</v>
      </c>
      <c r="F14" s="56">
        <f>F12*F13/1024</f>
        <v>16.015625</v>
      </c>
      <c r="G14" s="56">
        <f>G12*G13/1024</f>
        <v>16.015625</v>
      </c>
      <c r="H14" s="56">
        <f>H12*H13/1024</f>
        <v>16.015625</v>
      </c>
    </row>
    <row r="15" spans="5:8" ht="12.75">
      <c r="E15" s="7"/>
      <c r="F15" s="7"/>
      <c r="G15" s="7"/>
      <c r="H15" s="7"/>
    </row>
    <row r="16" spans="2:8" ht="12.75">
      <c r="B16" t="s">
        <v>175</v>
      </c>
      <c r="E16" s="59">
        <f>E12*(115/HoursPerWeek)*(WeeksPerYear-E8)/WeeksPerYear</f>
        <v>68.45238095238095</v>
      </c>
      <c r="F16" s="110">
        <f>F12*(115/HoursPerWeek)*(WeeksPerYear-F8)/WeeksPerYear</f>
        <v>51.33928571428571</v>
      </c>
      <c r="G16" s="110">
        <f>G12*(115/HoursPerWeek)*(WeeksPerYear-G8)/WeeksPerYear</f>
        <v>68.45238095238095</v>
      </c>
      <c r="H16" s="110">
        <f>H12*(115/HoursPerWeek)*(WeeksPerYear-H8)/WeeksPerYear</f>
        <v>68.45238095238095</v>
      </c>
    </row>
    <row r="17" spans="2:8" ht="12.75">
      <c r="B17" t="s">
        <v>319</v>
      </c>
      <c r="C17" s="21">
        <f>5096524444/1000000000</f>
        <v>5.096524444</v>
      </c>
      <c r="D17" s="21">
        <f>879979688/1000000000</f>
        <v>0.879979688</v>
      </c>
      <c r="E17" s="8">
        <f>E12*E9/HoursPerWeek*SecPerYear*E7/DaysPerYear*((WeeksPerYear-E8)/WeeksPerYear)/Billion</f>
        <v>0.9048857142857142</v>
      </c>
      <c r="F17" s="116">
        <f>F12*F9/HoursPerWeek*SecPerYear*F7/DaysPerYear*((WeeksPerYear-F8)/WeeksPerYear)/Billion</f>
        <v>1.6190357142857141</v>
      </c>
      <c r="G17" s="116">
        <f>G12*G9/HoursPerWeek*SecPerYear*G7/DaysPerYear*((WeeksPerYear-G8)/WeeksPerYear)/Billion</f>
        <v>2.1587142857142854</v>
      </c>
      <c r="H17" s="116">
        <f>H12*H9/HoursPerWeek*SecPerYear*H7/DaysPerYear*((WeeksPerYear-H8)/WeeksPerYear)/Billion</f>
        <v>0</v>
      </c>
    </row>
    <row r="18" spans="2:8" ht="12.75">
      <c r="B18" t="s">
        <v>320</v>
      </c>
      <c r="C18" s="22">
        <f>829600000000000/BytesPerTB</f>
        <v>754.5168045908213</v>
      </c>
      <c r="D18" s="22">
        <f>146520000000000/BytesPerTB</f>
        <v>133.25916370376945</v>
      </c>
      <c r="E18" s="13">
        <f>E17*Billion*E13/kBPerTB</f>
        <v>138.20944087845936</v>
      </c>
      <c r="F18" s="56">
        <f>F17*Billion*F13/kBPerTB</f>
        <v>247.28649961096897</v>
      </c>
      <c r="G18" s="56">
        <f>G17*Billion*G13/kBPerTB</f>
        <v>329.7153328146253</v>
      </c>
      <c r="H18" s="56">
        <f>H17*Billion*H13/kBPerTB</f>
        <v>0</v>
      </c>
    </row>
    <row r="19" spans="5:8" ht="12.75">
      <c r="E19" s="13"/>
      <c r="F19" s="13"/>
      <c r="G19" s="13"/>
      <c r="H19" s="13"/>
    </row>
    <row r="20" spans="2:8" ht="12.75">
      <c r="B20" t="s">
        <v>173</v>
      </c>
      <c r="C20" s="102">
        <f>C17</f>
        <v>5.096524444</v>
      </c>
      <c r="E20" s="13">
        <f>C17+D17+E17</f>
        <v>6.881389846285714</v>
      </c>
      <c r="F20" s="13">
        <f>E20+F17</f>
        <v>8.500425560571427</v>
      </c>
      <c r="G20" s="13">
        <f>F20+G17</f>
        <v>10.659139846285713</v>
      </c>
      <c r="H20" s="13">
        <f>G20+H17</f>
        <v>10.659139846285713</v>
      </c>
    </row>
    <row r="21" spans="2:8" ht="12.75">
      <c r="B21" t="s">
        <v>321</v>
      </c>
      <c r="C21" s="62">
        <f>C18</f>
        <v>754.5168045908213</v>
      </c>
      <c r="E21" s="13">
        <f>C18+D18+E18</f>
        <v>1025.9854091730501</v>
      </c>
      <c r="F21" s="13">
        <f>E21+F18</f>
        <v>1273.2719087840192</v>
      </c>
      <c r="G21" s="13">
        <f>F21+G18</f>
        <v>1602.9872415986445</v>
      </c>
      <c r="H21" s="13">
        <f>G21+H18</f>
        <v>1602.9872415986445</v>
      </c>
    </row>
    <row r="22" spans="5:8" ht="12.75">
      <c r="E22" s="13"/>
      <c r="F22" s="13"/>
      <c r="G22" s="13"/>
      <c r="H22" s="13"/>
    </row>
    <row r="23" spans="5:8" ht="12.75">
      <c r="E23" s="8"/>
      <c r="F23" s="8"/>
      <c r="G23" s="8"/>
      <c r="H23" s="8"/>
    </row>
    <row r="24" ht="12.75">
      <c r="B24" s="19" t="s">
        <v>344</v>
      </c>
    </row>
    <row r="25" spans="2:8" ht="12.75">
      <c r="B25" t="s">
        <v>198</v>
      </c>
      <c r="E25">
        <v>72</v>
      </c>
      <c r="F25">
        <v>72</v>
      </c>
      <c r="G25">
        <v>72</v>
      </c>
      <c r="H25">
        <v>72</v>
      </c>
    </row>
    <row r="26" spans="2:8" ht="12.75">
      <c r="B26" t="s">
        <v>323</v>
      </c>
      <c r="E26" s="12">
        <v>190</v>
      </c>
      <c r="F26" s="12">
        <v>190</v>
      </c>
      <c r="G26" s="12">
        <v>190</v>
      </c>
      <c r="H26" s="12">
        <v>190</v>
      </c>
    </row>
    <row r="27" spans="2:8" ht="12.75">
      <c r="B27" t="s">
        <v>160</v>
      </c>
      <c r="E27" s="56">
        <f>E25*E26/1024</f>
        <v>13.359375</v>
      </c>
      <c r="F27" s="56">
        <f>F25*F26/1024</f>
        <v>13.359375</v>
      </c>
      <c r="G27" s="56">
        <f>G25*G26/1024</f>
        <v>13.359375</v>
      </c>
      <c r="H27" s="56">
        <f>H25*H26/1024</f>
        <v>13.359375</v>
      </c>
    </row>
    <row r="28" spans="5:8" ht="12.75">
      <c r="E28" s="7"/>
      <c r="F28" s="7"/>
      <c r="G28" s="7"/>
      <c r="H28" s="7"/>
    </row>
    <row r="29" spans="2:8" ht="12.75">
      <c r="B29" t="s">
        <v>176</v>
      </c>
      <c r="E29" s="60">
        <f>E25/HoursPerWeek*E9*(WeeksPerYear-E8)/WeeksPerYear</f>
        <v>49.285714285714285</v>
      </c>
      <c r="F29" s="60">
        <f>F25/HoursPerWeek*F9*(WeeksPerYear-F8)/WeeksPerYear</f>
        <v>36.964285714285715</v>
      </c>
      <c r="G29" s="60">
        <f>G25/HoursPerWeek*G9*(WeeksPerYear-G8)/WeeksPerYear</f>
        <v>49.285714285714285</v>
      </c>
      <c r="H29" s="60">
        <f>H25/HoursPerWeek*H9*(WeeksPerYear-H8)/WeeksPerYear</f>
        <v>49.285714285714285</v>
      </c>
    </row>
    <row r="30" spans="2:8" ht="12.75">
      <c r="B30" t="s">
        <v>318</v>
      </c>
      <c r="C30" s="15">
        <f>3207176680/1000000000</f>
        <v>3.20717668</v>
      </c>
      <c r="D30" s="15">
        <f>657656180/1000000000</f>
        <v>0.65765618</v>
      </c>
      <c r="E30" s="102">
        <f>E25*(E9/HoursPerWeek)*SecPerYear*(E7/DaysPerYear)/Billion*(WeeksPerYear-E8)/WeeksPerYear</f>
        <v>0.6515177142857141</v>
      </c>
      <c r="F30" s="116">
        <f>F25*(F9/HoursPerWeek)*SecPerYear*(F7/DaysPerYear)/Billion*(WeeksPerYear-F8)/WeeksPerYear</f>
        <v>1.1657057142857143</v>
      </c>
      <c r="G30" s="116">
        <f>G25*(G9/HoursPerWeek)*SecPerYear*(G7/DaysPerYear)/Billion*(WeeksPerYear-G8)/WeeksPerYear</f>
        <v>1.5542742857142857</v>
      </c>
      <c r="H30" s="116">
        <f>H25*(H9/HoursPerWeek)*SecPerYear*(H7/DaysPerYear)/Billion*(WeeksPerYear-H8)/WeeksPerYear</f>
        <v>0</v>
      </c>
    </row>
    <row r="31" spans="2:8" ht="12.75">
      <c r="B31" t="s">
        <v>172</v>
      </c>
      <c r="C31" s="16">
        <f>634350000000000/BytesPerTB</f>
        <v>576.937964069657</v>
      </c>
      <c r="D31" s="16">
        <f>127300000000000/BytesPerTB</f>
        <v>115.77867553569376</v>
      </c>
      <c r="E31" s="14">
        <f>E30*Billion*E26/kBPerTB</f>
        <v>115.28689946447098</v>
      </c>
      <c r="F31" s="56">
        <f>F30*Billion*F26/kBPerTB</f>
        <v>206.27312894378392</v>
      </c>
      <c r="G31" s="56">
        <f>G30*Billion*G26/kBPerTB</f>
        <v>275.03083859171187</v>
      </c>
      <c r="H31" s="56">
        <f>H30*Billion*H26/kBPerTB</f>
        <v>0</v>
      </c>
    </row>
    <row r="33" spans="2:8" ht="12.75">
      <c r="B33" t="s">
        <v>174</v>
      </c>
      <c r="C33" s="52">
        <f>C30</f>
        <v>3.20717668</v>
      </c>
      <c r="E33" s="17">
        <f>C30+D30+E30</f>
        <v>4.516350574285714</v>
      </c>
      <c r="F33" s="17">
        <f>E33+F30</f>
        <v>5.682056288571428</v>
      </c>
      <c r="G33" s="17">
        <f>F33+G30</f>
        <v>7.236330574285714</v>
      </c>
      <c r="H33" s="17">
        <f>G33+H30</f>
        <v>7.236330574285714</v>
      </c>
    </row>
    <row r="34" spans="2:8" ht="12.75">
      <c r="B34" t="s">
        <v>279</v>
      </c>
      <c r="E34" s="18">
        <f>C31+D31+E31</f>
        <v>808.0035390698217</v>
      </c>
      <c r="F34" s="18">
        <f>E34+F31</f>
        <v>1014.2766680136057</v>
      </c>
      <c r="G34" s="18">
        <f>F34+G31</f>
        <v>1289.3075066053175</v>
      </c>
      <c r="H34" s="18">
        <f>G34+H31</f>
        <v>1289.3075066053175</v>
      </c>
    </row>
  </sheetData>
  <printOptions/>
  <pageMargins left="0.75" right="0.75" top="1" bottom="1" header="0.5" footer="0.5"/>
  <pageSetup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125" zoomScaleNormal="125" workbookViewId="0" topLeftCell="A22">
      <selection activeCell="A30" sqref="A30"/>
    </sheetView>
  </sheetViews>
  <sheetFormatPr defaultColWidth="11.00390625" defaultRowHeight="12.75"/>
  <cols>
    <col min="1" max="1" width="4.625" style="0" customWidth="1"/>
    <col min="2" max="2" width="8.875" style="0" customWidth="1"/>
    <col min="3" max="3" width="31.00390625" style="0" customWidth="1"/>
    <col min="4" max="4" width="5.625" style="0" customWidth="1"/>
    <col min="5" max="6" width="6.375" style="0" customWidth="1"/>
    <col min="7" max="7" width="8.75390625" style="0" customWidth="1"/>
    <col min="8" max="8" width="9.25390625" style="0" customWidth="1"/>
    <col min="9" max="9" width="6.625" style="0" customWidth="1"/>
    <col min="10" max="10" width="8.25390625" style="0" customWidth="1"/>
    <col min="11" max="11" width="6.75390625" style="0" customWidth="1"/>
  </cols>
  <sheetData>
    <row r="1" spans="1:10" ht="12.75">
      <c r="A1" s="1" t="s">
        <v>287</v>
      </c>
      <c r="B1" s="1" t="s">
        <v>258</v>
      </c>
      <c r="C1" s="1" t="s">
        <v>309</v>
      </c>
      <c r="D1" s="1" t="s">
        <v>268</v>
      </c>
      <c r="E1" s="1" t="s">
        <v>266</v>
      </c>
      <c r="F1" s="130" t="s">
        <v>291</v>
      </c>
      <c r="G1" s="130"/>
      <c r="H1" s="130"/>
      <c r="I1" s="36" t="s">
        <v>324</v>
      </c>
      <c r="J1" s="31" t="s">
        <v>295</v>
      </c>
    </row>
    <row r="2" spans="1:10" ht="12.75">
      <c r="A2" s="1"/>
      <c r="B2" s="1" t="s">
        <v>261</v>
      </c>
      <c r="D2" s="1"/>
      <c r="E2" s="1" t="s">
        <v>267</v>
      </c>
      <c r="F2" s="1" t="s">
        <v>269</v>
      </c>
      <c r="G2" s="1" t="s">
        <v>289</v>
      </c>
      <c r="H2" s="1" t="s">
        <v>288</v>
      </c>
      <c r="I2" s="36" t="s">
        <v>97</v>
      </c>
      <c r="J2" s="61" t="s">
        <v>296</v>
      </c>
    </row>
    <row r="3" spans="1:9" ht="12.75">
      <c r="A3" s="1"/>
      <c r="B3" s="1" t="s">
        <v>262</v>
      </c>
      <c r="D3" s="1"/>
      <c r="E3" s="1"/>
      <c r="F3" s="1"/>
      <c r="G3" s="1" t="s">
        <v>290</v>
      </c>
      <c r="H3" s="1"/>
      <c r="I3" s="36" t="s">
        <v>98</v>
      </c>
    </row>
    <row r="4" spans="1:10" ht="12.75">
      <c r="A4" s="1">
        <v>1</v>
      </c>
      <c r="B4" s="1" t="s">
        <v>255</v>
      </c>
      <c r="C4" t="s">
        <v>171</v>
      </c>
      <c r="D4" s="24" t="s">
        <v>345</v>
      </c>
      <c r="E4" s="1">
        <v>2</v>
      </c>
      <c r="F4" s="25">
        <v>2.66</v>
      </c>
      <c r="G4" s="1">
        <v>1033</v>
      </c>
      <c r="H4" s="1">
        <v>1915</v>
      </c>
      <c r="I4" s="42">
        <v>1.3</v>
      </c>
      <c r="J4" s="24" t="s">
        <v>213</v>
      </c>
    </row>
    <row r="5" spans="1:10" ht="12.75">
      <c r="A5" s="1">
        <v>2</v>
      </c>
      <c r="B5" s="1" t="s">
        <v>256</v>
      </c>
      <c r="C5" t="s">
        <v>151</v>
      </c>
      <c r="D5" s="24" t="s">
        <v>345</v>
      </c>
      <c r="E5" s="1">
        <v>2</v>
      </c>
      <c r="F5" s="25">
        <v>3.06</v>
      </c>
      <c r="G5" s="1">
        <v>1243</v>
      </c>
      <c r="H5" s="1">
        <v>2233</v>
      </c>
      <c r="I5" s="42">
        <v>1.3</v>
      </c>
      <c r="J5" s="1" t="s">
        <v>170</v>
      </c>
    </row>
    <row r="6" spans="1:10" ht="12.75">
      <c r="A6" s="1">
        <v>3</v>
      </c>
      <c r="B6" s="1" t="s">
        <v>257</v>
      </c>
      <c r="C6" t="s">
        <v>152</v>
      </c>
      <c r="D6" s="24" t="s">
        <v>345</v>
      </c>
      <c r="E6" s="1">
        <v>2</v>
      </c>
      <c r="F6" s="25">
        <v>3</v>
      </c>
      <c r="G6" s="1">
        <v>1265</v>
      </c>
      <c r="H6" s="1">
        <v>2210</v>
      </c>
      <c r="I6" s="42">
        <v>1.3</v>
      </c>
      <c r="J6" s="1" t="s">
        <v>170</v>
      </c>
    </row>
    <row r="7" spans="1:10" ht="12.75">
      <c r="A7" s="1">
        <v>4</v>
      </c>
      <c r="B7" s="1" t="s">
        <v>216</v>
      </c>
      <c r="C7" t="s">
        <v>153</v>
      </c>
      <c r="D7" s="1" t="s">
        <v>263</v>
      </c>
      <c r="E7" s="1">
        <v>4</v>
      </c>
      <c r="F7" s="25">
        <v>1.8</v>
      </c>
      <c r="G7" s="1">
        <v>1187</v>
      </c>
      <c r="H7" s="1">
        <v>2390</v>
      </c>
      <c r="I7" s="42">
        <v>1</v>
      </c>
      <c r="J7" s="1" t="s">
        <v>239</v>
      </c>
    </row>
    <row r="8" spans="1:10" ht="12.75">
      <c r="A8" s="1">
        <v>5</v>
      </c>
      <c r="B8" s="1" t="s">
        <v>260</v>
      </c>
      <c r="C8" t="s">
        <v>254</v>
      </c>
      <c r="D8" s="1" t="s">
        <v>264</v>
      </c>
      <c r="E8" s="1">
        <v>4</v>
      </c>
      <c r="F8" s="25">
        <v>2.33</v>
      </c>
      <c r="G8" s="1">
        <v>2265</v>
      </c>
      <c r="H8" s="1">
        <v>3314</v>
      </c>
      <c r="I8" s="42">
        <v>1</v>
      </c>
      <c r="J8" s="1" t="s">
        <v>239</v>
      </c>
    </row>
    <row r="9" spans="1:10" ht="12.75">
      <c r="A9" s="1">
        <v>6</v>
      </c>
      <c r="B9" s="1" t="s">
        <v>259</v>
      </c>
      <c r="C9" t="s">
        <v>253</v>
      </c>
      <c r="D9" s="1" t="s">
        <v>265</v>
      </c>
      <c r="E9" s="1">
        <v>8</v>
      </c>
      <c r="F9" s="25">
        <v>2.66</v>
      </c>
      <c r="G9" s="1">
        <v>2744</v>
      </c>
      <c r="H9" s="1">
        <v>3783</v>
      </c>
      <c r="I9" s="42">
        <v>1</v>
      </c>
      <c r="J9" s="1" t="s">
        <v>239</v>
      </c>
    </row>
    <row r="10" spans="1:9" ht="12.75">
      <c r="A10" s="24"/>
      <c r="I10" s="43"/>
    </row>
    <row r="11" spans="1:9" ht="12.75">
      <c r="A11" t="s">
        <v>212</v>
      </c>
      <c r="I11" s="43"/>
    </row>
    <row r="12" spans="1:10" ht="12.75">
      <c r="A12" s="24">
        <v>7</v>
      </c>
      <c r="B12">
        <v>2008</v>
      </c>
      <c r="C12" t="s">
        <v>253</v>
      </c>
      <c r="D12" s="24" t="s">
        <v>265</v>
      </c>
      <c r="E12" s="24">
        <v>8</v>
      </c>
      <c r="F12" s="25">
        <v>2.66</v>
      </c>
      <c r="G12" s="24">
        <v>2744</v>
      </c>
      <c r="H12" s="24">
        <v>3783</v>
      </c>
      <c r="I12" s="42">
        <v>1</v>
      </c>
      <c r="J12" s="24" t="s">
        <v>239</v>
      </c>
    </row>
    <row r="15" ht="12.75">
      <c r="A15" t="s">
        <v>177</v>
      </c>
    </row>
    <row r="16" ht="12.75">
      <c r="A16" t="s">
        <v>294</v>
      </c>
    </row>
    <row r="39" ht="12.75">
      <c r="C39" s="101"/>
    </row>
    <row r="40" ht="12.75">
      <c r="C40" s="101"/>
    </row>
    <row r="41" ht="12.75">
      <c r="C41" s="101"/>
    </row>
    <row r="42" ht="12.75">
      <c r="C42" s="101"/>
    </row>
    <row r="43" ht="12.75">
      <c r="C43" t="s">
        <v>348</v>
      </c>
    </row>
  </sheetData>
  <mergeCells count="1">
    <mergeCell ref="F1:H1"/>
  </mergeCells>
  <printOptions/>
  <pageMargins left="0.75" right="0.75" top="1" bottom="1" header="0.5" footer="0.5"/>
  <pageSetup fitToHeight="1" fitToWidth="1" orientation="landscape" paperSize="9" scale="83"/>
  <headerFooter alignWithMargins="0">
    <oddHeader>&amp;L
</oddHeader>
  </headerFooter>
  <ignoredErrors>
    <ignoredError sqref="J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zoomScale="125" zoomScaleNormal="125" workbookViewId="0" topLeftCell="A49">
      <selection activeCell="G86" sqref="G86"/>
    </sheetView>
  </sheetViews>
  <sheetFormatPr defaultColWidth="11.00390625" defaultRowHeight="12.75"/>
  <cols>
    <col min="2" max="2" width="12.625" style="0" customWidth="1"/>
    <col min="3" max="3" width="13.125" style="0" customWidth="1"/>
    <col min="4" max="4" width="9.625" style="0" customWidth="1"/>
    <col min="6" max="6" width="13.00390625" style="0" customWidth="1"/>
    <col min="7" max="7" width="13.75390625" style="0" customWidth="1"/>
  </cols>
  <sheetData>
    <row r="1" ht="12.75">
      <c r="A1" s="20" t="s">
        <v>234</v>
      </c>
    </row>
    <row r="2" ht="12.75" customHeight="1">
      <c r="A2" s="30" t="s">
        <v>325</v>
      </c>
    </row>
    <row r="3" spans="1:8" ht="12.75">
      <c r="A3" s="39" t="s">
        <v>326</v>
      </c>
      <c r="B3" s="36" t="s">
        <v>297</v>
      </c>
      <c r="C3" s="36" t="s">
        <v>187</v>
      </c>
      <c r="D3" s="36" t="s">
        <v>188</v>
      </c>
      <c r="E3" s="130" t="s">
        <v>237</v>
      </c>
      <c r="F3" s="130"/>
      <c r="G3" s="130" t="s">
        <v>166</v>
      </c>
      <c r="H3" s="130"/>
    </row>
    <row r="4" spans="1:8" ht="12.75">
      <c r="A4" s="1"/>
      <c r="B4" s="1"/>
      <c r="C4" s="1"/>
      <c r="D4" s="1"/>
      <c r="E4" s="1" t="s">
        <v>276</v>
      </c>
      <c r="F4" s="36" t="s">
        <v>99</v>
      </c>
      <c r="G4" s="1" t="s">
        <v>277</v>
      </c>
      <c r="H4" s="1" t="s">
        <v>167</v>
      </c>
    </row>
    <row r="5" spans="1:8" ht="12.75">
      <c r="A5" s="36">
        <v>1</v>
      </c>
      <c r="B5" s="36">
        <v>159</v>
      </c>
      <c r="C5" s="23" t="s">
        <v>189</v>
      </c>
      <c r="D5" s="41">
        <f>B5*'CPU Properties'!E4</f>
        <v>318</v>
      </c>
      <c r="E5" s="40">
        <f>D5*'CPU Properties'!F4*'CPU Properties'!I4</f>
        <v>1099.644</v>
      </c>
      <c r="F5" s="64">
        <f>D5*'CPU Properties'!G4*'CPU Properties'!I4</f>
        <v>427042.2</v>
      </c>
      <c r="G5" s="36"/>
      <c r="H5" s="36"/>
    </row>
    <row r="6" spans="1:8" ht="12.75">
      <c r="A6" s="36">
        <v>2</v>
      </c>
      <c r="B6" s="36">
        <v>201</v>
      </c>
      <c r="C6" s="23" t="s">
        <v>217</v>
      </c>
      <c r="D6" s="41">
        <f>B6*'CPU Properties'!E5</f>
        <v>402</v>
      </c>
      <c r="E6" s="40">
        <f>D6*'CPU Properties'!F5*'CPU Properties'!I5</f>
        <v>1599.1560000000002</v>
      </c>
      <c r="F6" s="64">
        <f>D6*'CPU Properties'!G5*'CPU Properties'!I5</f>
        <v>649591.8</v>
      </c>
      <c r="G6" s="36"/>
      <c r="H6" s="36"/>
    </row>
    <row r="7" spans="1:8" ht="12.75">
      <c r="A7" s="36">
        <v>3</v>
      </c>
      <c r="B7" s="36">
        <v>33</v>
      </c>
      <c r="C7" s="23" t="s">
        <v>215</v>
      </c>
      <c r="D7" s="41">
        <f>B7*'CPU Properties'!E6</f>
        <v>66</v>
      </c>
      <c r="E7" s="40">
        <f>D7*'CPU Properties'!F6*'CPU Properties'!I6</f>
        <v>257.40000000000003</v>
      </c>
      <c r="F7" s="64">
        <f>D7*'CPU Properties'!G6*'CPU Properties'!I6</f>
        <v>108537</v>
      </c>
      <c r="G7" s="36"/>
      <c r="H7" s="36"/>
    </row>
    <row r="8" spans="1:8" ht="12.75">
      <c r="A8" s="36">
        <v>4</v>
      </c>
      <c r="B8" s="36">
        <v>103</v>
      </c>
      <c r="C8" s="23" t="s">
        <v>95</v>
      </c>
      <c r="D8" s="41">
        <f>B8*'CPU Properties'!E7</f>
        <v>412</v>
      </c>
      <c r="E8" s="40">
        <f>D8*'CPU Properties'!F7*'CPU Properties'!I7</f>
        <v>741.6</v>
      </c>
      <c r="F8" s="64">
        <f>D8*'CPU Properties'!G7*'CPU Properties'!I7</f>
        <v>489044</v>
      </c>
      <c r="G8" s="36"/>
      <c r="H8" s="36"/>
    </row>
    <row r="9" spans="1:8" ht="12.75">
      <c r="A9" s="36" t="s">
        <v>100</v>
      </c>
      <c r="B9" s="36">
        <f>SUM(B5:B8)</f>
        <v>496</v>
      </c>
      <c r="C9" s="36"/>
      <c r="D9" s="41">
        <f>SUM(D5:D8)</f>
        <v>1198</v>
      </c>
      <c r="E9" s="40">
        <f>SUM(E5:E8)</f>
        <v>3697.8</v>
      </c>
      <c r="F9" s="64">
        <f>SUM(F5:F8)</f>
        <v>1674215</v>
      </c>
      <c r="G9" s="36"/>
      <c r="H9" s="36"/>
    </row>
    <row r="10" spans="1:8" ht="12.75">
      <c r="A10" s="36"/>
      <c r="B10" s="36"/>
      <c r="C10" s="36"/>
      <c r="D10" s="36"/>
      <c r="E10" s="36"/>
      <c r="F10" s="36"/>
      <c r="G10" s="36"/>
      <c r="H10" s="36"/>
    </row>
    <row r="11" spans="1:7" ht="12.75">
      <c r="A11" s="1">
        <v>1</v>
      </c>
      <c r="B11" s="1">
        <v>5</v>
      </c>
      <c r="C11" t="s">
        <v>214</v>
      </c>
      <c r="D11">
        <f>B11*'CPU Properties'!E4</f>
        <v>10</v>
      </c>
      <c r="E11" s="28">
        <f>D11*'CPU Properties'!F4</f>
        <v>26.6</v>
      </c>
      <c r="F11" s="32">
        <f>D11*'CPU Properties'!G4</f>
        <v>10330</v>
      </c>
      <c r="G11" s="32">
        <f>F11*IF('CPU Properties'!J4="OK",0,1)</f>
        <v>10330</v>
      </c>
    </row>
    <row r="12" spans="1:7" ht="12.75">
      <c r="A12" s="1">
        <v>4</v>
      </c>
      <c r="B12" s="1">
        <v>130</v>
      </c>
      <c r="C12" t="s">
        <v>96</v>
      </c>
      <c r="D12">
        <f>B12*'CPU Properties'!E7</f>
        <v>520</v>
      </c>
      <c r="E12" s="28">
        <f>D12*'CPU Properties'!F7</f>
        <v>936</v>
      </c>
      <c r="F12" s="32">
        <f>D12*'CPU Properties'!G7</f>
        <v>617240</v>
      </c>
      <c r="G12" s="32">
        <f>F12*IF('CPU Properties'!J7="OK",0,1)</f>
        <v>0</v>
      </c>
    </row>
    <row r="13" spans="1:7" ht="12.75">
      <c r="A13" s="1">
        <v>5</v>
      </c>
      <c r="B13" s="1">
        <v>410</v>
      </c>
      <c r="C13" t="s">
        <v>94</v>
      </c>
      <c r="D13">
        <f>B13*'CPU Properties'!E8</f>
        <v>1640</v>
      </c>
      <c r="E13" s="28">
        <f>D13*'CPU Properties'!F8</f>
        <v>3821.2000000000003</v>
      </c>
      <c r="F13" s="32">
        <f>D13*'CPU Properties'!G8</f>
        <v>3714600</v>
      </c>
      <c r="G13" s="32">
        <f>F13*IF('CPU Properties'!J8="OK",0,1)</f>
        <v>0</v>
      </c>
    </row>
    <row r="14" spans="1:7" ht="12.75">
      <c r="A14" s="1">
        <v>6</v>
      </c>
      <c r="B14" s="1">
        <v>155</v>
      </c>
      <c r="C14" t="s">
        <v>220</v>
      </c>
      <c r="D14">
        <f>B14*'CPU Properties'!E9</f>
        <v>1240</v>
      </c>
      <c r="E14" s="28">
        <f>D14*'CPU Properties'!F9</f>
        <v>3298.4</v>
      </c>
      <c r="F14" s="32">
        <f>D14*'CPU Properties'!G9</f>
        <v>3402560</v>
      </c>
      <c r="G14" s="32">
        <f>F14*IF('CPU Properties'!J9="OK",0,1)</f>
        <v>0</v>
      </c>
    </row>
    <row r="15" spans="1:8" ht="12.75">
      <c r="A15" t="s">
        <v>100</v>
      </c>
      <c r="B15" s="1">
        <f>SUM(B11:B14)</f>
        <v>700</v>
      </c>
      <c r="D15">
        <f>SUM(D11:D14)</f>
        <v>3410</v>
      </c>
      <c r="E15" s="44">
        <f>SUM(E11:E14)</f>
        <v>8082.200000000001</v>
      </c>
      <c r="F15" s="45">
        <f>SUM(F11:F14)</f>
        <v>7744730</v>
      </c>
      <c r="G15" s="32">
        <f>SUM(G11:G14)</f>
        <v>10330</v>
      </c>
      <c r="H15" s="33">
        <f>G15/F15</f>
        <v>0.0013338102167538442</v>
      </c>
    </row>
    <row r="16" spans="2:8" ht="12.75">
      <c r="B16" s="36"/>
      <c r="E16" s="44"/>
      <c r="F16" s="45"/>
      <c r="G16" s="32"/>
      <c r="H16" s="35"/>
    </row>
    <row r="17" spans="1:8" ht="12.75">
      <c r="A17" t="s">
        <v>101</v>
      </c>
      <c r="B17" s="36">
        <f>B15+B9</f>
        <v>1196</v>
      </c>
      <c r="D17">
        <f>D9+D15</f>
        <v>4608</v>
      </c>
      <c r="E17" s="44">
        <f>E9+E15</f>
        <v>11780</v>
      </c>
      <c r="F17" s="45">
        <f>F9+F15</f>
        <v>9418945</v>
      </c>
      <c r="G17" s="32"/>
      <c r="H17" s="35"/>
    </row>
    <row r="18" spans="1:6" ht="12.75">
      <c r="A18" t="s">
        <v>229</v>
      </c>
      <c r="B18" s="1"/>
      <c r="E18" s="29"/>
      <c r="F18" s="32"/>
    </row>
    <row r="19" spans="1:6" ht="12.75">
      <c r="A19" s="24">
        <v>7</v>
      </c>
      <c r="B19" s="1">
        <v>60</v>
      </c>
      <c r="C19" t="s">
        <v>235</v>
      </c>
      <c r="D19">
        <f>B19*'CPU Properties'!E12</f>
        <v>480</v>
      </c>
      <c r="E19" s="29">
        <f>$D$19*'CPU Properties'!F12</f>
        <v>1276.8000000000002</v>
      </c>
      <c r="F19" s="32">
        <f>$D$19*'CPU Properties'!G12</f>
        <v>1317120</v>
      </c>
    </row>
    <row r="20" spans="2:6" ht="12.75">
      <c r="B20" s="1"/>
      <c r="E20" s="29"/>
      <c r="F20" s="32"/>
    </row>
    <row r="21" spans="1:6" ht="12.75">
      <c r="A21" t="s">
        <v>231</v>
      </c>
      <c r="B21" s="1">
        <f>B19+B17</f>
        <v>1256</v>
      </c>
      <c r="D21">
        <f>D17+D19</f>
        <v>5088</v>
      </c>
      <c r="E21" s="29">
        <f>E19+E17</f>
        <v>13056.8</v>
      </c>
      <c r="F21" s="32">
        <f>F19+F17</f>
        <v>10736065</v>
      </c>
    </row>
    <row r="22" spans="2:6" ht="12.75">
      <c r="B22" s="36"/>
      <c r="E22" s="29"/>
      <c r="F22" s="32"/>
    </row>
    <row r="23" spans="2:6" ht="12.75">
      <c r="B23" s="36"/>
      <c r="E23" s="29"/>
      <c r="F23" s="32"/>
    </row>
    <row r="24" ht="12.75">
      <c r="A24" s="19" t="s">
        <v>292</v>
      </c>
    </row>
    <row r="25" ht="12.75">
      <c r="A25" t="s">
        <v>233</v>
      </c>
    </row>
    <row r="26" spans="1:8" ht="12.75">
      <c r="A26" s="1" t="s">
        <v>293</v>
      </c>
      <c r="B26" s="1" t="s">
        <v>274</v>
      </c>
      <c r="C26" s="1" t="s">
        <v>275</v>
      </c>
      <c r="D26" s="1" t="s">
        <v>232</v>
      </c>
      <c r="E26" s="130" t="s">
        <v>238</v>
      </c>
      <c r="F26" s="130"/>
      <c r="G26" s="130" t="s">
        <v>169</v>
      </c>
      <c r="H26" s="130"/>
    </row>
    <row r="27" spans="1:8" ht="12.75">
      <c r="A27" s="1"/>
      <c r="B27" s="1"/>
      <c r="E27" s="1" t="s">
        <v>276</v>
      </c>
      <c r="F27" s="1" t="s">
        <v>277</v>
      </c>
      <c r="G27" t="s">
        <v>277</v>
      </c>
      <c r="H27" t="s">
        <v>168</v>
      </c>
    </row>
    <row r="28" spans="1:7" ht="12.75">
      <c r="A28" s="1">
        <v>3</v>
      </c>
      <c r="B28" s="1">
        <v>142</v>
      </c>
      <c r="C28" t="s">
        <v>230</v>
      </c>
      <c r="D28">
        <f>B28*'CPU Properties'!E6</f>
        <v>284</v>
      </c>
      <c r="E28" s="27">
        <f>D28*'CPU Properties'!F6</f>
        <v>852</v>
      </c>
      <c r="F28" s="26">
        <f>D28*'CPU Properties'!G6</f>
        <v>359260</v>
      </c>
      <c r="G28" s="32">
        <f>F28*IF('CPU Properties'!J6="OK",0,1)</f>
        <v>0</v>
      </c>
    </row>
    <row r="29" spans="1:7" ht="12.75">
      <c r="A29" s="1">
        <v>4</v>
      </c>
      <c r="B29" s="1">
        <v>101</v>
      </c>
      <c r="C29" t="s">
        <v>311</v>
      </c>
      <c r="D29">
        <f>B29*'CPU Properties'!E7</f>
        <v>404</v>
      </c>
      <c r="E29" s="27">
        <f>D29*'CPU Properties'!F7</f>
        <v>727.2</v>
      </c>
      <c r="F29" s="26">
        <f>D29*'CPU Properties'!G7</f>
        <v>479548</v>
      </c>
      <c r="G29" s="32">
        <f>F29*IF('CPU Properties'!J7="OK",0,1)</f>
        <v>0</v>
      </c>
    </row>
    <row r="30" spans="1:7" ht="12.75">
      <c r="A30" s="1">
        <v>5</v>
      </c>
      <c r="B30" s="1">
        <v>178</v>
      </c>
      <c r="C30" t="s">
        <v>310</v>
      </c>
      <c r="D30">
        <f>B30*'CPU Properties'!E8</f>
        <v>712</v>
      </c>
      <c r="E30" s="27">
        <f>D30*'CPU Properties'!F8</f>
        <v>1658.96</v>
      </c>
      <c r="F30" s="26">
        <f>D30*'CPU Properties'!G8</f>
        <v>1612680</v>
      </c>
      <c r="G30" s="32">
        <f>F30*IF('CPU Properties'!J8="OK",0,1)</f>
        <v>0</v>
      </c>
    </row>
    <row r="31" spans="1:8" ht="12.75">
      <c r="A31" s="23" t="s">
        <v>222</v>
      </c>
      <c r="B31" s="1">
        <f>SUM(B28:B30)</f>
        <v>421</v>
      </c>
      <c r="D31">
        <f>SUM(D28:D30)</f>
        <v>1400</v>
      </c>
      <c r="E31" s="44">
        <f>SUM(E28:E30)</f>
        <v>3238.16</v>
      </c>
      <c r="F31" s="45">
        <f>SUM(F28:F30)</f>
        <v>2451488</v>
      </c>
      <c r="G31" s="32">
        <f>SUM(G28:G30)</f>
        <v>0</v>
      </c>
      <c r="H31" s="34">
        <f>G31/F31</f>
        <v>0</v>
      </c>
    </row>
    <row r="33" ht="12.75">
      <c r="A33" t="s">
        <v>278</v>
      </c>
    </row>
    <row r="34" spans="1:7" ht="12.75">
      <c r="A34" s="1">
        <v>1</v>
      </c>
      <c r="B34" s="1">
        <v>180</v>
      </c>
      <c r="C34" t="s">
        <v>214</v>
      </c>
      <c r="D34">
        <f>B34*'CPU Properties'!E4</f>
        <v>360</v>
      </c>
      <c r="E34" s="27">
        <f>D34*'CPU Properties'!F4</f>
        <v>957.6</v>
      </c>
      <c r="F34" s="47">
        <f>D34*'CPU Properties'!G4</f>
        <v>371880</v>
      </c>
      <c r="G34" s="32">
        <f>F34*IF('CPU Properties'!J4="OK",0,1)</f>
        <v>371880</v>
      </c>
    </row>
    <row r="35" spans="1:7" ht="12.75">
      <c r="A35" s="1">
        <v>2</v>
      </c>
      <c r="B35" s="1">
        <v>120</v>
      </c>
      <c r="C35" t="s">
        <v>215</v>
      </c>
      <c r="D35">
        <f>B35*'CPU Properties'!E5</f>
        <v>240</v>
      </c>
      <c r="E35" s="27">
        <f>D35*'CPU Properties'!F5</f>
        <v>734.4</v>
      </c>
      <c r="F35" s="47">
        <f>D35*'CPU Properties'!G5</f>
        <v>298320</v>
      </c>
      <c r="G35" s="32">
        <f>F35*IF('CPU Properties'!J5="OK",0,1)</f>
        <v>0</v>
      </c>
    </row>
    <row r="36" spans="1:7" ht="12.75">
      <c r="A36" s="1">
        <v>3</v>
      </c>
      <c r="B36" s="1">
        <v>18</v>
      </c>
      <c r="C36" t="s">
        <v>217</v>
      </c>
      <c r="D36">
        <f>B36*'CPU Properties'!E6</f>
        <v>36</v>
      </c>
      <c r="E36" s="27">
        <f>D36*'CPU Properties'!F6</f>
        <v>108</v>
      </c>
      <c r="F36" s="47">
        <f>D36*'CPU Properties'!G6</f>
        <v>45540</v>
      </c>
      <c r="G36" s="32">
        <f>F36*IF('CPU Properties'!J6="OK",0,1)</f>
        <v>0</v>
      </c>
    </row>
    <row r="37" spans="1:7" ht="12.75">
      <c r="A37" s="1">
        <v>4</v>
      </c>
      <c r="B37" s="1">
        <v>119</v>
      </c>
      <c r="C37" t="s">
        <v>219</v>
      </c>
      <c r="D37">
        <f>B37*'CPU Properties'!E7</f>
        <v>476</v>
      </c>
      <c r="E37" s="27">
        <f>D37*'CPU Properties'!F7</f>
        <v>856.8000000000001</v>
      </c>
      <c r="F37" s="47">
        <f>D37*'CPU Properties'!G7</f>
        <v>565012</v>
      </c>
      <c r="G37" s="32">
        <f>F37*IF('CPU Properties'!J7="OK",0,1)</f>
        <v>0</v>
      </c>
    </row>
    <row r="38" spans="1:7" ht="12.75">
      <c r="A38" s="1">
        <v>5</v>
      </c>
      <c r="B38" s="1">
        <v>202</v>
      </c>
      <c r="C38" t="s">
        <v>218</v>
      </c>
      <c r="D38">
        <f>B38*'CPU Properties'!E8</f>
        <v>808</v>
      </c>
      <c r="E38" s="27">
        <f>D38*'CPU Properties'!F8</f>
        <v>1882.64</v>
      </c>
      <c r="F38" s="47">
        <f>D38*'CPU Properties'!G8</f>
        <v>1830120</v>
      </c>
      <c r="G38" s="32">
        <f>F38*IF('CPU Properties'!J8="OK",0,1)</f>
        <v>0</v>
      </c>
    </row>
    <row r="39" spans="1:7" ht="12.75">
      <c r="A39" s="1">
        <v>6</v>
      </c>
      <c r="B39" s="1">
        <v>205</v>
      </c>
      <c r="C39" t="s">
        <v>220</v>
      </c>
      <c r="D39">
        <f>B39*'CPU Properties'!E9</f>
        <v>1640</v>
      </c>
      <c r="E39" s="27">
        <f>D39*'CPU Properties'!F9</f>
        <v>4362.400000000001</v>
      </c>
      <c r="F39" s="47">
        <f>D39*'CPU Properties'!G9</f>
        <v>4500160</v>
      </c>
      <c r="G39" s="32">
        <f>F39*IF('CPU Properties'!J9="OK",0,1)</f>
        <v>0</v>
      </c>
    </row>
    <row r="40" spans="1:8" ht="12.75">
      <c r="A40" t="s">
        <v>227</v>
      </c>
      <c r="B40" s="1">
        <f>SUM(B34:B39)</f>
        <v>844</v>
      </c>
      <c r="D40">
        <f>SUM(D34:D39)</f>
        <v>3560</v>
      </c>
      <c r="E40" s="44">
        <f>SUM(E34:E39)</f>
        <v>8901.84</v>
      </c>
      <c r="F40" s="48">
        <f>SUM(F34:F39)</f>
        <v>7611032</v>
      </c>
      <c r="G40" s="32">
        <f>SUM(G34:G39)</f>
        <v>371880</v>
      </c>
      <c r="H40" s="35">
        <f>G40/F40</f>
        <v>0.048860653850883826</v>
      </c>
    </row>
    <row r="41" spans="2:6" ht="12.75">
      <c r="B41" s="1"/>
      <c r="E41" s="27"/>
      <c r="F41" s="47"/>
    </row>
    <row r="42" spans="1:6" ht="12.75">
      <c r="A42" t="s">
        <v>221</v>
      </c>
      <c r="B42" s="1">
        <f>B31+B40</f>
        <v>1265</v>
      </c>
      <c r="D42">
        <f>D40+D31</f>
        <v>4960</v>
      </c>
      <c r="E42" s="27">
        <f>E40+E31</f>
        <v>12140</v>
      </c>
      <c r="F42" s="47">
        <f>F40+F31</f>
        <v>10062520</v>
      </c>
    </row>
    <row r="43" spans="2:6" ht="12.75">
      <c r="B43" s="1"/>
      <c r="E43" s="27"/>
      <c r="F43" s="47"/>
    </row>
    <row r="44" spans="1:6" ht="12.75">
      <c r="A44" t="s">
        <v>229</v>
      </c>
      <c r="B44" s="1"/>
      <c r="E44" s="27"/>
      <c r="F44" s="47"/>
    </row>
    <row r="45" spans="1:6" ht="12.75">
      <c r="A45" s="1">
        <v>7</v>
      </c>
      <c r="B45" s="1">
        <v>60</v>
      </c>
      <c r="C45" t="s">
        <v>228</v>
      </c>
      <c r="D45">
        <f>B45*'CPU Properties'!E12</f>
        <v>480</v>
      </c>
      <c r="E45">
        <f>D45*'CPU Properties'!F12</f>
        <v>1276.8000000000002</v>
      </c>
      <c r="F45" s="47">
        <f>D45*'CPU Properties'!G12</f>
        <v>1317120</v>
      </c>
    </row>
    <row r="46" ht="12.75">
      <c r="F46" s="47"/>
    </row>
    <row r="47" spans="1:6" ht="12.75">
      <c r="A47" t="s">
        <v>236</v>
      </c>
      <c r="B47">
        <f>B42+B45</f>
        <v>1325</v>
      </c>
      <c r="D47">
        <f>D45+D42</f>
        <v>5440</v>
      </c>
      <c r="E47" s="27">
        <f>E45+E42</f>
        <v>13416.8</v>
      </c>
      <c r="F47" s="47">
        <f>F45+F42</f>
        <v>11379640</v>
      </c>
    </row>
    <row r="48" spans="1:6" ht="12.75">
      <c r="A48" t="s">
        <v>41</v>
      </c>
      <c r="E48" s="124"/>
      <c r="F48" s="101"/>
    </row>
    <row r="49" spans="5:6" ht="12.75">
      <c r="E49" s="124"/>
      <c r="F49" s="101"/>
    </row>
    <row r="50" spans="1:6" ht="12.75">
      <c r="A50" s="20" t="s">
        <v>58</v>
      </c>
      <c r="E50" s="124"/>
      <c r="F50" s="101"/>
    </row>
    <row r="51" spans="2:6" ht="12.75">
      <c r="B51" s="130" t="s">
        <v>62</v>
      </c>
      <c r="C51" s="130"/>
      <c r="E51" s="124"/>
      <c r="F51" s="101"/>
    </row>
    <row r="52" spans="1:6" ht="12.75">
      <c r="A52" s="118" t="s">
        <v>59</v>
      </c>
      <c r="B52" s="118" t="s">
        <v>61</v>
      </c>
      <c r="C52" s="118" t="s">
        <v>60</v>
      </c>
      <c r="D52" s="130" t="s">
        <v>40</v>
      </c>
      <c r="E52" s="130"/>
      <c r="F52" s="101"/>
    </row>
    <row r="53" spans="1:5" ht="12.75">
      <c r="A53">
        <v>1</v>
      </c>
      <c r="B53" s="124">
        <f>E5+E11</f>
        <v>1126.244</v>
      </c>
      <c r="C53" s="124">
        <f>F5+F11</f>
        <v>437372.2</v>
      </c>
      <c r="D53" s="135">
        <f>C53/B53</f>
        <v>388.34586466165416</v>
      </c>
      <c r="E53" s="135"/>
    </row>
    <row r="54" spans="1:5" ht="12.75">
      <c r="A54">
        <v>2</v>
      </c>
      <c r="B54" s="124">
        <f>E6</f>
        <v>1599.1560000000002</v>
      </c>
      <c r="C54" s="124">
        <f>F6</f>
        <v>649591.8</v>
      </c>
      <c r="D54" s="135">
        <f>C54/B54</f>
        <v>406.2091503267974</v>
      </c>
      <c r="E54" s="135"/>
    </row>
    <row r="55" spans="1:5" ht="13.5" thickBot="1">
      <c r="A55">
        <v>3</v>
      </c>
      <c r="B55" s="124">
        <f>E7</f>
        <v>257.40000000000003</v>
      </c>
      <c r="C55" s="124">
        <f>F7</f>
        <v>108537</v>
      </c>
      <c r="D55" s="135">
        <f>C55/B55</f>
        <v>421.66666666666663</v>
      </c>
      <c r="E55" s="135"/>
    </row>
    <row r="56" spans="1:5" ht="12.75">
      <c r="A56" s="118" t="s">
        <v>43</v>
      </c>
      <c r="B56" s="133">
        <f>SUM(B53:B55)</f>
        <v>2982.8</v>
      </c>
      <c r="C56" s="133">
        <f>SUM(C53:C55)</f>
        <v>1195501</v>
      </c>
      <c r="D56" s="138">
        <f>C56/B56</f>
        <v>400.79824326136514</v>
      </c>
      <c r="E56" s="138"/>
    </row>
    <row r="57" spans="1:5" ht="13.5" thickBot="1">
      <c r="A57">
        <v>4</v>
      </c>
      <c r="B57" s="124">
        <f>E8+E12</f>
        <v>1677.6</v>
      </c>
      <c r="C57" s="124">
        <f>F8+F12</f>
        <v>1106284</v>
      </c>
      <c r="D57" s="142">
        <f>C57/B57</f>
        <v>659.4444444444445</v>
      </c>
      <c r="E57" s="142"/>
    </row>
    <row r="58" spans="1:5" ht="12.75">
      <c r="A58" s="118" t="s">
        <v>63</v>
      </c>
      <c r="B58" s="133">
        <f>SUM(B56:B57)</f>
        <v>4660.4</v>
      </c>
      <c r="C58" s="133">
        <f>SUM(C56:C57)</f>
        <v>2301785</v>
      </c>
      <c r="D58" s="143">
        <f>C58/B58</f>
        <v>493.902883872629</v>
      </c>
      <c r="E58" s="143"/>
    </row>
    <row r="60" ht="12.75">
      <c r="A60" s="137" t="s">
        <v>39</v>
      </c>
    </row>
    <row r="61" spans="1:5" ht="12.75">
      <c r="A61">
        <v>1</v>
      </c>
      <c r="B61" s="124">
        <f>E34</f>
        <v>957.6</v>
      </c>
      <c r="C61" s="124">
        <f>F34</f>
        <v>371880</v>
      </c>
      <c r="D61" s="136">
        <f>C61/B61</f>
        <v>388.3458646616541</v>
      </c>
      <c r="E61" s="136"/>
    </row>
    <row r="62" spans="1:5" ht="12.75">
      <c r="A62">
        <v>2</v>
      </c>
      <c r="B62" s="124">
        <f>E35</f>
        <v>734.4</v>
      </c>
      <c r="C62" s="124">
        <f>F35</f>
        <v>298320</v>
      </c>
      <c r="D62" s="136">
        <f>C62/B62</f>
        <v>406.2091503267974</v>
      </c>
      <c r="E62" s="136"/>
    </row>
    <row r="63" spans="1:5" ht="13.5" thickBot="1">
      <c r="A63">
        <v>3</v>
      </c>
      <c r="B63" s="124">
        <f>E36+E28</f>
        <v>960</v>
      </c>
      <c r="C63" s="124">
        <f>F36+F28</f>
        <v>404800</v>
      </c>
      <c r="D63" s="136">
        <f>C63/B63</f>
        <v>421.6666666666667</v>
      </c>
      <c r="E63" s="136"/>
    </row>
    <row r="64" spans="1:5" ht="12.75">
      <c r="A64" s="118" t="s">
        <v>0</v>
      </c>
      <c r="B64" s="133">
        <f>SUM(B61:B63)</f>
        <v>2652</v>
      </c>
      <c r="C64" s="133">
        <f>SUM(C61:C63)</f>
        <v>1075000</v>
      </c>
      <c r="D64" s="151">
        <f>C64/B64</f>
        <v>405.3544494720965</v>
      </c>
      <c r="E64" s="151"/>
    </row>
    <row r="65" spans="1:5" ht="13.5" thickBot="1">
      <c r="A65">
        <v>4</v>
      </c>
      <c r="B65" s="124">
        <f>E29+E37</f>
        <v>1584</v>
      </c>
      <c r="C65" s="124">
        <f>F29+F37</f>
        <v>1044560</v>
      </c>
      <c r="D65" s="136">
        <f>C65/B65</f>
        <v>659.4444444444445</v>
      </c>
      <c r="E65" s="136"/>
    </row>
    <row r="66" spans="1:5" ht="12.75">
      <c r="A66" s="118" t="s">
        <v>63</v>
      </c>
      <c r="B66" s="133">
        <f>SUM(B64:B65)</f>
        <v>4236</v>
      </c>
      <c r="C66" s="133">
        <f>SUM(C64:C65)</f>
        <v>2119560</v>
      </c>
      <c r="D66" s="139">
        <f>C66/B66</f>
        <v>500.36827195467424</v>
      </c>
      <c r="E66" s="139"/>
    </row>
    <row r="68" spans="1:5" ht="12.75">
      <c r="A68" s="131" t="s">
        <v>1</v>
      </c>
      <c r="B68" s="131"/>
      <c r="C68" s="131"/>
      <c r="D68" s="152">
        <v>476</v>
      </c>
      <c r="E68" s="152"/>
    </row>
    <row r="69" ht="13.5" thickBot="1"/>
    <row r="70" spans="1:5" ht="13.5" thickBot="1">
      <c r="A70" s="131" t="s">
        <v>2</v>
      </c>
      <c r="B70" s="131"/>
      <c r="C70" s="131"/>
      <c r="D70" s="153">
        <v>476</v>
      </c>
      <c r="E70" s="154"/>
    </row>
    <row r="71" spans="1:2" ht="12.75">
      <c r="A71" s="144"/>
      <c r="B71" s="144"/>
    </row>
    <row r="72" spans="1:2" ht="12.75">
      <c r="A72" s="144"/>
      <c r="B72" s="144"/>
    </row>
    <row r="73" spans="1:2" ht="12.75">
      <c r="A73" s="141"/>
      <c r="B73" s="141"/>
    </row>
    <row r="74" spans="1:2" ht="12.75">
      <c r="A74" s="141"/>
      <c r="B74" s="141"/>
    </row>
    <row r="75" spans="1:2" ht="12.75">
      <c r="A75" s="155"/>
      <c r="B75" s="155"/>
    </row>
  </sheetData>
  <mergeCells count="27">
    <mergeCell ref="A73:B73"/>
    <mergeCell ref="A74:B74"/>
    <mergeCell ref="A75:B75"/>
    <mergeCell ref="D64:E64"/>
    <mergeCell ref="D68:E68"/>
    <mergeCell ref="A70:C70"/>
    <mergeCell ref="A68:C68"/>
    <mergeCell ref="D70:E70"/>
    <mergeCell ref="D57:E57"/>
    <mergeCell ref="D58:E58"/>
    <mergeCell ref="A71:B71"/>
    <mergeCell ref="A72:B72"/>
    <mergeCell ref="D61:E61"/>
    <mergeCell ref="D62:E62"/>
    <mergeCell ref="D63:E63"/>
    <mergeCell ref="D65:E65"/>
    <mergeCell ref="D66:E66"/>
    <mergeCell ref="D52:E52"/>
    <mergeCell ref="D53:E53"/>
    <mergeCell ref="D54:E54"/>
    <mergeCell ref="D55:E55"/>
    <mergeCell ref="D56:E56"/>
    <mergeCell ref="E26:F26"/>
    <mergeCell ref="E3:F3"/>
    <mergeCell ref="G3:H3"/>
    <mergeCell ref="G26:H26"/>
    <mergeCell ref="B51:C51"/>
  </mergeCells>
  <printOptions/>
  <pageMargins left="0.75" right="0.75" top="1" bottom="1" header="0.5" footer="0.5"/>
  <pageSetup orientation="landscape" paperSize="9" scale="75"/>
  <headerFooter alignWithMargins="0">
    <oddHeader>&amp;CInstalled CPU in May 2008</oddHeader>
    <oddFooter>&amp;L&amp;P/&amp;N&amp;C&amp;F/&amp;A&amp;R&amp;D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F6" sqref="F6"/>
    </sheetView>
  </sheetViews>
  <sheetFormatPr defaultColWidth="11.00390625" defaultRowHeight="12.75"/>
  <cols>
    <col min="1" max="1" width="17.875" style="0" customWidth="1"/>
    <col min="2" max="2" width="8.25390625" style="0" customWidth="1"/>
    <col min="3" max="3" width="6.125" style="0" customWidth="1"/>
    <col min="4" max="4" width="7.00390625" style="0" customWidth="1"/>
    <col min="5" max="5" width="6.875" style="0" customWidth="1"/>
    <col min="6" max="6" width="7.75390625" style="0" customWidth="1"/>
    <col min="7" max="7" width="7.875" style="0" customWidth="1"/>
    <col min="8" max="8" width="6.75390625" style="0" customWidth="1"/>
    <col min="9" max="9" width="7.125" style="0" customWidth="1"/>
    <col min="10" max="10" width="7.25390625" style="0" customWidth="1"/>
    <col min="11" max="11" width="8.25390625" style="0" customWidth="1"/>
  </cols>
  <sheetData>
    <row r="2" ht="12.75">
      <c r="B2" t="s">
        <v>135</v>
      </c>
    </row>
    <row r="4" ht="12.75">
      <c r="B4" s="20" t="s">
        <v>241</v>
      </c>
    </row>
    <row r="5" spans="2:11" ht="12.75">
      <c r="B5" t="s">
        <v>102</v>
      </c>
      <c r="C5">
        <v>2005</v>
      </c>
      <c r="D5">
        <v>2006</v>
      </c>
      <c r="E5">
        <v>2007</v>
      </c>
      <c r="F5">
        <v>2008</v>
      </c>
      <c r="G5">
        <v>2009</v>
      </c>
      <c r="H5">
        <v>2010</v>
      </c>
      <c r="I5">
        <v>2011</v>
      </c>
      <c r="J5">
        <v>2012</v>
      </c>
      <c r="K5" s="38">
        <v>2013</v>
      </c>
    </row>
    <row r="6" spans="1:6" ht="12.75">
      <c r="A6" t="s">
        <v>133</v>
      </c>
      <c r="B6" s="69">
        <f>('Installed CPU'!F11+'Installed CPU'!F7+'Installed CPU'!F6+'Installed CPU'!F5)/Million</f>
        <v>1.195501</v>
      </c>
      <c r="C6" s="69">
        <f>('Installed CPU'!F12+'Installed CPU'!F8)/Million</f>
        <v>1.106284</v>
      </c>
      <c r="D6" s="69">
        <f>('Installed CPU'!F13)/Million</f>
        <v>3.7146</v>
      </c>
      <c r="E6" s="69">
        <f>'Installed CPU'!F14/Million</f>
        <v>3.40256</v>
      </c>
      <c r="F6" s="70">
        <f>'Installed CPU'!F19/Million</f>
        <v>1.31712</v>
      </c>
    </row>
    <row r="7" spans="1:6" ht="12.75">
      <c r="A7" t="s">
        <v>68</v>
      </c>
      <c r="B7" s="69"/>
      <c r="C7" s="69"/>
      <c r="D7" s="69"/>
      <c r="E7" s="69"/>
      <c r="F7" s="70">
        <f>B6</f>
        <v>1.195501</v>
      </c>
    </row>
    <row r="8" spans="1:6" ht="12.75">
      <c r="A8" t="s">
        <v>69</v>
      </c>
      <c r="B8" s="65">
        <f>B6</f>
        <v>1.195501</v>
      </c>
      <c r="C8" s="65">
        <f>B8+C6</f>
        <v>2.3017849999999997</v>
      </c>
      <c r="D8" s="65">
        <f>C8+D6</f>
        <v>6.016385</v>
      </c>
      <c r="E8" s="65">
        <f>D8+E6</f>
        <v>9.418944999999999</v>
      </c>
      <c r="F8" s="65">
        <f>E8+F6-F7</f>
        <v>9.540564</v>
      </c>
    </row>
    <row r="10" ht="12.75">
      <c r="B10" s="19" t="s">
        <v>240</v>
      </c>
    </row>
    <row r="11" spans="1:6" ht="12.75">
      <c r="A11" t="s">
        <v>134</v>
      </c>
      <c r="B11" s="69">
        <f>('Installed CPU'!F28+SUM('Installed CPU'!F34:'Installed CPU'!F36))/Million</f>
        <v>1.075</v>
      </c>
      <c r="C11" s="69">
        <f>('Installed CPU'!F37+'Installed CPU'!F29)/Million</f>
        <v>1.04456</v>
      </c>
      <c r="D11" s="70">
        <f>('Installed CPU'!F38+'Installed CPU'!F30)/Million</f>
        <v>3.4428</v>
      </c>
      <c r="E11" s="70">
        <f>('Installed CPU'!F39)/Million</f>
        <v>4.50016</v>
      </c>
      <c r="F11" s="70">
        <f>('Installed CPU'!F45)/Million</f>
        <v>1.31712</v>
      </c>
    </row>
    <row r="12" spans="1:6" ht="12.75">
      <c r="A12" t="s">
        <v>68</v>
      </c>
      <c r="B12" s="69"/>
      <c r="C12" s="69"/>
      <c r="D12" s="70"/>
      <c r="E12" s="70"/>
      <c r="F12" s="70">
        <f>B11</f>
        <v>1.075</v>
      </c>
    </row>
    <row r="13" spans="1:8" ht="12.75">
      <c r="A13" t="s">
        <v>70</v>
      </c>
      <c r="B13" s="70">
        <f>B11</f>
        <v>1.075</v>
      </c>
      <c r="C13" s="100">
        <f>B13+C11</f>
        <v>2.11956</v>
      </c>
      <c r="D13" s="100">
        <f>C13+D11</f>
        <v>5.56236</v>
      </c>
      <c r="E13" s="100">
        <f>D13+E11</f>
        <v>10.06252</v>
      </c>
      <c r="F13" s="100">
        <f>E13+F11-F12</f>
        <v>10.30464</v>
      </c>
      <c r="H13" s="32"/>
    </row>
    <row r="16" ht="12.75">
      <c r="E16" s="32"/>
    </row>
    <row r="17" ht="12.75">
      <c r="E17" s="47"/>
    </row>
  </sheetData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zoomScale="125" zoomScaleNormal="125" workbookViewId="0" topLeftCell="A24">
      <selection activeCell="B32" sqref="B32"/>
    </sheetView>
  </sheetViews>
  <sheetFormatPr defaultColWidth="11.00390625" defaultRowHeight="12.75"/>
  <cols>
    <col min="1" max="1" width="19.125" style="0" customWidth="1"/>
    <col min="2" max="2" width="9.125" style="0" customWidth="1"/>
    <col min="3" max="3" width="7.375" style="0" customWidth="1"/>
    <col min="4" max="4" width="7.625" style="0" customWidth="1"/>
    <col min="5" max="5" width="6.375" style="0" customWidth="1"/>
    <col min="6" max="6" width="7.875" style="0" customWidth="1"/>
    <col min="7" max="7" width="7.375" style="0" customWidth="1"/>
    <col min="8" max="8" width="7.00390625" style="0" customWidth="1"/>
    <col min="9" max="9" width="6.125" style="0" customWidth="1"/>
    <col min="10" max="10" width="7.00390625" style="0" customWidth="1"/>
  </cols>
  <sheetData>
    <row r="1" spans="1:7" ht="12.75">
      <c r="A1" s="131" t="s">
        <v>183</v>
      </c>
      <c r="B1" s="131"/>
      <c r="C1" s="131"/>
      <c r="D1" s="131"/>
      <c r="E1" s="131"/>
      <c r="F1" s="131"/>
      <c r="G1" s="131"/>
    </row>
    <row r="2" spans="1:2" ht="12.75">
      <c r="A2">
        <v>42</v>
      </c>
      <c r="B2" t="s">
        <v>242</v>
      </c>
    </row>
    <row r="3" spans="1:2" ht="12.75">
      <c r="A3">
        <v>1</v>
      </c>
      <c r="B3" t="s">
        <v>144</v>
      </c>
    </row>
    <row r="4" spans="1:2" ht="12.75">
      <c r="A4">
        <v>42</v>
      </c>
      <c r="B4" t="s">
        <v>145</v>
      </c>
    </row>
    <row r="5" spans="1:2" ht="12.75">
      <c r="A5">
        <v>36</v>
      </c>
      <c r="B5" t="s">
        <v>184</v>
      </c>
    </row>
    <row r="6" spans="1:2" ht="12.75">
      <c r="A6" s="62">
        <v>36</v>
      </c>
      <c r="B6" t="s">
        <v>146</v>
      </c>
    </row>
    <row r="7" spans="1:2" ht="12.75">
      <c r="A7" s="62">
        <f>A6/TapeTBtoDiskTB</f>
        <v>33.52761268615723</v>
      </c>
      <c r="B7" t="s">
        <v>147</v>
      </c>
    </row>
    <row r="8" spans="1:2" ht="12.75">
      <c r="A8" s="62">
        <v>32</v>
      </c>
      <c r="B8" t="s">
        <v>148</v>
      </c>
    </row>
    <row r="9" spans="1:2" ht="12.75">
      <c r="A9" s="49">
        <f>A8/A4</f>
        <v>0.7619047619047619</v>
      </c>
      <c r="B9" t="s">
        <v>149</v>
      </c>
    </row>
    <row r="10" ht="12.75">
      <c r="A10" s="49"/>
    </row>
    <row r="11" spans="1:4" ht="12.75">
      <c r="A11" s="131" t="s">
        <v>156</v>
      </c>
      <c r="B11" s="131"/>
      <c r="C11" s="131"/>
      <c r="D11" s="131"/>
    </row>
    <row r="12" spans="1:11" ht="12.75">
      <c r="A12" t="s">
        <v>317</v>
      </c>
      <c r="B12" t="s">
        <v>329</v>
      </c>
      <c r="C12">
        <v>2005</v>
      </c>
      <c r="D12">
        <v>2006</v>
      </c>
      <c r="E12">
        <v>2007</v>
      </c>
      <c r="F12">
        <v>2008</v>
      </c>
      <c r="G12">
        <v>2009</v>
      </c>
      <c r="H12">
        <v>2010</v>
      </c>
      <c r="I12">
        <v>2011</v>
      </c>
      <c r="J12">
        <v>2012</v>
      </c>
      <c r="K12">
        <v>2013</v>
      </c>
    </row>
    <row r="13" spans="1:6" ht="12.75">
      <c r="A13" t="s">
        <v>331</v>
      </c>
      <c r="C13" s="51">
        <v>16.8</v>
      </c>
      <c r="D13" s="51">
        <v>21</v>
      </c>
      <c r="E13" s="51">
        <v>42</v>
      </c>
      <c r="F13" s="51">
        <v>42</v>
      </c>
    </row>
    <row r="14" spans="1:6" ht="12.75">
      <c r="A14" t="s">
        <v>333</v>
      </c>
      <c r="C14" s="51"/>
      <c r="D14" s="51"/>
      <c r="E14" s="51"/>
      <c r="F14" s="51"/>
    </row>
    <row r="15" spans="1:6" ht="12.75">
      <c r="A15" t="s">
        <v>334</v>
      </c>
      <c r="C15" s="51"/>
      <c r="D15" s="51"/>
      <c r="E15" s="51"/>
      <c r="F15" s="51">
        <v>3</v>
      </c>
    </row>
    <row r="16" spans="1:6" ht="12.75">
      <c r="A16" t="s">
        <v>335</v>
      </c>
      <c r="C16" s="51"/>
      <c r="D16" s="51"/>
      <c r="E16" s="51"/>
      <c r="F16" s="51">
        <v>21</v>
      </c>
    </row>
    <row r="17" spans="1:6" ht="12.75">
      <c r="A17" t="s">
        <v>332</v>
      </c>
      <c r="C17" s="51"/>
      <c r="D17" s="51"/>
      <c r="E17" s="51"/>
      <c r="F17">
        <v>0.3</v>
      </c>
    </row>
    <row r="18" spans="1:6" ht="12.75">
      <c r="A18" t="s">
        <v>336</v>
      </c>
      <c r="C18" s="51"/>
      <c r="D18" s="51"/>
      <c r="E18" s="51"/>
      <c r="F18" s="51">
        <f>SUM(F15:F17)</f>
        <v>24.3</v>
      </c>
    </row>
    <row r="19" spans="3:5" ht="12.75">
      <c r="C19" s="51"/>
      <c r="D19" s="51"/>
      <c r="E19" s="51"/>
    </row>
    <row r="20" spans="1:5" ht="12.75">
      <c r="A20" t="s">
        <v>337</v>
      </c>
      <c r="C20" s="51"/>
      <c r="D20" s="51"/>
      <c r="E20" s="51"/>
    </row>
    <row r="21" spans="1:5" ht="12.75">
      <c r="A21" s="20" t="s">
        <v>322</v>
      </c>
      <c r="C21" s="51"/>
      <c r="D21" s="51"/>
      <c r="E21" s="51"/>
    </row>
    <row r="22" spans="1:9" ht="12.75">
      <c r="A22" t="s">
        <v>150</v>
      </c>
      <c r="C22">
        <v>27</v>
      </c>
      <c r="D22">
        <v>7</v>
      </c>
      <c r="E22">
        <v>7</v>
      </c>
      <c r="G22" s="114" t="s">
        <v>285</v>
      </c>
      <c r="H22" s="114"/>
      <c r="I22" s="114"/>
    </row>
    <row r="23" spans="1:5" ht="12.75">
      <c r="A23" t="s">
        <v>328</v>
      </c>
      <c r="B23" s="53">
        <v>170</v>
      </c>
      <c r="C23" s="50">
        <f>C13*C22*$A$9</f>
        <v>345.6</v>
      </c>
      <c r="D23" s="50">
        <f>D13*D22*$A$9</f>
        <v>112</v>
      </c>
      <c r="E23" s="50">
        <f>E13*E22*$A$9</f>
        <v>224</v>
      </c>
    </row>
    <row r="24" ht="12.75">
      <c r="B24" s="53"/>
    </row>
    <row r="25" spans="1:2" ht="12.75">
      <c r="A25" s="19" t="s">
        <v>344</v>
      </c>
      <c r="B25" s="53"/>
    </row>
    <row r="26" spans="1:9" ht="12.75">
      <c r="A26" t="s">
        <v>150</v>
      </c>
      <c r="B26" s="53"/>
      <c r="C26">
        <v>15</v>
      </c>
      <c r="D26">
        <v>19</v>
      </c>
      <c r="E26">
        <v>7</v>
      </c>
      <c r="G26" s="114" t="s">
        <v>286</v>
      </c>
      <c r="H26" s="114"/>
      <c r="I26" s="114"/>
    </row>
    <row r="27" spans="1:5" ht="12.75">
      <c r="A27" t="s">
        <v>330</v>
      </c>
      <c r="B27" s="53">
        <v>159</v>
      </c>
      <c r="C27" s="50">
        <f>C26*C13*$A$9</f>
        <v>192</v>
      </c>
      <c r="D27" s="50">
        <f>D26*D13*$A$9</f>
        <v>304</v>
      </c>
      <c r="E27" s="50">
        <f>E26*E13*$A$9</f>
        <v>224</v>
      </c>
    </row>
    <row r="30" ht="12.75">
      <c r="A30" t="s">
        <v>338</v>
      </c>
    </row>
    <row r="31" spans="1:7" ht="12.75">
      <c r="A31" s="36" t="s">
        <v>344</v>
      </c>
      <c r="B31" s="117" t="s">
        <v>281</v>
      </c>
      <c r="G31" t="s">
        <v>347</v>
      </c>
    </row>
    <row r="32" spans="1:7" ht="12.75">
      <c r="A32" s="36" t="s">
        <v>322</v>
      </c>
      <c r="B32" s="117" t="s">
        <v>282</v>
      </c>
      <c r="G32" t="s">
        <v>283</v>
      </c>
    </row>
    <row r="33" ht="12.75">
      <c r="A33" s="36"/>
    </row>
    <row r="34" ht="12.75">
      <c r="A34" s="23" t="s">
        <v>65</v>
      </c>
    </row>
    <row r="35" spans="1:2" ht="12.75">
      <c r="A35">
        <v>2007</v>
      </c>
      <c r="B35" t="s">
        <v>186</v>
      </c>
    </row>
    <row r="36" spans="1:2" ht="12.75">
      <c r="A36">
        <v>2006</v>
      </c>
      <c r="B36" t="s">
        <v>185</v>
      </c>
    </row>
    <row r="37" ht="12.75">
      <c r="A37" t="s">
        <v>251</v>
      </c>
    </row>
    <row r="39" spans="1:2" ht="12.75">
      <c r="A39" t="s">
        <v>247</v>
      </c>
      <c r="B39" t="s">
        <v>224</v>
      </c>
    </row>
    <row r="40" ht="12.75">
      <c r="B40" t="s">
        <v>349</v>
      </c>
    </row>
    <row r="41" ht="12.75">
      <c r="B41" t="s">
        <v>225</v>
      </c>
    </row>
    <row r="42" spans="2:3" ht="12.75">
      <c r="B42">
        <f>(3*42*$A$9)</f>
        <v>96</v>
      </c>
      <c r="C42" t="s">
        <v>352</v>
      </c>
    </row>
    <row r="44" spans="1:2" ht="12.75">
      <c r="A44" t="s">
        <v>248</v>
      </c>
      <c r="B44" t="s">
        <v>249</v>
      </c>
    </row>
    <row r="45" ht="12.75">
      <c r="B45" t="s">
        <v>350</v>
      </c>
    </row>
    <row r="46" ht="12.75">
      <c r="B46" t="s">
        <v>250</v>
      </c>
    </row>
    <row r="47" spans="2:3" ht="12.75">
      <c r="B47">
        <f>(42+2*21)*$A$9</f>
        <v>64</v>
      </c>
      <c r="C47" t="s">
        <v>351</v>
      </c>
    </row>
    <row r="49" ht="12.75">
      <c r="A49" t="s">
        <v>252</v>
      </c>
    </row>
    <row r="50" ht="12.75">
      <c r="A50" t="s">
        <v>280</v>
      </c>
    </row>
    <row r="51" ht="12.75">
      <c r="A51" t="s">
        <v>223</v>
      </c>
    </row>
  </sheetData>
  <mergeCells count="2">
    <mergeCell ref="A1:G1"/>
    <mergeCell ref="A11:D11"/>
  </mergeCells>
  <hyperlinks>
    <hyperlink ref="B32" r:id="rId1" display="http://d0om.fnal.gov/d0admin/cdf_disks/"/>
    <hyperlink ref="B31" r:id="rId2" display="http://d0om.fnal.gov/d0admin/project_disks/"/>
  </hyperlinks>
  <printOptions/>
  <pageMargins left="0.75" right="0.75" top="1" bottom="1" header="0.5" footer="0.5"/>
  <pageSetup orientation="landscape" paperSize="9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8"/>
  <sheetViews>
    <sheetView zoomScale="150" zoomScaleNormal="150" workbookViewId="0" topLeftCell="A19">
      <selection activeCell="A58" sqref="A58"/>
    </sheetView>
  </sheetViews>
  <sheetFormatPr defaultColWidth="11.00390625" defaultRowHeight="12.75"/>
  <cols>
    <col min="1" max="1" width="15.25390625" style="0" bestFit="1" customWidth="1"/>
    <col min="8" max="8" width="10.375" style="0" customWidth="1"/>
  </cols>
  <sheetData>
    <row r="1" spans="2:7" ht="12.75">
      <c r="B1" s="132" t="s">
        <v>190</v>
      </c>
      <c r="C1" s="132"/>
      <c r="D1" s="132"/>
      <c r="E1" s="132"/>
      <c r="F1" s="132"/>
      <c r="G1" s="132"/>
    </row>
    <row r="2" spans="2:9" ht="12.75">
      <c r="B2" s="131" t="s">
        <v>371</v>
      </c>
      <c r="C2" s="131"/>
      <c r="D2" s="131"/>
      <c r="E2" s="131"/>
      <c r="F2" s="131"/>
      <c r="G2" s="131"/>
      <c r="H2" s="131"/>
      <c r="I2" s="131"/>
    </row>
    <row r="3" spans="2:7" ht="12.75">
      <c r="B3" s="131"/>
      <c r="C3" s="131"/>
      <c r="D3" s="131"/>
      <c r="E3" s="131"/>
      <c r="F3" s="131"/>
      <c r="G3" s="131"/>
    </row>
    <row r="4" ht="12.75">
      <c r="A4" s="20" t="s">
        <v>298</v>
      </c>
    </row>
    <row r="5" spans="1:2" ht="12.75">
      <c r="A5" s="46">
        <f>'Installed CPU'!E9</f>
        <v>3697.8</v>
      </c>
      <c r="B5" t="s">
        <v>192</v>
      </c>
    </row>
    <row r="6" spans="1:2" ht="12.75">
      <c r="A6" s="66">
        <f>'Installed CPU'!F9</f>
        <v>1674215</v>
      </c>
      <c r="B6" t="s">
        <v>197</v>
      </c>
    </row>
    <row r="7" spans="1:2" ht="12.75">
      <c r="A7" s="46">
        <f>'Installed CPU'!B9</f>
        <v>496</v>
      </c>
      <c r="B7" t="s">
        <v>191</v>
      </c>
    </row>
    <row r="8" spans="1:2" ht="12.75">
      <c r="A8">
        <f>A7*5</f>
        <v>2480</v>
      </c>
      <c r="B8" t="s">
        <v>193</v>
      </c>
    </row>
    <row r="9" spans="1:2" ht="12.75">
      <c r="A9">
        <v>1000</v>
      </c>
      <c r="B9" t="s">
        <v>194</v>
      </c>
    </row>
    <row r="10" spans="1:2" ht="12.75">
      <c r="A10">
        <v>200</v>
      </c>
      <c r="B10" t="s">
        <v>89</v>
      </c>
    </row>
    <row r="11" spans="1:2" ht="12.75">
      <c r="A11" s="95">
        <f>A5/A8</f>
        <v>1.4910483870967743</v>
      </c>
      <c r="B11" t="s">
        <v>90</v>
      </c>
    </row>
    <row r="12" spans="1:2" ht="12.75">
      <c r="A12" s="54">
        <f>A9/A8</f>
        <v>0.4032258064516129</v>
      </c>
      <c r="B12" t="s">
        <v>196</v>
      </c>
    </row>
    <row r="13" spans="1:2" ht="12.75">
      <c r="A13" s="57">
        <f>A10/A8</f>
        <v>0.08064516129032258</v>
      </c>
      <c r="B13" t="s">
        <v>270</v>
      </c>
    </row>
    <row r="14" spans="1:2" ht="12.75">
      <c r="A14" s="55">
        <v>20000000</v>
      </c>
      <c r="B14" t="s">
        <v>130</v>
      </c>
    </row>
    <row r="15" spans="1:2" ht="12.75">
      <c r="A15" s="56">
        <f>A14/SecPerHour/HoursPerDay</f>
        <v>231.4814814814815</v>
      </c>
      <c r="B15" t="s">
        <v>195</v>
      </c>
    </row>
    <row r="16" spans="1:2" ht="12.75">
      <c r="A16" s="56">
        <f>'TeV and DAQ'!E16</f>
        <v>68.45238095238095</v>
      </c>
      <c r="B16" t="s">
        <v>157</v>
      </c>
    </row>
    <row r="17" spans="1:2" ht="12.75">
      <c r="A17" s="67">
        <f>A15/A16</f>
        <v>3.381642512077295</v>
      </c>
      <c r="B17" t="s">
        <v>271</v>
      </c>
    </row>
    <row r="18" spans="1:2" ht="12.75">
      <c r="A18" s="57">
        <f>A15/A9</f>
        <v>0.23148148148148148</v>
      </c>
      <c r="B18" t="s">
        <v>158</v>
      </c>
    </row>
    <row r="19" spans="1:2" ht="12.75">
      <c r="A19" s="57">
        <f>1/A18</f>
        <v>4.32</v>
      </c>
      <c r="B19" t="s">
        <v>327</v>
      </c>
    </row>
    <row r="20" spans="1:2" ht="12.75">
      <c r="A20" s="80">
        <f>A19*A5/A8</f>
        <v>6.441329032258065</v>
      </c>
      <c r="B20" t="s">
        <v>115</v>
      </c>
    </row>
    <row r="21" spans="1:2" ht="12.75">
      <c r="A21" s="44">
        <f>A19*A6/A8</f>
        <v>2916.3745161290326</v>
      </c>
      <c r="B21" t="s">
        <v>273</v>
      </c>
    </row>
    <row r="22" spans="1:2" ht="12.75">
      <c r="A22" s="77">
        <v>1.2</v>
      </c>
      <c r="B22" t="s">
        <v>45</v>
      </c>
    </row>
    <row r="23" spans="1:2" ht="12.75">
      <c r="A23" s="81">
        <f>A20*A22</f>
        <v>7.729594838709678</v>
      </c>
      <c r="B23" t="s">
        <v>178</v>
      </c>
    </row>
    <row r="24" spans="1:2" ht="12.75">
      <c r="A24" s="82">
        <f>A21+A22</f>
        <v>2917.5745161290324</v>
      </c>
      <c r="B24" t="s">
        <v>77</v>
      </c>
    </row>
    <row r="27" ht="12.75">
      <c r="A27" s="19" t="s">
        <v>300</v>
      </c>
    </row>
    <row r="28" spans="1:2" ht="12.75">
      <c r="A28" s="83">
        <f>'D0 Reco Time'!B20</f>
        <v>54.858239999999995</v>
      </c>
      <c r="B28" t="s">
        <v>165</v>
      </c>
    </row>
    <row r="29" spans="1:2" ht="12.75">
      <c r="A29" s="84">
        <f>'D0 Reco Time'!B21</f>
        <v>41531.09082352941</v>
      </c>
      <c r="B29" t="s">
        <v>272</v>
      </c>
    </row>
    <row r="30" spans="1:3" ht="12.75">
      <c r="A30" s="52"/>
      <c r="B30" t="s">
        <v>355</v>
      </c>
      <c r="C30" s="76"/>
    </row>
    <row r="31" ht="12.75">
      <c r="A31" s="52"/>
    </row>
    <row r="32" ht="12.75">
      <c r="A32" s="52"/>
    </row>
    <row r="33" ht="12.75">
      <c r="A33" s="52"/>
    </row>
    <row r="34" ht="12.75">
      <c r="A34" s="32"/>
    </row>
    <row r="35" ht="12.75">
      <c r="A35" s="128"/>
    </row>
    <row r="36" ht="12.75">
      <c r="A36" s="48"/>
    </row>
    <row r="39" ht="12.75">
      <c r="A39" t="s">
        <v>226</v>
      </c>
    </row>
    <row r="41" ht="12.75">
      <c r="A41" t="s">
        <v>207</v>
      </c>
    </row>
    <row r="43" ht="12.75">
      <c r="A43" s="20" t="s">
        <v>208</v>
      </c>
    </row>
    <row r="44" spans="1:2" s="72" customFormat="1" ht="12.75">
      <c r="A44" s="78">
        <v>0.25</v>
      </c>
      <c r="B44" s="72" t="s">
        <v>47</v>
      </c>
    </row>
    <row r="45" spans="1:2" ht="12.75">
      <c r="A45" s="68">
        <f>A20*A44</f>
        <v>1.6103322580645163</v>
      </c>
      <c r="B45" t="s">
        <v>209</v>
      </c>
    </row>
    <row r="46" spans="1:2" ht="12.75">
      <c r="A46" s="58">
        <f>A21*A44</f>
        <v>729.0936290322581</v>
      </c>
      <c r="B46" t="s">
        <v>46</v>
      </c>
    </row>
    <row r="48" spans="1:2" ht="12.75">
      <c r="A48" s="112">
        <f>A45+A20</f>
        <v>8.051661290322581</v>
      </c>
      <c r="B48" t="s">
        <v>210</v>
      </c>
    </row>
    <row r="49" spans="1:2" ht="12.75">
      <c r="A49" s="112">
        <f>A21+A46</f>
        <v>3645.4681451612905</v>
      </c>
      <c r="B49" t="s">
        <v>211</v>
      </c>
    </row>
    <row r="51" ht="12.75">
      <c r="A51" s="75" t="s">
        <v>49</v>
      </c>
    </row>
    <row r="52" spans="1:2" ht="12.75">
      <c r="A52" s="79">
        <f>'Installed CPU'!E40</f>
        <v>8901.84</v>
      </c>
      <c r="B52" t="s">
        <v>50</v>
      </c>
    </row>
    <row r="53" spans="1:2" ht="12.75">
      <c r="A53" s="55">
        <f>'Installed CPU'!F40</f>
        <v>7611032</v>
      </c>
      <c r="B53" t="s">
        <v>93</v>
      </c>
    </row>
    <row r="54" spans="1:2" ht="12.75">
      <c r="A54" s="73">
        <v>0.1</v>
      </c>
      <c r="B54" t="s">
        <v>121</v>
      </c>
    </row>
    <row r="55" spans="1:2" ht="12.75">
      <c r="A55" s="74">
        <f>'TeV and DAQ'!E29</f>
        <v>49.285714285714285</v>
      </c>
      <c r="B55" t="s">
        <v>44</v>
      </c>
    </row>
    <row r="56" spans="1:2" ht="12.75">
      <c r="A56" s="83">
        <f>A52*A54/A55</f>
        <v>18.06170434782609</v>
      </c>
      <c r="B56" t="s">
        <v>51</v>
      </c>
    </row>
    <row r="57" spans="1:2" ht="12.75">
      <c r="A57" s="84">
        <f>A53*A54/A55</f>
        <v>15442.673623188408</v>
      </c>
      <c r="B57" t="s">
        <v>48</v>
      </c>
    </row>
    <row r="58" ht="12.75">
      <c r="A58" s="30"/>
    </row>
    <row r="59" spans="1:2" ht="12.75">
      <c r="A59" s="83">
        <f>A28+A56</f>
        <v>72.91994434782609</v>
      </c>
      <c r="B59" t="s">
        <v>111</v>
      </c>
    </row>
    <row r="60" spans="1:2" ht="12.75">
      <c r="A60" s="84">
        <f>A29+A57</f>
        <v>56973.76444671782</v>
      </c>
      <c r="B60" t="s">
        <v>114</v>
      </c>
    </row>
    <row r="63" spans="1:2" ht="12.75">
      <c r="A63" s="20" t="s">
        <v>182</v>
      </c>
      <c r="B63" t="s">
        <v>79</v>
      </c>
    </row>
    <row r="64" spans="1:2" ht="12.75">
      <c r="A64" s="87">
        <f>A6*A13</f>
        <v>135017.33870967742</v>
      </c>
      <c r="B64" t="s">
        <v>91</v>
      </c>
    </row>
    <row r="65" spans="1:2" ht="12.75">
      <c r="A65">
        <v>1.5</v>
      </c>
      <c r="B65" t="s">
        <v>80</v>
      </c>
    </row>
    <row r="66" ht="12.75">
      <c r="B66" t="s">
        <v>81</v>
      </c>
    </row>
    <row r="67" spans="1:2" ht="12.75">
      <c r="A67" s="97">
        <f>A64*A65</f>
        <v>202526.00806451612</v>
      </c>
      <c r="B67" t="s">
        <v>78</v>
      </c>
    </row>
    <row r="74" ht="12.75">
      <c r="A74" t="s">
        <v>358</v>
      </c>
    </row>
    <row r="93" ht="12.75">
      <c r="A93" t="s">
        <v>373</v>
      </c>
    </row>
    <row r="94" ht="12.75">
      <c r="A94" t="s">
        <v>299</v>
      </c>
    </row>
    <row r="104" ht="12.75">
      <c r="A104" t="s">
        <v>143</v>
      </c>
    </row>
    <row r="105" ht="12.75">
      <c r="A105" t="s">
        <v>64</v>
      </c>
    </row>
    <row r="106" ht="12.75">
      <c r="A106" t="s">
        <v>112</v>
      </c>
    </row>
    <row r="107" ht="12.75">
      <c r="A107" t="s">
        <v>113</v>
      </c>
    </row>
    <row r="108" ht="12.75">
      <c r="A108" t="s">
        <v>372</v>
      </c>
    </row>
  </sheetData>
  <mergeCells count="3">
    <mergeCell ref="B1:G1"/>
    <mergeCell ref="B3:G3"/>
    <mergeCell ref="B2:I2"/>
  </mergeCells>
  <printOptions/>
  <pageMargins left="0.75" right="0.75" top="1" bottom="1" header="0.5" footer="0.5"/>
  <pageSetup fitToHeight="4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A70" sqref="A70:H70"/>
    </sheetView>
  </sheetViews>
  <sheetFormatPr defaultColWidth="11.00390625" defaultRowHeight="12.75"/>
  <sheetData>
    <row r="1" ht="12.75">
      <c r="A1" t="s">
        <v>370</v>
      </c>
    </row>
    <row r="3" spans="2:3" ht="12.75">
      <c r="B3">
        <v>1400</v>
      </c>
      <c r="C3" t="s">
        <v>307</v>
      </c>
    </row>
    <row r="4" spans="2:3" ht="12.75">
      <c r="B4">
        <v>0</v>
      </c>
      <c r="C4" t="s">
        <v>308</v>
      </c>
    </row>
    <row r="5" spans="2:3" ht="12.75">
      <c r="B5" s="101">
        <f>'Installed CPU'!F31/'Installed CPU'!D31</f>
        <v>1751.0628571428572</v>
      </c>
      <c r="C5" t="s">
        <v>376</v>
      </c>
    </row>
    <row r="6" spans="2:3" ht="12.75">
      <c r="B6" s="119">
        <f>'Installed CPU'!F40/'Installed CPU'!D40</f>
        <v>2137.9303370786515</v>
      </c>
      <c r="C6" t="s">
        <v>301</v>
      </c>
    </row>
    <row r="7" spans="2:3" ht="12.75">
      <c r="B7" s="120">
        <f>'Installed CPU'!E31/'Installed CPU'!D31</f>
        <v>2.3129714285714287</v>
      </c>
      <c r="C7" t="s">
        <v>303</v>
      </c>
    </row>
    <row r="8" spans="2:3" ht="12.75">
      <c r="B8" s="120">
        <f>'Installed CPU'!E40/'Installed CPU'!D40</f>
        <v>2.5005168539325844</v>
      </c>
      <c r="C8" t="s">
        <v>302</v>
      </c>
    </row>
    <row r="9" ht="12.75">
      <c r="B9" s="120"/>
    </row>
    <row r="10" spans="2:3" ht="12.75">
      <c r="B10" s="124">
        <f>B3+B4</f>
        <v>1400</v>
      </c>
      <c r="C10" t="s">
        <v>369</v>
      </c>
    </row>
    <row r="11" spans="2:3" ht="12.75">
      <c r="B11" s="124">
        <f>(B5*B3+B6*B4)/B10</f>
        <v>1751.0628571428572</v>
      </c>
      <c r="C11" t="s">
        <v>366</v>
      </c>
    </row>
    <row r="12" spans="2:3" ht="12.75">
      <c r="B12" s="120">
        <f>(B7*B3+B8*B4)/B10</f>
        <v>2.3129714285714287</v>
      </c>
      <c r="C12" t="s">
        <v>367</v>
      </c>
    </row>
    <row r="13" ht="12.75">
      <c r="B13" s="120"/>
    </row>
    <row r="14" spans="2:3" ht="12.75">
      <c r="B14" s="121">
        <v>5.1</v>
      </c>
      <c r="C14" t="s">
        <v>357</v>
      </c>
    </row>
    <row r="15" spans="2:3" ht="12.75">
      <c r="B15" s="122">
        <f>B14*Million/SecPerDay</f>
        <v>59.02777777777778</v>
      </c>
      <c r="C15" t="s">
        <v>305</v>
      </c>
    </row>
    <row r="16" spans="2:3" ht="12.75">
      <c r="B16" s="122">
        <f>'TeV and DAQ'!E29</f>
        <v>49.285714285714285</v>
      </c>
      <c r="C16" t="s">
        <v>306</v>
      </c>
    </row>
    <row r="17" spans="2:3" ht="12.75">
      <c r="B17" s="123">
        <f>B15/B10</f>
        <v>0.042162698412698416</v>
      </c>
      <c r="C17" t="s">
        <v>368</v>
      </c>
    </row>
    <row r="18" spans="2:3" ht="12.75">
      <c r="B18" s="125">
        <f>1/B17</f>
        <v>23.717647058823527</v>
      </c>
      <c r="C18" t="s">
        <v>362</v>
      </c>
    </row>
    <row r="19" ht="12.75">
      <c r="B19" s="125"/>
    </row>
    <row r="20" spans="2:6" ht="12.75">
      <c r="B20" s="126">
        <f>B18*B12</f>
        <v>54.858239999999995</v>
      </c>
      <c r="C20" s="19" t="s">
        <v>374</v>
      </c>
      <c r="D20" s="19"/>
      <c r="E20" s="19"/>
      <c r="F20" s="19"/>
    </row>
    <row r="21" spans="2:6" ht="12.75">
      <c r="B21" s="127">
        <f>B11*B18</f>
        <v>41531.09082352941</v>
      </c>
      <c r="C21" s="19" t="s">
        <v>375</v>
      </c>
      <c r="D21" s="19"/>
      <c r="E21" s="19"/>
      <c r="F21" s="19"/>
    </row>
    <row r="24" ht="12.75">
      <c r="A24" t="s">
        <v>363</v>
      </c>
    </row>
    <row r="25" ht="12.75">
      <c r="A25" t="s">
        <v>364</v>
      </c>
    </row>
    <row r="26" ht="12.75">
      <c r="A26" t="s">
        <v>365</v>
      </c>
    </row>
    <row r="37" ht="12.75">
      <c r="A37" t="s">
        <v>360</v>
      </c>
    </row>
    <row r="38" ht="12.75">
      <c r="A38" t="s">
        <v>359</v>
      </c>
    </row>
    <row r="39" ht="12.75">
      <c r="A39" t="s">
        <v>361</v>
      </c>
    </row>
    <row r="40" ht="12.75">
      <c r="A40" t="s">
        <v>353</v>
      </c>
    </row>
    <row r="70" spans="1:8" ht="12.75">
      <c r="A70" s="19" t="s">
        <v>354</v>
      </c>
      <c r="B70" s="19"/>
      <c r="C70" s="19"/>
      <c r="D70" s="19"/>
      <c r="E70" s="19"/>
      <c r="F70" s="19"/>
      <c r="G70" s="19"/>
      <c r="H70" s="19"/>
    </row>
  </sheetData>
  <printOptions/>
  <pageMargins left="0.75" right="0.75" top="1" bottom="1" header="0.5" footer="0.5"/>
  <pageSetup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6"/>
  <sheetViews>
    <sheetView zoomScale="150" zoomScaleNormal="150" workbookViewId="0" topLeftCell="A16">
      <selection activeCell="H41" sqref="H41"/>
    </sheetView>
  </sheetViews>
  <sheetFormatPr defaultColWidth="11.00390625" defaultRowHeight="12.75"/>
  <cols>
    <col min="1" max="1" width="5.75390625" style="0" customWidth="1"/>
  </cols>
  <sheetData>
    <row r="1" spans="4:9" ht="12.75">
      <c r="D1" s="38"/>
      <c r="E1" s="38"/>
      <c r="F1" s="38" t="s">
        <v>202</v>
      </c>
      <c r="G1" s="38" t="s">
        <v>342</v>
      </c>
      <c r="H1" s="38" t="s">
        <v>203</v>
      </c>
      <c r="I1" s="38" t="s">
        <v>204</v>
      </c>
    </row>
    <row r="2" spans="2:9" ht="12.75">
      <c r="B2" t="s">
        <v>71</v>
      </c>
      <c r="D2" s="38"/>
      <c r="E2" s="38"/>
      <c r="F2" s="90">
        <f>'TeV and DAQ'!E7/DaysPerYear</f>
        <v>0.4191780821917808</v>
      </c>
      <c r="G2" s="90">
        <f>'TeV and DAQ'!F7/DaysPerYear*(WeeksPerYear-'TeV and DAQ'!F8)/WeeksPerYear</f>
        <v>0.75</v>
      </c>
      <c r="H2" s="90">
        <f>'TeV and DAQ'!G7/DaysPerYear</f>
        <v>1</v>
      </c>
      <c r="I2" s="90">
        <f>'TeV and DAQ'!H7/DaysPerYear</f>
        <v>0</v>
      </c>
    </row>
    <row r="3" spans="4:9" ht="12.75">
      <c r="D3" s="38"/>
      <c r="E3" s="38"/>
      <c r="F3" s="90"/>
      <c r="G3" s="89"/>
      <c r="H3" s="89"/>
      <c r="I3" s="89"/>
    </row>
    <row r="4" spans="2:9" ht="12.75">
      <c r="B4" s="104" t="s">
        <v>162</v>
      </c>
      <c r="D4" s="38"/>
      <c r="E4" s="38"/>
      <c r="F4" s="90"/>
      <c r="G4" s="89"/>
      <c r="H4" s="89"/>
      <c r="I4" s="89"/>
    </row>
    <row r="5" spans="2:9" ht="12.75">
      <c r="B5" t="s">
        <v>163</v>
      </c>
      <c r="F5" s="52">
        <f>'TeV and DAQ'!E17</f>
        <v>0.9048857142857142</v>
      </c>
      <c r="G5" s="52">
        <f>'TeV and DAQ'!F17</f>
        <v>1.6190357142857141</v>
      </c>
      <c r="H5" s="52">
        <f>'TeV and DAQ'!G17</f>
        <v>2.1587142857142854</v>
      </c>
      <c r="I5" s="52">
        <f>'TeV and DAQ'!H17</f>
        <v>0</v>
      </c>
    </row>
    <row r="6" spans="2:9" ht="12.75">
      <c r="B6" t="s">
        <v>164</v>
      </c>
      <c r="F6" s="85">
        <f>'Reco Times'!A24</f>
        <v>2917.5745161290324</v>
      </c>
      <c r="G6" s="85">
        <f>F6</f>
        <v>2917.5745161290324</v>
      </c>
      <c r="H6" s="124">
        <f>G6</f>
        <v>2917.5745161290324</v>
      </c>
      <c r="I6" s="124">
        <f>H6</f>
        <v>2917.5745161290324</v>
      </c>
    </row>
    <row r="7" spans="2:9" ht="12.75">
      <c r="B7" t="s">
        <v>180</v>
      </c>
      <c r="F7" s="86">
        <v>1</v>
      </c>
      <c r="G7" s="86">
        <v>1.32</v>
      </c>
      <c r="H7" s="121">
        <v>1.32</v>
      </c>
      <c r="I7" s="121">
        <v>1.32</v>
      </c>
    </row>
    <row r="8" spans="2:9" ht="12.75">
      <c r="B8" t="s">
        <v>72</v>
      </c>
      <c r="F8" s="86">
        <f>F5*F6*F7*Billion/SecPerYear/Million/F2</f>
        <v>0.19971492223502302</v>
      </c>
      <c r="G8" s="86">
        <f>G5*G6*G7*Billion/SecPerYear/Million/G2</f>
        <v>0.26362369735023045</v>
      </c>
      <c r="H8" s="121">
        <f>H5*H6*H7*Billion/SecPerYear/Million/H2</f>
        <v>0.26362369735023033</v>
      </c>
      <c r="I8" s="121"/>
    </row>
    <row r="9" spans="2:9" ht="12.75">
      <c r="B9" t="s">
        <v>128</v>
      </c>
      <c r="F9" s="86">
        <v>0.2</v>
      </c>
      <c r="G9" s="86">
        <v>0.2</v>
      </c>
      <c r="H9" s="121">
        <v>0.2</v>
      </c>
      <c r="I9" s="86"/>
    </row>
    <row r="10" spans="2:9" ht="12.75">
      <c r="B10" t="s">
        <v>181</v>
      </c>
      <c r="F10" s="86">
        <v>0</v>
      </c>
      <c r="G10" s="86">
        <v>0</v>
      </c>
      <c r="H10" s="121">
        <v>0</v>
      </c>
      <c r="I10" s="86"/>
    </row>
    <row r="11" spans="2:8" ht="12.75">
      <c r="B11" t="s">
        <v>82</v>
      </c>
      <c r="F11" s="115">
        <f>F8*(1+F9)*(1+F10)</f>
        <v>0.2396579066820276</v>
      </c>
      <c r="G11" s="86">
        <f>G8*(1+G9)*(1+G10)</f>
        <v>0.3163484368202765</v>
      </c>
      <c r="H11" s="121">
        <f>H8*(1+H9)*(1+H10)</f>
        <v>0.3163484368202764</v>
      </c>
    </row>
    <row r="12" spans="2:8" ht="12.75">
      <c r="B12" t="s">
        <v>87</v>
      </c>
      <c r="F12" s="86">
        <v>3.5</v>
      </c>
      <c r="G12" s="86">
        <v>3.5</v>
      </c>
      <c r="H12" s="121">
        <v>3.5</v>
      </c>
    </row>
    <row r="13" spans="2:8" ht="12.75">
      <c r="B13" t="s">
        <v>88</v>
      </c>
      <c r="F13" s="86">
        <f>F11*F12</f>
        <v>0.8388026733870966</v>
      </c>
      <c r="G13" s="86">
        <f>G11*G12</f>
        <v>1.1072195288709679</v>
      </c>
      <c r="H13" s="121">
        <f>H11*H12</f>
        <v>1.1072195288709674</v>
      </c>
    </row>
    <row r="15" spans="2:8" ht="12.75">
      <c r="B15" t="s">
        <v>314</v>
      </c>
      <c r="F15" s="88">
        <f>'Reco Times'!$A$67/Million</f>
        <v>0.20252600806451612</v>
      </c>
      <c r="G15" s="88">
        <f>'Reco Times'!$A$67/Million</f>
        <v>0.20252600806451612</v>
      </c>
      <c r="H15" s="121">
        <f>'Reco Times'!$A$67/Million</f>
        <v>0.20252600806451612</v>
      </c>
    </row>
    <row r="16" ht="12.75">
      <c r="B16" t="s">
        <v>15</v>
      </c>
    </row>
    <row r="17" spans="2:8" ht="12.75">
      <c r="B17" t="s">
        <v>73</v>
      </c>
      <c r="F17" s="92">
        <v>1.4</v>
      </c>
      <c r="G17" s="92">
        <v>1.4</v>
      </c>
      <c r="H17" s="121">
        <v>1.4</v>
      </c>
    </row>
    <row r="18" spans="2:8" ht="12.75">
      <c r="B18" t="s">
        <v>75</v>
      </c>
      <c r="F18" s="92">
        <v>0.25</v>
      </c>
      <c r="G18" s="92">
        <v>0.25</v>
      </c>
      <c r="H18" s="121">
        <v>0.25</v>
      </c>
    </row>
    <row r="19" spans="2:8" ht="12.75">
      <c r="B19" t="s">
        <v>76</v>
      </c>
      <c r="F19" s="92">
        <v>1</v>
      </c>
      <c r="G19" s="91">
        <v>0.75</v>
      </c>
      <c r="H19" s="91">
        <v>0.75</v>
      </c>
    </row>
    <row r="20" spans="2:8" ht="12.75">
      <c r="B20" t="s">
        <v>74</v>
      </c>
      <c r="F20" s="92">
        <v>0.2</v>
      </c>
      <c r="G20" s="92">
        <v>0.2</v>
      </c>
      <c r="H20" s="121">
        <v>0.2</v>
      </c>
    </row>
    <row r="21" spans="2:8" ht="12.75">
      <c r="B21" t="s">
        <v>16</v>
      </c>
      <c r="F21" s="93">
        <f>F5*F17*F6*F18*F19*(1+F20)*Billion/SecPerYear/Million/F2</f>
        <v>0.08388026733870965</v>
      </c>
      <c r="G21" s="121">
        <v>0.2</v>
      </c>
      <c r="H21" s="121">
        <v>0.2</v>
      </c>
    </row>
    <row r="23" spans="2:8" ht="12.75">
      <c r="B23" t="s">
        <v>84</v>
      </c>
      <c r="F23" s="112">
        <f>F13+F15+F21</f>
        <v>1.1252089487903223</v>
      </c>
      <c r="G23" s="112">
        <f>G13+G15+G21</f>
        <v>1.509745536935484</v>
      </c>
      <c r="H23" s="112">
        <f>H13+H15+H21</f>
        <v>1.5097455369354835</v>
      </c>
    </row>
    <row r="24" spans="2:8" ht="12.75">
      <c r="B24" t="s">
        <v>86</v>
      </c>
      <c r="F24" s="94">
        <f>'CPU by Year'!E8</f>
        <v>9.418944999999999</v>
      </c>
      <c r="G24" s="94">
        <f>'CPU by Year'!F8</f>
        <v>9.540564</v>
      </c>
      <c r="H24" s="94"/>
    </row>
    <row r="26" ht="12.75">
      <c r="B26" s="19" t="s">
        <v>85</v>
      </c>
    </row>
    <row r="27" spans="2:8" ht="12.75">
      <c r="B27" t="s">
        <v>161</v>
      </c>
      <c r="F27" s="52">
        <f>'TeV and DAQ'!E30</f>
        <v>0.6515177142857141</v>
      </c>
      <c r="G27" s="52">
        <f>'TeV and DAQ'!F30</f>
        <v>1.1657057142857143</v>
      </c>
      <c r="H27" s="121">
        <f>'TeV and DAQ'!G30</f>
        <v>1.5542742857142857</v>
      </c>
    </row>
    <row r="28" spans="2:8" ht="12.75">
      <c r="B28" t="s">
        <v>179</v>
      </c>
      <c r="F28" s="55">
        <f>'Reco Times'!A29</f>
        <v>41531.09082352941</v>
      </c>
      <c r="G28" s="55">
        <f>'Reco Times'!A29</f>
        <v>41531.09082352941</v>
      </c>
      <c r="H28" s="101">
        <f>'Reco Times'!A29</f>
        <v>41531.09082352941</v>
      </c>
    </row>
    <row r="29" spans="2:8" ht="12.75">
      <c r="B29" t="s">
        <v>56</v>
      </c>
      <c r="F29" s="96">
        <v>1</v>
      </c>
      <c r="G29" s="96">
        <v>1</v>
      </c>
      <c r="H29" s="121">
        <v>1</v>
      </c>
    </row>
    <row r="30" spans="2:8" ht="12.75">
      <c r="B30" t="s">
        <v>57</v>
      </c>
      <c r="F30" s="96">
        <v>0.2</v>
      </c>
      <c r="G30" s="96">
        <v>0.2</v>
      </c>
      <c r="H30" s="121">
        <v>0.2</v>
      </c>
    </row>
    <row r="31" spans="2:8" ht="12.75">
      <c r="B31" t="s">
        <v>315</v>
      </c>
      <c r="F31" s="96">
        <v>0.1</v>
      </c>
      <c r="G31" s="96">
        <v>0.1</v>
      </c>
      <c r="H31" s="121">
        <v>0.1</v>
      </c>
    </row>
    <row r="32" spans="2:8" ht="12.75">
      <c r="B32" t="s">
        <v>83</v>
      </c>
      <c r="F32" s="115">
        <v>1</v>
      </c>
      <c r="G32" s="115">
        <v>1</v>
      </c>
      <c r="H32" s="121">
        <v>1</v>
      </c>
    </row>
    <row r="33" spans="2:8" ht="12.75">
      <c r="B33" t="s">
        <v>316</v>
      </c>
      <c r="F33" s="96">
        <f>F27*F28*F29*(1+F30)*(1+F31)*Billion/SecPerYear/Million/F2/F32</f>
        <v>2.7018941087193276</v>
      </c>
      <c r="G33" s="96">
        <f>G27*G28*G29*(1+G30)*(1+G31)*Billion/SecPerYear/Million/G2/G32</f>
        <v>2.701894108719328</v>
      </c>
      <c r="H33" s="121">
        <f>H27*H28*H29*(1+H30)*(1+H31)*Billion/SecPerYear/Million/H2/H32</f>
        <v>2.7018941087193276</v>
      </c>
    </row>
    <row r="35" spans="2:8" ht="12.75">
      <c r="B35" t="s">
        <v>129</v>
      </c>
      <c r="F35" s="98">
        <f>'Reco Times'!$A$57</f>
        <v>15442.673623188408</v>
      </c>
      <c r="G35" s="98">
        <f>'Reco Times'!$A$57</f>
        <v>15442.673623188408</v>
      </c>
      <c r="H35" s="101">
        <f>'Reco Times'!$A$57</f>
        <v>15442.673623188408</v>
      </c>
    </row>
    <row r="36" spans="2:8" ht="12.75">
      <c r="B36" t="s">
        <v>57</v>
      </c>
      <c r="F36" s="99">
        <v>0.2</v>
      </c>
      <c r="G36" s="99">
        <v>0.2</v>
      </c>
      <c r="H36" s="121">
        <v>0.2</v>
      </c>
    </row>
    <row r="37" spans="2:8" ht="12.75">
      <c r="B37" t="s">
        <v>92</v>
      </c>
      <c r="F37" s="99">
        <f>F27*F35*(1+F36)*Billion/SecPerYear/Million/F2</f>
        <v>0.91332384</v>
      </c>
      <c r="G37" s="99">
        <f>G27*G35*(1+G36)*Billion/SecPerYear/Million/G2</f>
        <v>0.91332384</v>
      </c>
      <c r="H37" s="121">
        <f>H27*H35*(1+H36)*Billion/SecPerYear/Million/H2</f>
        <v>0.91332384</v>
      </c>
    </row>
    <row r="38" spans="6:7" ht="12.75">
      <c r="F38" s="99"/>
      <c r="G38" s="99"/>
    </row>
    <row r="39" spans="2:8" ht="12.75">
      <c r="B39" t="s">
        <v>66</v>
      </c>
      <c r="F39" s="113">
        <f>F33+F37</f>
        <v>3.6152179487193274</v>
      </c>
      <c r="G39" s="113">
        <f>G33+G37</f>
        <v>3.615217948719328</v>
      </c>
      <c r="H39" s="113">
        <f>H33+H37</f>
        <v>3.6152179487193274</v>
      </c>
    </row>
    <row r="40" spans="2:8" ht="12.75">
      <c r="B40" t="s">
        <v>67</v>
      </c>
      <c r="F40" s="99">
        <f>'CPU by Year'!E13</f>
        <v>10.06252</v>
      </c>
      <c r="G40" s="99">
        <f>'CPU by Year'!F13</f>
        <v>10.30464</v>
      </c>
      <c r="H40" s="121"/>
    </row>
    <row r="41" spans="6:7" ht="12.75">
      <c r="F41" s="99"/>
      <c r="G41" s="99"/>
    </row>
    <row r="42" spans="6:7" ht="12.75">
      <c r="F42" s="99"/>
      <c r="G42" s="99"/>
    </row>
    <row r="43" spans="6:7" ht="12.75">
      <c r="F43" s="99"/>
      <c r="G43" s="99"/>
    </row>
    <row r="44" spans="6:7" ht="12.75">
      <c r="F44" s="99"/>
      <c r="G44" s="99"/>
    </row>
    <row r="45" spans="6:7" ht="12.75">
      <c r="F45" s="99"/>
      <c r="G45" s="99"/>
    </row>
    <row r="46" spans="6:7" ht="12.75">
      <c r="F46" s="99"/>
      <c r="G46" s="99"/>
    </row>
  </sheetData>
  <printOptions/>
  <pageMargins left="0.75" right="0.75" top="1" bottom="1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Kutschke</dc:creator>
  <cp:keywords/>
  <dc:description/>
  <cp:lastModifiedBy>Robert Kutschke</cp:lastModifiedBy>
  <cp:lastPrinted>2008-05-19T01:39:34Z</cp:lastPrinted>
  <dcterms:created xsi:type="dcterms:W3CDTF">2008-05-05T14:29:26Z</dcterms:created>
  <dcterms:modified xsi:type="dcterms:W3CDTF">2008-05-19T04:51:16Z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