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45" sheetId="1" r:id="rId1"/>
  </sheets>
  <definedNames>
    <definedName name="TITLE">'HS-45'!$A$1:$A$1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<sst xmlns="http://schemas.openxmlformats.org/spreadsheetml/2006/main" count="207" uniqueCount="162">
  <si>
    <t xml:space="preserve">    Agricultural products /1</t>
  </si>
  <si>
    <t xml:space="preserve">         Mineral products \2</t>
  </si>
  <si>
    <t xml:space="preserve"> Electric energy net</t>
  </si>
  <si>
    <t xml:space="preserve">  generation by</t>
  </si>
  <si>
    <t xml:space="preserve">  Year</t>
  </si>
  <si>
    <t xml:space="preserve">Corn </t>
  </si>
  <si>
    <t xml:space="preserve">Fishery, </t>
  </si>
  <si>
    <t>electric utilities \2</t>
  </si>
  <si>
    <t xml:space="preserve">Crude </t>
  </si>
  <si>
    <t xml:space="preserve">landed </t>
  </si>
  <si>
    <t xml:space="preserve">Raw </t>
  </si>
  <si>
    <t xml:space="preserve">Passenger </t>
  </si>
  <si>
    <t xml:space="preserve">Wheat </t>
  </si>
  <si>
    <t xml:space="preserve">Cotton </t>
  </si>
  <si>
    <t xml:space="preserve">Tobacco </t>
  </si>
  <si>
    <t xml:space="preserve">  petroleum </t>
  </si>
  <si>
    <t xml:space="preserve">marketed </t>
  </si>
  <si>
    <t xml:space="preserve">Coal </t>
  </si>
  <si>
    <t xml:space="preserve">catch \3 </t>
  </si>
  <si>
    <t xml:space="preserve">steel \4 </t>
  </si>
  <si>
    <t xml:space="preserve">cars \5 </t>
  </si>
  <si>
    <t xml:space="preserve">Total </t>
  </si>
  <si>
    <t>(million bushels)</t>
  </si>
  <si>
    <t>(1,000 bales)</t>
  </si>
  <si>
    <t>(1,000)</t>
  </si>
  <si>
    <t xml:space="preserve">(million kwh) </t>
  </si>
  <si>
    <t>1900</t>
  </si>
  <si>
    <t>(NA)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</si>
  <si>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</si>
  <si>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</si>
  <si>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</si>
  <si>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</si>
  <si>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</si>
  <si>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</si>
  <si>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</si>
  <si>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</si>
  <si>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</si>
  <si>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</si>
  <si>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</si>
  <si>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</si>
  <si>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</si>
  <si>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</si>
  <si>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</si>
  <si>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</si>
  <si>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</si>
  <si>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</si>
  <si>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</si>
  <si>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</si>
  <si>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</si>
  <si>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</si>
  <si>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</si>
  <si>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</si>
  <si>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</si>
  <si>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</si>
  <si>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</si>
  <si>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</si>
  <si>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</si>
  <si>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</si>
  <si>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</si>
  <si>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</si>
  <si>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</si>
  <si>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</si>
  <si>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</si>
  <si>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</si>
  <si>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</si>
  <si>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</si>
  <si>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</si>
  <si>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</si>
  <si>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</si>
  <si>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</si>
  <si>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</si>
  <si>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(Z)</t>
  </si>
  <si>
    <t>1944</t>
  </si>
  <si>
    <t>\1\1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</si>
  <si>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</si>
  <si>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</si>
  <si>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</si>
  <si>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</si>
  <si>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</si>
  <si>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</si>
  <si>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</si>
  <si>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</si>
  <si>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</si>
  <si>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</si>
  <si>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</si>
  <si>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</si>
  <si>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</si>
  <si>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</si>
  <si>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</si>
  <si>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</si>
  <si>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</si>
  <si>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</si>
  <si>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</si>
  <si>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</si>
  <si>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</si>
  <si>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</si>
  <si>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</si>
  <si>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</si>
  <si>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</si>
  <si>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</si>
  <si>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</si>
  <si>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</si>
  <si>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</si>
  <si>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</si>
  <si>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</si>
  <si>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</si>
  <si>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</si>
  <si>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</si>
  <si>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</si>
  <si>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</si>
  <si>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</si>
  <si>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</si>
  <si>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</si>
  <si>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</si>
  <si>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</si>
  <si>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</si>
  <si>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</si>
  <si>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</si>
  <si>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</si>
  <si>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</si>
  <si>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</si>
  <si>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</si>
  <si>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</si>
  <si>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</si>
  <si>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</si>
  <si>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</si>
  <si>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</si>
  <si>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</si>
  <si>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</si>
  <si>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</si>
  <si>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</si>
  <si>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</si>
  <si>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Highest value</t>
  </si>
  <si>
    <t>Lowest value</t>
  </si>
  <si>
    <t>SYMBOLS</t>
  </si>
  <si>
    <t>FOOTNOTES</t>
  </si>
  <si>
    <t>Source: Compiled from sources indicated above.</t>
  </si>
  <si>
    <t>No. HS--45. Production Indicators for Agricultural, Fishery, Mineral, and Manufactured Products: 1900 to 2002</t>
  </si>
  <si>
    <t>NA Not available.</t>
  </si>
  <si>
    <t>Z Less than half the unit of measure.</t>
  </si>
  <si>
    <r>
      <t xml:space="preserve">\2 Source: 1900-1945, U.S. Bureau of Mines, </t>
    </r>
    <r>
      <rPr>
        <i/>
        <sz val="12"/>
        <rFont val="Courier New"/>
        <family val="3"/>
      </rPr>
      <t>Minerals Yearbook;</t>
    </r>
    <r>
      <rPr>
        <sz val="12"/>
        <rFont val="Courier New"/>
        <family val="0"/>
      </rPr>
      <t xml:space="preserve"> 1950-2001, </t>
    </r>
  </si>
  <si>
    <r>
      <t xml:space="preserve">U.S. Energy Information Administration, </t>
    </r>
    <r>
      <rPr>
        <i/>
        <sz val="12"/>
        <rFont val="Courier New"/>
        <family val="3"/>
      </rPr>
      <t>Annual Energy Review.</t>
    </r>
  </si>
  <si>
    <r>
      <t xml:space="preserve">\3 Source: U.S. national Oceanic and Atmospheric Administration, </t>
    </r>
    <r>
      <rPr>
        <i/>
        <sz val="12"/>
        <rFont val="Courier New"/>
        <family val="3"/>
      </rPr>
      <t>National Marine Fisheries Service,  Fisheries in the United States,</t>
    </r>
    <r>
      <rPr>
        <sz val="12"/>
        <rFont val="Courier New"/>
        <family val="0"/>
      </rPr>
      <t xml:space="preserve"> annual.</t>
    </r>
  </si>
  <si>
    <r>
      <t xml:space="preserve">\4 Source: American Iron and Steel Institute, Washington, DC, </t>
    </r>
    <r>
      <rPr>
        <i/>
        <sz val="12"/>
        <rFont val="Courier New"/>
        <family val="3"/>
      </rPr>
      <t>Annual Statistical Report</t>
    </r>
    <r>
      <rPr>
        <sz val="12"/>
        <rFont val="Courier New"/>
        <family val="0"/>
      </rPr>
      <t xml:space="preserve"> (copyright).</t>
    </r>
  </si>
  <si>
    <t>(million barrels)</t>
  </si>
  <si>
    <t>(billion cubic feet)</t>
  </si>
  <si>
    <t>(million tons)</t>
  </si>
  <si>
    <t>(million pounds)</t>
  </si>
  <si>
    <t>(1,000 short tons)</t>
  </si>
  <si>
    <t xml:space="preserve">for grain </t>
  </si>
  <si>
    <t xml:space="preserve">Natural gas </t>
  </si>
  <si>
    <t>kwh Kilowatt hours</t>
  </si>
  <si>
    <t xml:space="preserve">       Manufactured products</t>
  </si>
  <si>
    <t>INTERNET</t>
  </si>
  <si>
    <t>http://www.usda.gov/nass/</t>
  </si>
  <si>
    <t>http://www.eia.doe.gov</t>
  </si>
  <si>
    <t>http://www.st.nmfs.gov/st1/index.html</t>
  </si>
  <si>
    <t>http://www.steel.org/</t>
  </si>
  <si>
    <t>http://www.eia.doe.gov/cneaf/electricity/epa/epa_sum.html</t>
  </si>
  <si>
    <r>
      <t xml:space="preserve">\5 1900-1996, Amerian Automobile Manufacturers Association,  </t>
    </r>
    <r>
      <rPr>
        <i/>
        <sz val="12"/>
        <rFont val="Courier New"/>
        <family val="3"/>
      </rPr>
      <t>Motor Vehicle Facts and Figures,</t>
    </r>
    <r>
      <rPr>
        <sz val="12"/>
        <rFont val="Courier New"/>
        <family val="0"/>
      </rPr>
      <t xml:space="preserve"> annual.</t>
    </r>
  </si>
  <si>
    <r>
      <t xml:space="preserve">\1 Source: U.S. Department of Agriculture, National Agricultural Statistics Service, </t>
    </r>
    <r>
      <rPr>
        <i/>
        <sz val="12"/>
        <rFont val="Courier New"/>
        <family val="3"/>
      </rPr>
      <t>Agricultural Statistics,</t>
    </r>
    <r>
      <rPr>
        <sz val="12"/>
        <rFont val="Courier New"/>
        <family val="0"/>
      </rPr>
      <t xml:space="preserve"> annual; and</t>
    </r>
  </si>
  <si>
    <t>&lt;http://www.nass.usda.gov:81/ipedb/&gt; (accessed 24 April 2003).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</si>
</sst>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#,##0.000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u val="single"/>
      <sz val="10.45"/>
      <color indexed="12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Font="1" applyAlignment="1">
      <alignment/>
    </xf>
    <xf numFmtId="0" fontId="0" fillId="0" borderId="2" xfId="0" applyFont="1" applyAlignment="1">
      <alignment/>
    </xf>
    <xf numFmtId="164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3" fontId="0" fillId="0" borderId="3" xfId="0" applyNumberFormat="1" applyFont="1" applyAlignment="1">
      <alignment/>
    </xf>
    <xf numFmtId="0" fontId="0" fillId="0" borderId="3" xfId="0" applyFont="1" applyAlignment="1">
      <alignment/>
    </xf>
    <xf numFmtId="164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165" fontId="0" fillId="0" borderId="3" xfId="0" applyNumberFormat="1" applyFont="1" applyAlignment="1">
      <alignment/>
    </xf>
    <xf numFmtId="166" fontId="0" fillId="0" borderId="3" xfId="0" applyNumberFormat="1" applyFont="1" applyAlignment="1">
      <alignment/>
    </xf>
    <xf numFmtId="0" fontId="0" fillId="0" borderId="3" xfId="0" applyNumberFormat="1" applyFont="1" applyAlignment="1">
      <alignment/>
    </xf>
    <xf numFmtId="0" fontId="0" fillId="0" borderId="4" xfId="0" applyFont="1" applyAlignment="1">
      <alignment/>
    </xf>
    <xf numFmtId="0" fontId="0" fillId="0" borderId="5" xfId="0" applyFont="1" applyAlignment="1">
      <alignment/>
    </xf>
    <xf numFmtId="0" fontId="0" fillId="0" borderId="6" xfId="0" applyFont="1" applyAlignment="1">
      <alignment/>
    </xf>
    <xf numFmtId="0" fontId="0" fillId="0" borderId="5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4" fillId="0" borderId="3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3" xfId="0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3" xfId="0" applyFont="1" applyAlignment="1">
      <alignment horizontal="right"/>
    </xf>
    <xf numFmtId="3" fontId="0" fillId="0" borderId="3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3" fontId="0" fillId="2" borderId="2" xfId="0" applyNumberFormat="1" applyFont="1" applyFill="1" applyAlignment="1">
      <alignment/>
    </xf>
    <xf numFmtId="0" fontId="0" fillId="2" borderId="2" xfId="0" applyNumberFormat="1" applyFont="1" applyFill="1" applyAlignment="1">
      <alignment/>
    </xf>
    <xf numFmtId="164" fontId="0" fillId="2" borderId="7" xfId="0" applyNumberFormat="1" applyFont="1" applyFill="1" applyAlignment="1">
      <alignment/>
    </xf>
    <xf numFmtId="3" fontId="0" fillId="2" borderId="7" xfId="0" applyNumberFormat="1" applyFont="1" applyFill="1" applyAlignment="1">
      <alignment/>
    </xf>
    <xf numFmtId="164" fontId="0" fillId="2" borderId="3" xfId="0" applyNumberFormat="1" applyFont="1" applyFill="1" applyAlignment="1">
      <alignment/>
    </xf>
    <xf numFmtId="3" fontId="0" fillId="2" borderId="3" xfId="0" applyNumberFormat="1" applyFont="1" applyFill="1" applyAlignment="1">
      <alignment/>
    </xf>
    <xf numFmtId="165" fontId="0" fillId="2" borderId="3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3" fontId="0" fillId="2" borderId="2" xfId="0" applyNumberFormat="1" applyFont="1" applyFill="1" applyAlignment="1">
      <alignment horizontal="right"/>
    </xf>
    <xf numFmtId="3" fontId="0" fillId="2" borderId="3" xfId="0" applyNumberFormat="1" applyFont="1" applyFill="1" applyAlignment="1">
      <alignment horizontal="right"/>
    </xf>
    <xf numFmtId="3" fontId="0" fillId="2" borderId="6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horizontal="right"/>
    </xf>
    <xf numFmtId="165" fontId="0" fillId="2" borderId="0" xfId="0" applyNumberFormat="1" applyFont="1" applyFill="1" applyAlignment="1">
      <alignment horizontal="right"/>
    </xf>
    <xf numFmtId="3" fontId="4" fillId="2" borderId="2" xfId="0" applyNumberFormat="1" applyFont="1" applyFill="1" applyAlignment="1">
      <alignment/>
    </xf>
    <xf numFmtId="3" fontId="4" fillId="2" borderId="3" xfId="0" applyNumberFormat="1" applyFont="1" applyFill="1" applyAlignment="1">
      <alignment/>
    </xf>
    <xf numFmtId="164" fontId="4" fillId="2" borderId="6" xfId="0" applyNumberFormat="1" applyFont="1" applyFill="1" applyAlignment="1">
      <alignment/>
    </xf>
    <xf numFmtId="3" fontId="4" fillId="2" borderId="6" xfId="0" applyNumberFormat="1" applyFont="1" applyFill="1" applyAlignment="1">
      <alignment/>
    </xf>
    <xf numFmtId="3" fontId="5" fillId="0" borderId="3" xfId="0" applyNumberFormat="1" applyFont="1" applyAlignment="1">
      <alignment/>
    </xf>
    <xf numFmtId="165" fontId="5" fillId="0" borderId="3" xfId="0" applyNumberFormat="1" applyFont="1" applyAlignment="1">
      <alignment/>
    </xf>
    <xf numFmtId="3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6" fillId="0" borderId="0" xfId="15" applyNumberForma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sda.gov/nass/" TargetMode="External" /><Relationship Id="rId2" Type="http://schemas.openxmlformats.org/officeDocument/2006/relationships/hyperlink" Target="http://www.eia.doe.gov/" TargetMode="External" /><Relationship Id="rId3" Type="http://schemas.openxmlformats.org/officeDocument/2006/relationships/hyperlink" Target="http://www.st.nmfs.gov/st1/index.html" TargetMode="External" /><Relationship Id="rId4" Type="http://schemas.openxmlformats.org/officeDocument/2006/relationships/hyperlink" Target="http://www.steel.org/" TargetMode="External" /><Relationship Id="rId5" Type="http://schemas.openxmlformats.org/officeDocument/2006/relationships/hyperlink" Target="http://www.eia.doe.gov/cneaf/electricity/epa/epa_sum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42"/>
  <sheetViews>
    <sheetView tabSelected="1" showOutlineSymbols="0" zoomScale="87" zoomScaleNormal="87" workbookViewId="0" topLeftCell="A1">
      <selection activeCell="A2" sqref="A2"/>
    </sheetView>
  </sheetViews>
  <sheetFormatPr defaultColWidth="16.69921875" defaultRowHeight="15.75"/>
  <cols>
    <col min="6" max="6" width="2.3984375" style="0" customWidth="1"/>
    <col min="8" max="8" width="18.296875" style="0" customWidth="1"/>
    <col min="10" max="10" width="2.5" style="0" customWidth="1"/>
    <col min="11" max="11" width="16.59765625" style="0" customWidth="1"/>
    <col min="14" max="14" width="20.59765625" style="0" customWidth="1"/>
  </cols>
  <sheetData>
    <row r="1" spans="1:50" ht="16.5">
      <c r="A1" s="26" t="s">
        <v>137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</row>
    <row r="2" spans="1:50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</row>
    <row r="3" spans="1:50" ht="15.75">
      <c r="A3" s="2"/>
      <c r="B3" s="2"/>
      <c r="C3" s="2"/>
      <c r="D3" s="2"/>
      <c r="E3" s="2"/>
      <c r="F3" s="2"/>
      <c r="G3" s="15"/>
      <c r="H3" s="2"/>
      <c r="I3" s="2"/>
      <c r="J3" s="2"/>
      <c r="K3" s="15"/>
      <c r="L3" s="15"/>
      <c r="M3" s="2"/>
      <c r="N3" s="15"/>
      <c r="O3" s="18"/>
      <c r="P3" s="18"/>
      <c r="Q3" s="18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</row>
    <row r="4" spans="1:50" ht="15.75">
      <c r="A4" s="18"/>
      <c r="B4" s="18" t="s">
        <v>0</v>
      </c>
      <c r="C4" s="18"/>
      <c r="D4" s="18" t="s">
        <v>0</v>
      </c>
      <c r="E4" s="18"/>
      <c r="F4" s="18"/>
      <c r="G4" s="7" t="s">
        <v>1</v>
      </c>
      <c r="H4" s="18"/>
      <c r="I4" s="18"/>
      <c r="J4" s="18"/>
      <c r="K4" s="7"/>
      <c r="L4" s="7" t="s">
        <v>152</v>
      </c>
      <c r="M4" s="18"/>
      <c r="N4" s="27" t="s">
        <v>2</v>
      </c>
      <c r="O4" s="18"/>
      <c r="P4" s="18"/>
      <c r="Q4" s="18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</row>
    <row r="5" spans="1:50" ht="15.75">
      <c r="A5" s="18"/>
      <c r="B5" s="1"/>
      <c r="C5" s="1"/>
      <c r="D5" s="1"/>
      <c r="E5" s="1"/>
      <c r="F5" s="18"/>
      <c r="G5" s="14"/>
      <c r="H5" s="1"/>
      <c r="I5" s="1"/>
      <c r="J5" s="18"/>
      <c r="K5" s="12"/>
      <c r="L5" s="14"/>
      <c r="M5" s="1"/>
      <c r="N5" s="27" t="s">
        <v>3</v>
      </c>
      <c r="O5" s="18"/>
      <c r="P5" s="18"/>
      <c r="Q5" s="18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</row>
    <row r="6" spans="3:50" ht="15.75">
      <c r="C6" s="22"/>
      <c r="D6" s="22"/>
      <c r="E6" s="22"/>
      <c r="F6" s="18"/>
      <c r="G6" s="12"/>
      <c r="H6" s="33"/>
      <c r="I6" s="22"/>
      <c r="J6" s="18"/>
      <c r="K6" s="30" t="s">
        <v>6</v>
      </c>
      <c r="L6" s="12"/>
      <c r="M6" s="33"/>
      <c r="N6" s="13" t="s">
        <v>7</v>
      </c>
      <c r="O6" s="18"/>
      <c r="P6" s="18"/>
      <c r="Q6" s="18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ht="15.75">
      <c r="A7" s="18"/>
      <c r="B7" s="33" t="s">
        <v>5</v>
      </c>
      <c r="C7" s="18"/>
      <c r="D7" s="18"/>
      <c r="E7" s="18"/>
      <c r="F7" s="18"/>
      <c r="G7" s="30" t="s">
        <v>8</v>
      </c>
      <c r="H7" s="33" t="s">
        <v>150</v>
      </c>
      <c r="I7" s="18"/>
      <c r="J7" s="18"/>
      <c r="K7" s="30" t="s">
        <v>9</v>
      </c>
      <c r="L7" s="30" t="s">
        <v>10</v>
      </c>
      <c r="M7" s="33" t="s">
        <v>11</v>
      </c>
      <c r="N7" s="16"/>
      <c r="O7" s="18"/>
      <c r="P7" s="18"/>
      <c r="Q7" s="18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</row>
    <row r="8" spans="1:50" ht="15.75">
      <c r="A8" s="28" t="s">
        <v>4</v>
      </c>
      <c r="B8" s="33" t="s">
        <v>149</v>
      </c>
      <c r="C8" s="33" t="s">
        <v>12</v>
      </c>
      <c r="D8" s="33" t="s">
        <v>13</v>
      </c>
      <c r="E8" s="33" t="s">
        <v>14</v>
      </c>
      <c r="F8" s="18"/>
      <c r="G8" s="30" t="s">
        <v>15</v>
      </c>
      <c r="H8" s="33" t="s">
        <v>16</v>
      </c>
      <c r="I8" s="33" t="s">
        <v>17</v>
      </c>
      <c r="J8" s="18"/>
      <c r="K8" s="30" t="s">
        <v>18</v>
      </c>
      <c r="L8" s="30" t="s">
        <v>19</v>
      </c>
      <c r="M8" s="33" t="s">
        <v>20</v>
      </c>
      <c r="N8" s="12"/>
      <c r="O8" s="18"/>
      <c r="P8" s="18"/>
      <c r="Q8" s="18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</row>
    <row r="9" spans="1:50" ht="15.75">
      <c r="A9" s="18"/>
      <c r="B9" s="18"/>
      <c r="C9" s="18"/>
      <c r="D9" s="18"/>
      <c r="E9" s="18"/>
      <c r="F9" s="18"/>
      <c r="G9" s="7"/>
      <c r="H9" s="18"/>
      <c r="I9" s="18"/>
      <c r="J9" s="18"/>
      <c r="K9" s="7"/>
      <c r="L9" s="7"/>
      <c r="M9" s="22"/>
      <c r="N9" s="30" t="s">
        <v>21</v>
      </c>
      <c r="O9" s="18"/>
      <c r="P9" s="18"/>
      <c r="Q9" s="18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</row>
    <row r="10" spans="1:50" ht="15.75">
      <c r="A10" s="62"/>
      <c r="B10" s="33" t="s">
        <v>22</v>
      </c>
      <c r="C10" s="33" t="s">
        <v>22</v>
      </c>
      <c r="D10" s="33" t="s">
        <v>23</v>
      </c>
      <c r="E10" s="33" t="s">
        <v>147</v>
      </c>
      <c r="F10" s="18"/>
      <c r="G10" s="30" t="s">
        <v>144</v>
      </c>
      <c r="H10" s="33" t="s">
        <v>145</v>
      </c>
      <c r="I10" s="33" t="s">
        <v>148</v>
      </c>
      <c r="J10" s="18"/>
      <c r="K10" s="30" t="s">
        <v>147</v>
      </c>
      <c r="L10" s="30" t="s">
        <v>146</v>
      </c>
      <c r="M10" s="33" t="s">
        <v>24</v>
      </c>
      <c r="N10" s="30" t="s">
        <v>25</v>
      </c>
      <c r="O10" s="18"/>
      <c r="P10" s="18"/>
      <c r="Q10" s="18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</row>
    <row r="11" spans="1:50" ht="15.75">
      <c r="A11" s="18"/>
      <c r="B11" s="18"/>
      <c r="C11" s="18"/>
      <c r="D11" s="33"/>
      <c r="E11" s="33"/>
      <c r="F11" s="18"/>
      <c r="G11" s="30"/>
      <c r="H11" s="22"/>
      <c r="I11" s="33"/>
      <c r="J11" s="18"/>
      <c r="K11" s="30"/>
      <c r="L11" s="7"/>
      <c r="M11" s="22"/>
      <c r="N11" s="12"/>
      <c r="O11" s="18"/>
      <c r="P11" s="18"/>
      <c r="Q11" s="18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</row>
    <row r="12" spans="1:50" ht="15.75">
      <c r="A12" s="18"/>
      <c r="B12" s="18"/>
      <c r="C12" s="18"/>
      <c r="D12" s="18"/>
      <c r="E12" s="18"/>
      <c r="F12" s="18"/>
      <c r="G12" s="7"/>
      <c r="H12" s="18"/>
      <c r="I12" s="18"/>
      <c r="J12" s="18"/>
      <c r="K12" s="7"/>
      <c r="L12" s="7"/>
      <c r="M12" s="18"/>
      <c r="N12" s="7"/>
      <c r="O12" s="18"/>
      <c r="P12" s="18"/>
      <c r="Q12" s="18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</row>
    <row r="13" spans="1:50" ht="16.5">
      <c r="A13" s="37" t="s">
        <v>26</v>
      </c>
      <c r="B13" s="46">
        <v>2661.978</v>
      </c>
      <c r="C13" s="36">
        <v>599</v>
      </c>
      <c r="D13" s="36">
        <v>10124</v>
      </c>
      <c r="E13" s="36">
        <v>852</v>
      </c>
      <c r="F13" s="36"/>
      <c r="G13" s="54">
        <v>63.621</v>
      </c>
      <c r="H13" s="51">
        <v>128</v>
      </c>
      <c r="I13" s="51">
        <v>269684</v>
      </c>
      <c r="J13" s="36"/>
      <c r="K13" s="48" t="s">
        <v>27</v>
      </c>
      <c r="L13" s="53">
        <f>11227/1000</f>
        <v>11.227</v>
      </c>
      <c r="M13" s="36">
        <v>4.1</v>
      </c>
      <c r="N13" s="48" t="s">
        <v>27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>
      <c r="A14" s="22" t="s">
        <v>28</v>
      </c>
      <c r="B14" s="34">
        <v>1715.752</v>
      </c>
      <c r="C14" s="20">
        <v>763</v>
      </c>
      <c r="D14" s="20">
        <v>9508</v>
      </c>
      <c r="E14" s="20">
        <v>886</v>
      </c>
      <c r="F14" s="20"/>
      <c r="G14" s="9">
        <v>69.389</v>
      </c>
      <c r="H14" s="20">
        <v>180</v>
      </c>
      <c r="I14" s="20">
        <v>293300</v>
      </c>
      <c r="J14" s="20"/>
      <c r="K14" s="31" t="s">
        <v>27</v>
      </c>
      <c r="L14" s="8">
        <f>14784/1000</f>
        <v>14.784</v>
      </c>
      <c r="M14" s="20">
        <v>7</v>
      </c>
      <c r="N14" s="31" t="s">
        <v>27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16.5">
      <c r="A15" s="22" t="s">
        <v>29</v>
      </c>
      <c r="B15" s="34">
        <v>2773.954</v>
      </c>
      <c r="C15" s="20">
        <v>687</v>
      </c>
      <c r="D15" s="20">
        <v>10630</v>
      </c>
      <c r="E15" s="20">
        <v>960</v>
      </c>
      <c r="F15" s="20"/>
      <c r="G15" s="9">
        <v>88.767</v>
      </c>
      <c r="H15" s="20">
        <v>206</v>
      </c>
      <c r="I15" s="20">
        <v>301591</v>
      </c>
      <c r="J15" s="20"/>
      <c r="K15" s="31" t="s">
        <v>27</v>
      </c>
      <c r="L15" s="8">
        <f>16402/1000</f>
        <v>16.402</v>
      </c>
      <c r="M15" s="20">
        <v>9</v>
      </c>
      <c r="N15" s="24">
        <v>2507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>
      <c r="A16" s="22" t="s">
        <v>30</v>
      </c>
      <c r="B16" s="34">
        <v>2515.093</v>
      </c>
      <c r="C16" s="20">
        <v>663</v>
      </c>
      <c r="D16" s="20">
        <v>9851</v>
      </c>
      <c r="E16" s="20">
        <v>976</v>
      </c>
      <c r="F16" s="20"/>
      <c r="G16" s="9">
        <v>100.461</v>
      </c>
      <c r="H16" s="20">
        <v>239</v>
      </c>
      <c r="I16" s="20">
        <v>357356</v>
      </c>
      <c r="J16" s="20"/>
      <c r="K16" s="31" t="s">
        <v>27</v>
      </c>
      <c r="L16" s="8">
        <f>15865/1000</f>
        <v>15.865</v>
      </c>
      <c r="M16" s="20">
        <v>11.2</v>
      </c>
      <c r="N16" s="31" t="s">
        <v>27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>
      <c r="A17" s="22" t="s">
        <v>31</v>
      </c>
      <c r="B17" s="34">
        <v>2686.624</v>
      </c>
      <c r="C17" s="20">
        <v>556</v>
      </c>
      <c r="D17" s="20">
        <v>13438</v>
      </c>
      <c r="E17" s="20">
        <v>857</v>
      </c>
      <c r="F17" s="20"/>
      <c r="G17" s="9">
        <v>117.081</v>
      </c>
      <c r="H17" s="20">
        <v>257</v>
      </c>
      <c r="I17" s="20">
        <v>351817</v>
      </c>
      <c r="J17" s="20"/>
      <c r="K17" s="31" t="s">
        <v>27</v>
      </c>
      <c r="L17" s="8">
        <f>15205/1000</f>
        <v>15.205</v>
      </c>
      <c r="M17" s="20">
        <v>22.1</v>
      </c>
      <c r="N17" s="31" t="s">
        <v>27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>
      <c r="A18" s="22" t="s">
        <v>32</v>
      </c>
      <c r="B18" s="34">
        <v>2954.148</v>
      </c>
      <c r="C18" s="20">
        <v>706</v>
      </c>
      <c r="D18" s="20">
        <v>10576</v>
      </c>
      <c r="E18" s="20">
        <v>939</v>
      </c>
      <c r="F18" s="20"/>
      <c r="G18" s="9">
        <v>134.717</v>
      </c>
      <c r="H18" s="20">
        <v>320</v>
      </c>
      <c r="I18" s="20">
        <v>392723</v>
      </c>
      <c r="J18" s="20"/>
      <c r="K18" s="9">
        <v>2002</v>
      </c>
      <c r="L18" s="8">
        <f>21880/1000</f>
        <v>21.88</v>
      </c>
      <c r="M18" s="20">
        <v>24.2</v>
      </c>
      <c r="N18" s="31" t="s">
        <v>27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>
      <c r="A19" s="22" t="s">
        <v>33</v>
      </c>
      <c r="B19" s="34">
        <v>3032.91</v>
      </c>
      <c r="C19" s="20">
        <v>741</v>
      </c>
      <c r="D19" s="20">
        <v>13274</v>
      </c>
      <c r="E19" s="20">
        <v>973</v>
      </c>
      <c r="F19" s="20"/>
      <c r="G19" s="9">
        <v>126.494</v>
      </c>
      <c r="H19" s="20">
        <v>389</v>
      </c>
      <c r="I19" s="20">
        <v>414157</v>
      </c>
      <c r="J19" s="20"/>
      <c r="K19" s="9">
        <v>2046</v>
      </c>
      <c r="L19" s="8">
        <f>25443/1000</f>
        <v>25.443</v>
      </c>
      <c r="M19" s="20">
        <v>33.2</v>
      </c>
      <c r="N19" s="31" t="s">
        <v>27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6.5">
      <c r="A20" s="22" t="s">
        <v>34</v>
      </c>
      <c r="B20" s="34">
        <v>2613.797</v>
      </c>
      <c r="C20" s="20">
        <v>629</v>
      </c>
      <c r="D20" s="20">
        <v>11106</v>
      </c>
      <c r="E20" s="20">
        <v>886</v>
      </c>
      <c r="F20" s="20"/>
      <c r="G20" s="9">
        <v>166.095</v>
      </c>
      <c r="H20" s="20">
        <v>407</v>
      </c>
      <c r="I20" s="20">
        <v>480363</v>
      </c>
      <c r="J20" s="20"/>
      <c r="K20" s="24">
        <v>1930</v>
      </c>
      <c r="L20" s="8">
        <f>25375/1000</f>
        <v>25.375</v>
      </c>
      <c r="M20" s="20">
        <v>43</v>
      </c>
      <c r="N20" s="9">
        <v>5862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6.5">
      <c r="A21" s="22" t="s">
        <v>35</v>
      </c>
      <c r="B21" s="34">
        <v>2566.742</v>
      </c>
      <c r="C21" s="20">
        <v>643</v>
      </c>
      <c r="D21" s="20">
        <v>13241</v>
      </c>
      <c r="E21" s="25">
        <v>836</v>
      </c>
      <c r="F21" s="20"/>
      <c r="G21" s="9">
        <v>178.527</v>
      </c>
      <c r="H21" s="20">
        <v>402</v>
      </c>
      <c r="I21" s="20">
        <v>415843</v>
      </c>
      <c r="J21" s="20"/>
      <c r="K21" s="9">
        <v>2053</v>
      </c>
      <c r="L21" s="8">
        <f>15383/1000</f>
        <v>15.383</v>
      </c>
      <c r="M21" s="20">
        <v>63.5</v>
      </c>
      <c r="N21" s="31" t="s">
        <v>27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>
      <c r="A22" s="22" t="s">
        <v>36</v>
      </c>
      <c r="B22" s="34">
        <v>2611.157</v>
      </c>
      <c r="C22" s="20">
        <v>684</v>
      </c>
      <c r="D22" s="20">
        <v>10005</v>
      </c>
      <c r="E22" s="20">
        <v>1054</v>
      </c>
      <c r="F22" s="20"/>
      <c r="G22" s="9">
        <v>183.171</v>
      </c>
      <c r="H22" s="20">
        <v>481</v>
      </c>
      <c r="I22" s="20">
        <v>460814</v>
      </c>
      <c r="J22" s="20"/>
      <c r="K22" s="31" t="s">
        <v>27</v>
      </c>
      <c r="L22" s="8">
        <f>26218/1000</f>
        <v>26.218</v>
      </c>
      <c r="M22" s="20">
        <v>123.9</v>
      </c>
      <c r="N22" s="31" t="s">
        <v>27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>
      <c r="A23" s="45" t="s">
        <v>37</v>
      </c>
      <c r="B23" s="49">
        <v>2852.794</v>
      </c>
      <c r="C23" s="43">
        <v>625</v>
      </c>
      <c r="D23" s="43">
        <v>11609</v>
      </c>
      <c r="E23" s="43">
        <v>1142</v>
      </c>
      <c r="F23" s="43"/>
      <c r="G23" s="41">
        <v>209.557</v>
      </c>
      <c r="H23" s="43">
        <v>509</v>
      </c>
      <c r="I23" s="43">
        <v>501596</v>
      </c>
      <c r="J23" s="43"/>
      <c r="K23" s="47" t="s">
        <v>27</v>
      </c>
      <c r="L23" s="40">
        <f>28330/1000</f>
        <v>28.33</v>
      </c>
      <c r="M23" s="43">
        <v>181</v>
      </c>
      <c r="N23" s="47" t="s">
        <v>27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15.75">
      <c r="A24" s="22" t="s">
        <v>38</v>
      </c>
      <c r="B24" s="34">
        <v>2474.635</v>
      </c>
      <c r="C24" s="20">
        <v>618</v>
      </c>
      <c r="D24" s="20">
        <v>15694</v>
      </c>
      <c r="E24" s="20">
        <v>941</v>
      </c>
      <c r="F24" s="20"/>
      <c r="G24" s="9">
        <v>220.449</v>
      </c>
      <c r="H24" s="20">
        <v>513</v>
      </c>
      <c r="I24" s="20">
        <v>496371</v>
      </c>
      <c r="J24" s="20"/>
      <c r="K24" s="31" t="s">
        <v>27</v>
      </c>
      <c r="L24" s="8">
        <f>25937/1000</f>
        <v>25.937</v>
      </c>
      <c r="M24" s="20">
        <v>199.3</v>
      </c>
      <c r="N24" s="31" t="s">
        <v>27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15.75">
      <c r="A25" s="22" t="s">
        <v>39</v>
      </c>
      <c r="B25" s="34">
        <v>2947.842</v>
      </c>
      <c r="C25" s="20">
        <v>730</v>
      </c>
      <c r="D25" s="20">
        <v>13703</v>
      </c>
      <c r="E25" s="20">
        <v>1117</v>
      </c>
      <c r="F25" s="20"/>
      <c r="G25" s="9">
        <v>222.935</v>
      </c>
      <c r="H25" s="20">
        <v>562</v>
      </c>
      <c r="I25" s="20">
        <v>534467</v>
      </c>
      <c r="J25" s="20"/>
      <c r="K25" s="31" t="s">
        <v>27</v>
      </c>
      <c r="L25" s="8">
        <f>34079/1000</f>
        <v>34.079</v>
      </c>
      <c r="M25" s="20">
        <v>356</v>
      </c>
      <c r="N25" s="9">
        <v>11569</v>
      </c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15.75">
      <c r="A26" s="22" t="s">
        <v>40</v>
      </c>
      <c r="B26" s="34">
        <v>2272.54</v>
      </c>
      <c r="C26" s="20">
        <v>751</v>
      </c>
      <c r="D26" s="20">
        <v>14153</v>
      </c>
      <c r="E26" s="20">
        <v>992</v>
      </c>
      <c r="F26" s="20"/>
      <c r="G26" s="9">
        <v>248.446</v>
      </c>
      <c r="H26" s="20">
        <v>582</v>
      </c>
      <c r="I26" s="20">
        <v>569960</v>
      </c>
      <c r="J26" s="20"/>
      <c r="K26" s="31" t="s">
        <v>27</v>
      </c>
      <c r="L26" s="8">
        <f>34087/1000</f>
        <v>34.087</v>
      </c>
      <c r="M26" s="20">
        <v>461.5</v>
      </c>
      <c r="N26" s="31" t="s">
        <v>27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15.75">
      <c r="A27" s="22" t="s">
        <v>41</v>
      </c>
      <c r="B27" s="34">
        <v>2523.75</v>
      </c>
      <c r="C27" s="20">
        <v>897</v>
      </c>
      <c r="D27" s="20">
        <v>16112</v>
      </c>
      <c r="E27" s="20">
        <v>1037</v>
      </c>
      <c r="F27" s="20"/>
      <c r="G27" s="9">
        <v>265.763</v>
      </c>
      <c r="H27" s="20">
        <v>592</v>
      </c>
      <c r="I27" s="20">
        <v>513526</v>
      </c>
      <c r="J27" s="20"/>
      <c r="K27" s="31" t="s">
        <v>27</v>
      </c>
      <c r="L27" s="8">
        <f>25606/1000</f>
        <v>25.606</v>
      </c>
      <c r="M27" s="20">
        <v>548.1</v>
      </c>
      <c r="N27" s="31" t="s">
        <v>27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>
      <c r="A28" s="22" t="s">
        <v>42</v>
      </c>
      <c r="B28" s="34">
        <v>2829.044</v>
      </c>
      <c r="C28" s="20">
        <v>1009</v>
      </c>
      <c r="D28" s="20">
        <v>11172</v>
      </c>
      <c r="E28" s="20">
        <v>1157</v>
      </c>
      <c r="F28" s="20"/>
      <c r="G28" s="9">
        <v>281.104</v>
      </c>
      <c r="H28" s="20">
        <v>629</v>
      </c>
      <c r="I28" s="20">
        <v>531619</v>
      </c>
      <c r="J28" s="20"/>
      <c r="K28" s="31" t="s">
        <v>27</v>
      </c>
      <c r="L28" s="8">
        <f>35180/1000</f>
        <v>35.18</v>
      </c>
      <c r="M28" s="20">
        <v>895.9</v>
      </c>
      <c r="N28" s="31" t="s">
        <v>27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15.75">
      <c r="A29" s="22" t="s">
        <v>43</v>
      </c>
      <c r="B29" s="34">
        <v>2425.206</v>
      </c>
      <c r="C29" s="20">
        <v>635</v>
      </c>
      <c r="D29" s="20">
        <v>11448</v>
      </c>
      <c r="E29" s="20">
        <v>1207</v>
      </c>
      <c r="F29" s="20"/>
      <c r="G29" s="9">
        <v>300.767</v>
      </c>
      <c r="H29" s="20">
        <v>753</v>
      </c>
      <c r="I29" s="20">
        <v>590098</v>
      </c>
      <c r="J29" s="20"/>
      <c r="K29" s="31" t="s">
        <v>27</v>
      </c>
      <c r="L29" s="8">
        <f>46793/1000</f>
        <v>46.793</v>
      </c>
      <c r="M29" s="20">
        <v>1525.5</v>
      </c>
      <c r="N29" s="31" t="s">
        <v>27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15.75">
      <c r="A30" s="22" t="s">
        <v>44</v>
      </c>
      <c r="B30" s="34">
        <v>2908.242</v>
      </c>
      <c r="C30" s="20">
        <v>620</v>
      </c>
      <c r="D30" s="20">
        <v>11284</v>
      </c>
      <c r="E30" s="20">
        <v>1326</v>
      </c>
      <c r="F30" s="20"/>
      <c r="G30" s="9">
        <v>335.316</v>
      </c>
      <c r="H30" s="20">
        <v>795</v>
      </c>
      <c r="I30" s="20">
        <v>651403</v>
      </c>
      <c r="J30" s="20"/>
      <c r="K30" s="9">
        <v>2676</v>
      </c>
      <c r="L30" s="8">
        <f>49787/1000</f>
        <v>49.787</v>
      </c>
      <c r="M30" s="20">
        <v>1745.7</v>
      </c>
      <c r="N30" s="9">
        <v>25438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15.75">
      <c r="A31" s="22" t="s">
        <v>45</v>
      </c>
      <c r="B31" s="34">
        <v>2441.249</v>
      </c>
      <c r="C31" s="20">
        <v>904</v>
      </c>
      <c r="D31" s="20">
        <v>12018</v>
      </c>
      <c r="E31" s="20">
        <v>1445</v>
      </c>
      <c r="F31" s="20"/>
      <c r="G31" s="9">
        <v>355.928</v>
      </c>
      <c r="H31" s="20">
        <v>721</v>
      </c>
      <c r="I31" s="20">
        <v>678212</v>
      </c>
      <c r="J31" s="20"/>
      <c r="K31" s="31" t="s">
        <v>27</v>
      </c>
      <c r="L31" s="8">
        <f>49010/1000</f>
        <v>49.01</v>
      </c>
      <c r="M31" s="20">
        <v>943.4</v>
      </c>
      <c r="N31" s="31" t="s">
        <v>27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15.75">
      <c r="A32" s="22" t="s">
        <v>46</v>
      </c>
      <c r="B32" s="20">
        <f>2341870/1000</f>
        <v>2341.87</v>
      </c>
      <c r="C32" s="20">
        <v>952.097</v>
      </c>
      <c r="D32" s="20">
        <v>11141</v>
      </c>
      <c r="E32" s="20">
        <v>1444</v>
      </c>
      <c r="F32" s="20"/>
      <c r="G32" s="9">
        <v>378.367</v>
      </c>
      <c r="H32" s="20">
        <v>746</v>
      </c>
      <c r="I32" s="20">
        <v>553952</v>
      </c>
      <c r="J32" s="20"/>
      <c r="K32" s="31" t="s">
        <v>27</v>
      </c>
      <c r="L32" s="8">
        <f>38099/1000</f>
        <v>38.099</v>
      </c>
      <c r="M32" s="20">
        <v>1651.6</v>
      </c>
      <c r="N32" s="31" t="s">
        <v>27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15.75">
      <c r="A33" s="45" t="s">
        <v>47</v>
      </c>
      <c r="B33" s="43">
        <f>2695085/1000</f>
        <v>2695.085</v>
      </c>
      <c r="C33" s="43">
        <v>843.277</v>
      </c>
      <c r="D33" s="43">
        <v>13429</v>
      </c>
      <c r="E33" s="43">
        <v>1509</v>
      </c>
      <c r="F33" s="43"/>
      <c r="G33" s="41">
        <v>442.929</v>
      </c>
      <c r="H33" s="43">
        <v>812</v>
      </c>
      <c r="I33" s="43">
        <v>658265</v>
      </c>
      <c r="J33" s="43"/>
      <c r="K33" s="47" t="s">
        <v>27</v>
      </c>
      <c r="L33" s="40">
        <f>46183/1000</f>
        <v>46.183</v>
      </c>
      <c r="M33" s="43">
        <v>1905.5</v>
      </c>
      <c r="N33" s="41">
        <v>39405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15.75">
      <c r="A34" s="22" t="s">
        <v>48</v>
      </c>
      <c r="B34" s="20">
        <f>2556924/1000</f>
        <v>2556.924</v>
      </c>
      <c r="C34" s="20">
        <v>818.964</v>
      </c>
      <c r="D34" s="20">
        <v>7945</v>
      </c>
      <c r="E34" s="20">
        <v>1005</v>
      </c>
      <c r="F34" s="20"/>
      <c r="G34" s="9">
        <v>472.183</v>
      </c>
      <c r="H34" s="20">
        <v>674</v>
      </c>
      <c r="I34" s="20">
        <v>506395</v>
      </c>
      <c r="J34" s="20"/>
      <c r="K34" s="9">
        <v>2255</v>
      </c>
      <c r="L34" s="8">
        <f>21639/1000</f>
        <v>21.639</v>
      </c>
      <c r="M34" s="20">
        <v>1468</v>
      </c>
      <c r="N34" s="9">
        <v>37180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15.75">
      <c r="A35" s="22" t="s">
        <v>49</v>
      </c>
      <c r="B35" s="20">
        <f>2229496/1000</f>
        <v>2229.496</v>
      </c>
      <c r="C35" s="20">
        <v>846.649</v>
      </c>
      <c r="D35" s="20">
        <v>9755</v>
      </c>
      <c r="E35" s="20">
        <v>1254</v>
      </c>
      <c r="F35" s="20"/>
      <c r="G35" s="9">
        <v>557.531</v>
      </c>
      <c r="H35" s="20">
        <v>776</v>
      </c>
      <c r="I35" s="20">
        <v>476951</v>
      </c>
      <c r="J35" s="20"/>
      <c r="K35" s="9">
        <v>2619</v>
      </c>
      <c r="L35" s="8">
        <f>38945/1000</f>
        <v>38.945</v>
      </c>
      <c r="M35" s="20">
        <v>2274.1</v>
      </c>
      <c r="N35" s="9">
        <v>43632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15.75">
      <c r="A36" s="22" t="s">
        <v>50</v>
      </c>
      <c r="B36" s="20">
        <f>2429551/1000</f>
        <v>2429.551</v>
      </c>
      <c r="C36" s="20">
        <v>759.482</v>
      </c>
      <c r="D36" s="20">
        <v>10140</v>
      </c>
      <c r="E36" s="20">
        <v>1518</v>
      </c>
      <c r="F36" s="20"/>
      <c r="G36" s="9">
        <v>732.407</v>
      </c>
      <c r="H36" s="20">
        <v>1025</v>
      </c>
      <c r="I36" s="20">
        <v>657904</v>
      </c>
      <c r="J36" s="20"/>
      <c r="K36" s="9">
        <v>2726</v>
      </c>
      <c r="L36" s="8">
        <f>49017/1000</f>
        <v>49.017</v>
      </c>
      <c r="M36" s="20">
        <v>3624.7</v>
      </c>
      <c r="N36" s="9">
        <v>51229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15.75">
      <c r="A37" s="22" t="s">
        <v>51</v>
      </c>
      <c r="B37" s="20">
        <f>1860112/1000</f>
        <v>1860.112</v>
      </c>
      <c r="C37" s="20">
        <v>841.617</v>
      </c>
      <c r="D37" s="20">
        <v>13630</v>
      </c>
      <c r="E37" s="20">
        <v>1245</v>
      </c>
      <c r="F37" s="20"/>
      <c r="G37" s="9">
        <v>713.94</v>
      </c>
      <c r="H37" s="20">
        <v>1162</v>
      </c>
      <c r="I37" s="20">
        <v>571614</v>
      </c>
      <c r="J37" s="20"/>
      <c r="K37" s="9">
        <v>2461</v>
      </c>
      <c r="L37" s="8">
        <f>41446/1000</f>
        <v>41.446</v>
      </c>
      <c r="M37" s="20">
        <v>3185.8</v>
      </c>
      <c r="N37" s="9">
        <v>54662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>
      <c r="A38" s="22" t="s">
        <v>52</v>
      </c>
      <c r="B38" s="20">
        <f>2382288/1000</f>
        <v>2382.288</v>
      </c>
      <c r="C38" s="20">
        <v>668.7</v>
      </c>
      <c r="D38" s="20">
        <v>16105</v>
      </c>
      <c r="E38" s="20">
        <v>1376</v>
      </c>
      <c r="F38" s="20"/>
      <c r="G38" s="9">
        <v>763.743</v>
      </c>
      <c r="H38" s="20">
        <v>1210</v>
      </c>
      <c r="I38" s="20">
        <v>581870</v>
      </c>
      <c r="J38" s="20"/>
      <c r="K38" s="9">
        <v>2891</v>
      </c>
      <c r="L38" s="8">
        <f>49705/1000</f>
        <v>49.705</v>
      </c>
      <c r="M38" s="20">
        <v>3735.1</v>
      </c>
      <c r="N38" s="9">
        <v>61451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15.75">
      <c r="A39" s="22" t="s">
        <v>53</v>
      </c>
      <c r="B39" s="20">
        <f>2140207/1000</f>
        <v>2140.207</v>
      </c>
      <c r="C39" s="20">
        <v>832.213</v>
      </c>
      <c r="D39" s="20">
        <v>17978</v>
      </c>
      <c r="E39" s="20">
        <v>1289</v>
      </c>
      <c r="F39" s="20"/>
      <c r="G39" s="9">
        <v>770.874</v>
      </c>
      <c r="H39" s="20">
        <v>1336</v>
      </c>
      <c r="I39" s="20">
        <v>657804</v>
      </c>
      <c r="J39" s="20"/>
      <c r="K39" s="9">
        <v>2871</v>
      </c>
      <c r="L39" s="8">
        <f>52902/1000</f>
        <v>52.902</v>
      </c>
      <c r="M39" s="20">
        <v>3692.3</v>
      </c>
      <c r="N39" s="9">
        <v>69353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>
      <c r="A40" s="22" t="s">
        <v>54</v>
      </c>
      <c r="B40" s="20">
        <f>2218189/1000</f>
        <v>2218.189</v>
      </c>
      <c r="C40" s="20">
        <v>875.059</v>
      </c>
      <c r="D40" s="20">
        <v>12956</v>
      </c>
      <c r="E40" s="20">
        <v>1211</v>
      </c>
      <c r="F40" s="20"/>
      <c r="G40" s="9">
        <v>901.129</v>
      </c>
      <c r="H40" s="20">
        <v>1471</v>
      </c>
      <c r="I40" s="20">
        <v>597859</v>
      </c>
      <c r="J40" s="20"/>
      <c r="K40" s="9">
        <v>2806</v>
      </c>
      <c r="L40" s="8">
        <f>49273/1000</f>
        <v>49.273</v>
      </c>
      <c r="M40" s="20">
        <v>2936.5</v>
      </c>
      <c r="N40" s="9">
        <v>75418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>
      <c r="A41" s="22" t="s">
        <v>55</v>
      </c>
      <c r="B41" s="20">
        <f>2260990/1000</f>
        <v>2260.99</v>
      </c>
      <c r="C41" s="20">
        <v>914.373</v>
      </c>
      <c r="D41" s="20">
        <v>14477</v>
      </c>
      <c r="E41" s="20">
        <v>1373</v>
      </c>
      <c r="F41" s="20"/>
      <c r="G41" s="9">
        <v>901.474</v>
      </c>
      <c r="H41" s="20">
        <v>1596</v>
      </c>
      <c r="I41" s="20">
        <v>576093</v>
      </c>
      <c r="J41" s="20"/>
      <c r="K41" s="9">
        <v>3061</v>
      </c>
      <c r="L41" s="8">
        <f>56623/1000</f>
        <v>56.623</v>
      </c>
      <c r="M41" s="20">
        <v>3775.4</v>
      </c>
      <c r="N41" s="9">
        <v>82794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  <row r="42" spans="1:50" ht="15.75">
      <c r="A42" s="22" t="s">
        <v>56</v>
      </c>
      <c r="B42" s="20">
        <f>2135038/1000</f>
        <v>2135.038</v>
      </c>
      <c r="C42" s="20">
        <v>824.183</v>
      </c>
      <c r="D42" s="20">
        <v>14825</v>
      </c>
      <c r="E42" s="20">
        <v>1533</v>
      </c>
      <c r="F42" s="20"/>
      <c r="G42" s="9">
        <v>1007.323</v>
      </c>
      <c r="H42" s="20">
        <v>1952</v>
      </c>
      <c r="I42" s="20">
        <v>608817</v>
      </c>
      <c r="J42" s="20"/>
      <c r="K42" s="9">
        <v>3491</v>
      </c>
      <c r="L42" s="8">
        <f>61742/1000</f>
        <v>61.742</v>
      </c>
      <c r="M42" s="20">
        <v>4455.1</v>
      </c>
      <c r="N42" s="9">
        <v>92180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</row>
    <row r="43" spans="1:50" ht="15.75">
      <c r="A43" s="45" t="s">
        <v>57</v>
      </c>
      <c r="B43" s="43">
        <f>1757297/1000</f>
        <v>1757.297</v>
      </c>
      <c r="C43" s="43">
        <v>886.522</v>
      </c>
      <c r="D43" s="43">
        <v>13932</v>
      </c>
      <c r="E43" s="43">
        <v>1648</v>
      </c>
      <c r="F43" s="43"/>
      <c r="G43" s="41">
        <v>898.011</v>
      </c>
      <c r="H43" s="43">
        <v>1979</v>
      </c>
      <c r="I43" s="43">
        <v>536911</v>
      </c>
      <c r="J43" s="43"/>
      <c r="K43" s="41">
        <v>3224</v>
      </c>
      <c r="L43" s="40">
        <f>44591/1000</f>
        <v>44.591</v>
      </c>
      <c r="M43" s="43">
        <v>2787.4</v>
      </c>
      <c r="N43" s="41">
        <v>91112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</row>
    <row r="44" spans="1:50" ht="15.75">
      <c r="A44" s="22" t="s">
        <v>58</v>
      </c>
      <c r="B44" s="20">
        <f>2229903/1000</f>
        <v>2229.903</v>
      </c>
      <c r="C44" s="20">
        <v>941.54</v>
      </c>
      <c r="D44" s="20">
        <v>17097</v>
      </c>
      <c r="E44" s="20">
        <v>1565</v>
      </c>
      <c r="F44" s="20"/>
      <c r="G44" s="9">
        <v>851.081</v>
      </c>
      <c r="H44" s="20">
        <v>1722</v>
      </c>
      <c r="I44" s="20">
        <v>441735</v>
      </c>
      <c r="J44" s="20"/>
      <c r="K44" s="9">
        <v>2630</v>
      </c>
      <c r="L44" s="8">
        <f>28607/1000</f>
        <v>28.607</v>
      </c>
      <c r="M44" s="20">
        <v>1948.1</v>
      </c>
      <c r="N44" s="9">
        <v>87350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</row>
    <row r="45" spans="1:50" ht="15.75">
      <c r="A45" s="22" t="s">
        <v>59</v>
      </c>
      <c r="B45" s="20">
        <f>2578685/1000</f>
        <v>2578.685</v>
      </c>
      <c r="C45" s="20">
        <v>756.307</v>
      </c>
      <c r="D45" s="20">
        <v>13003</v>
      </c>
      <c r="E45" s="20">
        <v>1018</v>
      </c>
      <c r="F45" s="20"/>
      <c r="G45" s="9">
        <v>785.159</v>
      </c>
      <c r="H45" s="20">
        <v>1594</v>
      </c>
      <c r="I45" s="20">
        <v>359565</v>
      </c>
      <c r="J45" s="20"/>
      <c r="K45" s="9">
        <v>2612</v>
      </c>
      <c r="L45" s="8">
        <f>15123/1000</f>
        <v>15.123</v>
      </c>
      <c r="M45" s="20">
        <v>1103.5</v>
      </c>
      <c r="N45" s="9">
        <v>79393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ht="15.75">
      <c r="A46" s="22" t="s">
        <v>60</v>
      </c>
      <c r="B46" s="20">
        <f>2104725/1000</f>
        <v>2104.725</v>
      </c>
      <c r="C46" s="20">
        <v>552.215</v>
      </c>
      <c r="D46" s="20">
        <v>13047</v>
      </c>
      <c r="E46" s="20">
        <v>1372</v>
      </c>
      <c r="F46" s="20"/>
      <c r="G46" s="9">
        <v>905.656</v>
      </c>
      <c r="H46" s="20">
        <v>1597</v>
      </c>
      <c r="I46" s="20">
        <v>383171</v>
      </c>
      <c r="J46" s="20"/>
      <c r="K46" s="9">
        <v>2997</v>
      </c>
      <c r="L46" s="8">
        <f>25725/1000</f>
        <v>25.725</v>
      </c>
      <c r="M46" s="20">
        <v>1560.5</v>
      </c>
      <c r="N46" s="9">
        <v>81740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ht="16.5">
      <c r="A47" s="22" t="s">
        <v>61</v>
      </c>
      <c r="B47" s="25">
        <f>1146734/1000</f>
        <v>1146.734</v>
      </c>
      <c r="C47" s="25">
        <v>526.052</v>
      </c>
      <c r="D47" s="20">
        <v>9636</v>
      </c>
      <c r="E47" s="20">
        <v>1085</v>
      </c>
      <c r="F47" s="20"/>
      <c r="G47" s="9">
        <v>908.065</v>
      </c>
      <c r="H47" s="20">
        <v>1816</v>
      </c>
      <c r="I47" s="20">
        <v>416536</v>
      </c>
      <c r="J47" s="20"/>
      <c r="K47" s="9">
        <v>4104</v>
      </c>
      <c r="L47" s="8">
        <f>29182/1000</f>
        <v>29.182</v>
      </c>
      <c r="M47" s="20">
        <v>2160.8</v>
      </c>
      <c r="N47" s="9">
        <v>87258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</row>
    <row r="48" spans="1:50" ht="15.75">
      <c r="A48" s="22" t="s">
        <v>62</v>
      </c>
      <c r="B48" s="20">
        <f>2001367/1000</f>
        <v>2001.367</v>
      </c>
      <c r="C48" s="20">
        <v>628.227</v>
      </c>
      <c r="D48" s="20">
        <v>10638</v>
      </c>
      <c r="E48" s="20">
        <v>1302</v>
      </c>
      <c r="F48" s="20"/>
      <c r="G48" s="9">
        <v>996.596</v>
      </c>
      <c r="H48" s="20">
        <v>1969</v>
      </c>
      <c r="I48" s="20">
        <v>424532</v>
      </c>
      <c r="J48" s="20"/>
      <c r="K48" s="9">
        <v>4135</v>
      </c>
      <c r="L48" s="8">
        <f>38184/1000</f>
        <v>38.184</v>
      </c>
      <c r="M48" s="20">
        <v>3273.8</v>
      </c>
      <c r="N48" s="9">
        <v>95287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</row>
    <row r="49" spans="1:50" ht="15.75">
      <c r="A49" s="22" t="s">
        <v>63</v>
      </c>
      <c r="B49" s="20">
        <f>1258673/1000</f>
        <v>1258.673</v>
      </c>
      <c r="C49" s="20">
        <v>629.88</v>
      </c>
      <c r="D49" s="20">
        <v>12399</v>
      </c>
      <c r="E49" s="20">
        <v>1163</v>
      </c>
      <c r="F49" s="20"/>
      <c r="G49" s="9">
        <v>1099.687</v>
      </c>
      <c r="H49" s="20">
        <v>2225</v>
      </c>
      <c r="I49" s="20">
        <v>493668</v>
      </c>
      <c r="J49" s="20"/>
      <c r="K49" s="9">
        <v>4826</v>
      </c>
      <c r="L49" s="8">
        <f>53500/1000</f>
        <v>53.5</v>
      </c>
      <c r="M49" s="20">
        <v>3679.2</v>
      </c>
      <c r="N49" s="9">
        <v>109316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ht="15.75">
      <c r="A50" s="22" t="s">
        <v>64</v>
      </c>
      <c r="B50" s="20">
        <f>2349425/1000</f>
        <v>2349.425</v>
      </c>
      <c r="C50" s="20">
        <v>873.914</v>
      </c>
      <c r="D50" s="20">
        <v>18946</v>
      </c>
      <c r="E50" s="20">
        <v>1569</v>
      </c>
      <c r="F50" s="20"/>
      <c r="G50" s="9">
        <v>1279.16</v>
      </c>
      <c r="H50" s="20">
        <v>2473</v>
      </c>
      <c r="I50" s="20">
        <v>497387</v>
      </c>
      <c r="J50" s="20"/>
      <c r="K50" s="9">
        <v>4353</v>
      </c>
      <c r="L50" s="8">
        <f>56637/1000</f>
        <v>56.637</v>
      </c>
      <c r="M50" s="20">
        <v>3929.2</v>
      </c>
      <c r="N50" s="9">
        <v>118913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ht="15.75">
      <c r="A51" s="22" t="s">
        <v>65</v>
      </c>
      <c r="B51" s="20">
        <f>2300095/1000</f>
        <v>2300.095</v>
      </c>
      <c r="C51" s="20">
        <v>919.913</v>
      </c>
      <c r="D51" s="20">
        <v>11943</v>
      </c>
      <c r="E51" s="20">
        <v>1386</v>
      </c>
      <c r="F51" s="20"/>
      <c r="G51" s="9">
        <v>1214.355</v>
      </c>
      <c r="H51" s="20">
        <v>2358</v>
      </c>
      <c r="I51" s="20">
        <v>394644</v>
      </c>
      <c r="J51" s="20"/>
      <c r="K51" s="9">
        <v>4254</v>
      </c>
      <c r="L51" s="8">
        <f>31752/1000</f>
        <v>31.752</v>
      </c>
      <c r="M51" s="20">
        <v>2019.5</v>
      </c>
      <c r="N51" s="9">
        <v>113812</v>
      </c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ht="15.75">
      <c r="A52" s="22" t="s">
        <v>66</v>
      </c>
      <c r="B52" s="20">
        <f>2341602/1000</f>
        <v>2341.602</v>
      </c>
      <c r="C52" s="20">
        <v>741.21</v>
      </c>
      <c r="D52" s="20">
        <v>11817</v>
      </c>
      <c r="E52" s="20">
        <v>1881</v>
      </c>
      <c r="F52" s="20"/>
      <c r="G52" s="9">
        <v>1264.962</v>
      </c>
      <c r="H52" s="20">
        <v>2538</v>
      </c>
      <c r="I52" s="20">
        <v>446342</v>
      </c>
      <c r="J52" s="20"/>
      <c r="K52" s="9">
        <v>4445</v>
      </c>
      <c r="L52" s="8">
        <f>52799/1000</f>
        <v>52.799</v>
      </c>
      <c r="M52" s="20">
        <v>2888.5</v>
      </c>
      <c r="N52" s="9">
        <v>127642</v>
      </c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</row>
    <row r="53" spans="1:50" ht="15.75">
      <c r="A53" s="45" t="s">
        <v>67</v>
      </c>
      <c r="B53" s="43">
        <f>2206882/1000</f>
        <v>2206.882</v>
      </c>
      <c r="C53" s="43">
        <v>814.646</v>
      </c>
      <c r="D53" s="43">
        <v>12566</v>
      </c>
      <c r="E53" s="43">
        <v>1460</v>
      </c>
      <c r="F53" s="43"/>
      <c r="G53" s="41">
        <v>1353.214</v>
      </c>
      <c r="H53" s="43">
        <v>2734</v>
      </c>
      <c r="I53" s="43">
        <v>512256</v>
      </c>
      <c r="J53" s="43"/>
      <c r="K53" s="41">
        <v>4060</v>
      </c>
      <c r="L53" s="40">
        <f>66983/1000</f>
        <v>66.983</v>
      </c>
      <c r="M53" s="43">
        <v>3717.3</v>
      </c>
      <c r="N53" s="41">
        <v>141837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</row>
    <row r="54" spans="1:50" ht="15.75">
      <c r="A54" s="22" t="s">
        <v>68</v>
      </c>
      <c r="B54" s="20">
        <f>2414445/1000</f>
        <v>2414.445</v>
      </c>
      <c r="C54" s="20">
        <v>941.97</v>
      </c>
      <c r="D54" s="20">
        <v>10744</v>
      </c>
      <c r="E54" s="20">
        <v>1262</v>
      </c>
      <c r="F54" s="20"/>
      <c r="G54" s="9">
        <v>1402.228</v>
      </c>
      <c r="H54" s="20">
        <v>2894</v>
      </c>
      <c r="I54" s="20">
        <v>597517</v>
      </c>
      <c r="J54" s="20"/>
      <c r="K54" s="9">
        <v>4900</v>
      </c>
      <c r="L54" s="8">
        <f>82839/1000</f>
        <v>82.839</v>
      </c>
      <c r="M54" s="20">
        <v>3779.6</v>
      </c>
      <c r="N54" s="9">
        <v>164788</v>
      </c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</row>
    <row r="55" spans="1:50" ht="15.75">
      <c r="A55" s="22" t="s">
        <v>69</v>
      </c>
      <c r="B55" s="20">
        <f>2801819/1000</f>
        <v>2801.819</v>
      </c>
      <c r="C55" s="20">
        <v>969.381</v>
      </c>
      <c r="D55" s="20">
        <v>12817</v>
      </c>
      <c r="E55" s="20">
        <v>1408</v>
      </c>
      <c r="F55" s="20"/>
      <c r="G55" s="9">
        <v>1386.645</v>
      </c>
      <c r="H55" s="20">
        <v>3146</v>
      </c>
      <c r="I55" s="20">
        <v>643021</v>
      </c>
      <c r="J55" s="20"/>
      <c r="K55" s="9">
        <v>3875</v>
      </c>
      <c r="L55" s="8">
        <f>86032/1000</f>
        <v>86.032</v>
      </c>
      <c r="M55" s="20">
        <v>222.8</v>
      </c>
      <c r="N55" s="9">
        <v>185979</v>
      </c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</row>
    <row r="56" spans="1:50" ht="15.75">
      <c r="A56" s="22" t="s">
        <v>70</v>
      </c>
      <c r="B56" s="20">
        <f>2668490/1000</f>
        <v>2668.49</v>
      </c>
      <c r="C56" s="20">
        <v>843.813</v>
      </c>
      <c r="D56" s="20">
        <v>11427</v>
      </c>
      <c r="E56" s="20">
        <v>1406</v>
      </c>
      <c r="F56" s="20"/>
      <c r="G56" s="9">
        <v>1505.613</v>
      </c>
      <c r="H56" s="20">
        <v>3516</v>
      </c>
      <c r="I56" s="20">
        <v>650821</v>
      </c>
      <c r="J56" s="20"/>
      <c r="K56" s="9">
        <v>4162</v>
      </c>
      <c r="L56" s="8">
        <f>88837/1000</f>
        <v>88.837</v>
      </c>
      <c r="M56" s="32" t="s">
        <v>71</v>
      </c>
      <c r="N56" s="9">
        <v>217759</v>
      </c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</row>
    <row r="57" spans="1:50" ht="15.75">
      <c r="A57" s="22" t="s">
        <v>72</v>
      </c>
      <c r="B57" s="20">
        <f>2801612/1000</f>
        <v>2801.612</v>
      </c>
      <c r="C57" s="20">
        <v>1060.111</v>
      </c>
      <c r="D57" s="20">
        <v>12230</v>
      </c>
      <c r="E57" s="20">
        <v>1951</v>
      </c>
      <c r="F57" s="29" t="s">
        <v>73</v>
      </c>
      <c r="G57" s="9">
        <v>1677.904</v>
      </c>
      <c r="H57" s="20">
        <v>3815</v>
      </c>
      <c r="I57" s="20">
        <v>683277</v>
      </c>
      <c r="J57" s="20"/>
      <c r="K57" s="9">
        <v>4533</v>
      </c>
      <c r="L57" s="8">
        <f>89642/1000</f>
        <v>89.642</v>
      </c>
      <c r="M57" s="20">
        <v>0.6</v>
      </c>
      <c r="N57" s="9">
        <v>228189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</row>
    <row r="58" spans="1:50" ht="15.75">
      <c r="A58" s="22" t="s">
        <v>74</v>
      </c>
      <c r="B58" s="20">
        <f>2577449/1000</f>
        <v>2577.449</v>
      </c>
      <c r="C58" s="20">
        <v>1107.623</v>
      </c>
      <c r="D58" s="20">
        <v>9015</v>
      </c>
      <c r="E58" s="20">
        <v>1991</v>
      </c>
      <c r="F58" s="20"/>
      <c r="G58" s="9">
        <v>1713.655</v>
      </c>
      <c r="H58" s="20">
        <v>4042</v>
      </c>
      <c r="I58" s="20">
        <v>632551</v>
      </c>
      <c r="J58" s="20"/>
      <c r="K58" s="9">
        <v>4598</v>
      </c>
      <c r="L58" s="8">
        <f>79702/1000</f>
        <v>79.702</v>
      </c>
      <c r="M58" s="20">
        <v>69.5</v>
      </c>
      <c r="N58" s="9">
        <v>222486</v>
      </c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</row>
    <row r="59" spans="1:50" ht="15.75">
      <c r="A59" s="22" t="s">
        <v>75</v>
      </c>
      <c r="B59" s="20">
        <f>2916089/1000</f>
        <v>2916.089</v>
      </c>
      <c r="C59" s="20">
        <v>1152.118</v>
      </c>
      <c r="D59" s="20">
        <v>8640</v>
      </c>
      <c r="E59" s="20">
        <v>1315</v>
      </c>
      <c r="F59" s="20"/>
      <c r="G59" s="9">
        <v>1733.939</v>
      </c>
      <c r="H59" s="20">
        <v>4153</v>
      </c>
      <c r="I59" s="20">
        <v>594429</v>
      </c>
      <c r="J59" s="20"/>
      <c r="K59" s="9">
        <v>4467</v>
      </c>
      <c r="L59" s="8">
        <f>66603/1000</f>
        <v>66.603</v>
      </c>
      <c r="M59" s="20">
        <v>2148.6</v>
      </c>
      <c r="N59" s="9">
        <v>223178</v>
      </c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ht="15.75">
      <c r="A60" s="22" t="s">
        <v>76</v>
      </c>
      <c r="B60" s="20">
        <f>2108320/1000</f>
        <v>2108.32</v>
      </c>
      <c r="C60" s="20">
        <v>1358.911</v>
      </c>
      <c r="D60" s="20">
        <v>11860</v>
      </c>
      <c r="E60" s="20">
        <v>2107</v>
      </c>
      <c r="F60" s="20"/>
      <c r="G60" s="9">
        <v>1856.987</v>
      </c>
      <c r="H60" s="20">
        <v>4582</v>
      </c>
      <c r="I60" s="20">
        <v>687814</v>
      </c>
      <c r="J60" s="20"/>
      <c r="K60" s="9">
        <v>4349</v>
      </c>
      <c r="L60" s="8">
        <f>84894/1000</f>
        <v>84.894</v>
      </c>
      <c r="M60" s="20">
        <v>3558.1</v>
      </c>
      <c r="N60" s="9">
        <v>255739</v>
      </c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ht="15.75">
      <c r="A61" s="22" t="s">
        <v>77</v>
      </c>
      <c r="B61" s="20">
        <f>3307038/1000</f>
        <v>3307.038</v>
      </c>
      <c r="C61" s="20">
        <v>1294.911</v>
      </c>
      <c r="D61" s="20">
        <v>14877</v>
      </c>
      <c r="E61" s="20">
        <v>1980</v>
      </c>
      <c r="F61" s="20"/>
      <c r="G61" s="9">
        <v>2020.185</v>
      </c>
      <c r="H61" s="20">
        <v>5148</v>
      </c>
      <c r="I61" s="20">
        <v>656658</v>
      </c>
      <c r="J61" s="20"/>
      <c r="K61" s="9">
        <v>4513</v>
      </c>
      <c r="L61" s="8">
        <f>88640/1000</f>
        <v>88.64</v>
      </c>
      <c r="M61" s="20">
        <v>3909.2</v>
      </c>
      <c r="N61" s="9">
        <v>282698</v>
      </c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</row>
    <row r="62" spans="1:50" ht="15.75">
      <c r="A62" s="22" t="s">
        <v>78</v>
      </c>
      <c r="B62" s="20">
        <f>2946206/1000</f>
        <v>2946.206</v>
      </c>
      <c r="C62" s="20">
        <v>1098.415</v>
      </c>
      <c r="D62" s="20">
        <v>16128</v>
      </c>
      <c r="E62" s="20">
        <v>1969</v>
      </c>
      <c r="F62" s="20"/>
      <c r="G62" s="9">
        <v>1841.94</v>
      </c>
      <c r="H62" s="20">
        <v>5420</v>
      </c>
      <c r="I62" s="20">
        <v>480570</v>
      </c>
      <c r="J62" s="20"/>
      <c r="K62" s="9">
        <v>4804</v>
      </c>
      <c r="L62" s="8">
        <f>77978/1000</f>
        <v>77.978</v>
      </c>
      <c r="M62" s="20">
        <v>5119.4</v>
      </c>
      <c r="N62" s="9">
        <v>291100</v>
      </c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</row>
    <row r="63" spans="1:50" ht="15.75">
      <c r="A63" s="45" t="s">
        <v>79</v>
      </c>
      <c r="B63" s="43">
        <f>2764071/1000</f>
        <v>2764.071</v>
      </c>
      <c r="C63" s="43">
        <v>1019.344</v>
      </c>
      <c r="D63" s="43">
        <v>10014</v>
      </c>
      <c r="E63" s="43">
        <v>2030</v>
      </c>
      <c r="F63" s="43"/>
      <c r="G63" s="41">
        <v>1973.574</v>
      </c>
      <c r="H63" s="43">
        <v>6282</v>
      </c>
      <c r="I63" s="43">
        <v>560388</v>
      </c>
      <c r="J63" s="43"/>
      <c r="K63" s="41">
        <v>4901</v>
      </c>
      <c r="L63" s="40">
        <f>96836/1000</f>
        <v>96.836</v>
      </c>
      <c r="M63" s="43">
        <v>6665.8</v>
      </c>
      <c r="N63" s="41">
        <v>329141.343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</row>
    <row r="64" spans="1:50" ht="15.75">
      <c r="A64" s="22" t="s">
        <v>80</v>
      </c>
      <c r="B64" s="20">
        <f>2628937/1000</f>
        <v>2628.937</v>
      </c>
      <c r="C64" s="20">
        <v>988.161</v>
      </c>
      <c r="D64" s="20">
        <v>15149</v>
      </c>
      <c r="E64" s="20">
        <v>2332</v>
      </c>
      <c r="F64" s="20"/>
      <c r="G64" s="9">
        <v>2247.711</v>
      </c>
      <c r="H64" s="20">
        <v>7457</v>
      </c>
      <c r="I64" s="20">
        <v>576335</v>
      </c>
      <c r="J64" s="20"/>
      <c r="K64" s="9">
        <v>4433</v>
      </c>
      <c r="L64" s="8">
        <f>105200/1000</f>
        <v>105.2</v>
      </c>
      <c r="M64" s="20">
        <v>5338.4</v>
      </c>
      <c r="N64" s="9">
        <v>370672.814</v>
      </c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</row>
    <row r="65" spans="1:50" ht="15.75">
      <c r="A65" s="22" t="s">
        <v>81</v>
      </c>
      <c r="B65" s="20">
        <f>2980793/1000</f>
        <v>2980.793</v>
      </c>
      <c r="C65" s="20">
        <v>1306.44</v>
      </c>
      <c r="D65" s="20">
        <v>15139</v>
      </c>
      <c r="E65" s="20">
        <v>2256</v>
      </c>
      <c r="F65" s="20"/>
      <c r="G65" s="9">
        <v>2289.836</v>
      </c>
      <c r="H65" s="20">
        <v>8013</v>
      </c>
      <c r="I65" s="20">
        <v>507424</v>
      </c>
      <c r="J65" s="20"/>
      <c r="K65" s="9">
        <v>4432</v>
      </c>
      <c r="L65" s="8">
        <f>93168/1000</f>
        <v>93.168</v>
      </c>
      <c r="M65" s="20">
        <v>4320.7</v>
      </c>
      <c r="N65" s="9">
        <v>399223.62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</row>
    <row r="66" spans="1:50" ht="15.75">
      <c r="A66" s="22" t="s">
        <v>82</v>
      </c>
      <c r="B66" s="20">
        <f>2881801/1000</f>
        <v>2881.801</v>
      </c>
      <c r="C66" s="20">
        <v>1173.071</v>
      </c>
      <c r="D66" s="20">
        <v>16465</v>
      </c>
      <c r="E66" s="20">
        <v>2059</v>
      </c>
      <c r="F66" s="20"/>
      <c r="G66" s="9">
        <v>2357.082</v>
      </c>
      <c r="H66" s="20">
        <v>8397</v>
      </c>
      <c r="I66" s="20">
        <v>488239</v>
      </c>
      <c r="J66" s="20"/>
      <c r="K66" s="9">
        <v>4487</v>
      </c>
      <c r="L66" s="8">
        <f>111610/1000</f>
        <v>111.61</v>
      </c>
      <c r="M66" s="20">
        <v>6116.9</v>
      </c>
      <c r="N66" s="9">
        <v>442665</v>
      </c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</row>
    <row r="67" spans="1:50" ht="15.75">
      <c r="A67" s="22" t="s">
        <v>83</v>
      </c>
      <c r="B67" s="20">
        <f>2707913/1000</f>
        <v>2707.913</v>
      </c>
      <c r="C67" s="20">
        <v>983.9</v>
      </c>
      <c r="D67" s="20">
        <v>13697</v>
      </c>
      <c r="E67" s="20">
        <v>2244</v>
      </c>
      <c r="F67" s="20"/>
      <c r="G67" s="9">
        <v>2314.988</v>
      </c>
      <c r="H67" s="20">
        <v>8743</v>
      </c>
      <c r="I67" s="20">
        <v>420789</v>
      </c>
      <c r="J67" s="20"/>
      <c r="K67" s="9">
        <v>4762</v>
      </c>
      <c r="L67" s="8">
        <f>88312/1000</f>
        <v>88.312</v>
      </c>
      <c r="M67" s="20">
        <v>5558.8</v>
      </c>
      <c r="N67" s="9">
        <v>471686.354</v>
      </c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</row>
    <row r="68" spans="1:50" ht="15.75">
      <c r="A68" s="22" t="s">
        <v>84</v>
      </c>
      <c r="B68" s="20">
        <f>2872959/1000</f>
        <v>2872.959</v>
      </c>
      <c r="C68" s="20">
        <v>937.094</v>
      </c>
      <c r="D68" s="20">
        <v>14721</v>
      </c>
      <c r="E68" s="20">
        <v>2193</v>
      </c>
      <c r="F68" s="20"/>
      <c r="G68" s="9">
        <v>2484.428</v>
      </c>
      <c r="H68" s="20">
        <v>9405</v>
      </c>
      <c r="I68" s="20">
        <v>490838</v>
      </c>
      <c r="J68" s="20"/>
      <c r="K68" s="9">
        <v>4809</v>
      </c>
      <c r="L68" s="8">
        <f>117036/1000</f>
        <v>117.036</v>
      </c>
      <c r="M68" s="20">
        <v>7920.1</v>
      </c>
      <c r="N68" s="9">
        <v>547037.985</v>
      </c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</row>
    <row r="69" spans="1:50" ht="15.75">
      <c r="A69" s="22" t="s">
        <v>85</v>
      </c>
      <c r="B69" s="20">
        <f>3075336/1000</f>
        <v>3075.336</v>
      </c>
      <c r="C69" s="20">
        <v>1005.397</v>
      </c>
      <c r="D69" s="20">
        <v>13310</v>
      </c>
      <c r="E69" s="20">
        <v>2176</v>
      </c>
      <c r="F69" s="20"/>
      <c r="G69" s="9">
        <v>2617.283</v>
      </c>
      <c r="H69" s="20">
        <v>10082</v>
      </c>
      <c r="I69" s="20">
        <v>529774</v>
      </c>
      <c r="J69" s="20"/>
      <c r="K69" s="9">
        <v>5268</v>
      </c>
      <c r="L69" s="8">
        <f>115216/1000</f>
        <v>115.216</v>
      </c>
      <c r="M69" s="20">
        <v>5816.1</v>
      </c>
      <c r="N69" s="9">
        <v>600667.75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</row>
    <row r="70" spans="1:50" ht="15.75">
      <c r="A70" s="22" t="s">
        <v>86</v>
      </c>
      <c r="B70" s="20">
        <f>3045355/1000</f>
        <v>3045.355</v>
      </c>
      <c r="C70" s="20">
        <v>955.74</v>
      </c>
      <c r="D70" s="20">
        <v>10964</v>
      </c>
      <c r="E70" s="20">
        <v>1668</v>
      </c>
      <c r="F70" s="20"/>
      <c r="G70" s="9">
        <v>2616.901</v>
      </c>
      <c r="H70" s="20">
        <v>10680</v>
      </c>
      <c r="I70" s="20">
        <v>518042</v>
      </c>
      <c r="J70" s="20"/>
      <c r="K70" s="9">
        <v>4789</v>
      </c>
      <c r="L70" s="8">
        <f>112715/1000</f>
        <v>112.715</v>
      </c>
      <c r="M70" s="20">
        <v>6113.3</v>
      </c>
      <c r="N70" s="9">
        <v>631507.224</v>
      </c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</row>
    <row r="71" spans="1:50" ht="15.75">
      <c r="A71" s="22" t="s">
        <v>87</v>
      </c>
      <c r="B71" s="20">
        <f>3356205/1000</f>
        <v>3356.205</v>
      </c>
      <c r="C71" s="20">
        <v>1457.435</v>
      </c>
      <c r="D71" s="20">
        <v>11512</v>
      </c>
      <c r="E71" s="20">
        <v>1736</v>
      </c>
      <c r="F71" s="20"/>
      <c r="G71" s="9">
        <v>2448.937</v>
      </c>
      <c r="H71" s="20">
        <v>11030</v>
      </c>
      <c r="I71" s="20">
        <v>431617</v>
      </c>
      <c r="J71" s="20"/>
      <c r="K71" s="9">
        <v>4747</v>
      </c>
      <c r="L71" s="8">
        <f>85255/1000</f>
        <v>85.255</v>
      </c>
      <c r="M71" s="20">
        <v>4257.8</v>
      </c>
      <c r="N71" s="9">
        <v>645098.404</v>
      </c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</row>
    <row r="72" spans="1:50" ht="15.75">
      <c r="A72" s="22" t="s">
        <v>88</v>
      </c>
      <c r="B72" s="20">
        <f>3824598/1000</f>
        <v>3824.598</v>
      </c>
      <c r="C72" s="20">
        <v>1117.735</v>
      </c>
      <c r="D72" s="20">
        <v>14558</v>
      </c>
      <c r="E72" s="20">
        <v>1796</v>
      </c>
      <c r="F72" s="20"/>
      <c r="G72" s="9">
        <v>2574.59</v>
      </c>
      <c r="H72" s="20">
        <v>12046</v>
      </c>
      <c r="I72" s="20">
        <v>432677</v>
      </c>
      <c r="J72" s="20"/>
      <c r="K72" s="9">
        <v>5122</v>
      </c>
      <c r="L72" s="8">
        <f>93446/1000</f>
        <v>93.446</v>
      </c>
      <c r="M72" s="20">
        <v>5591.2</v>
      </c>
      <c r="N72" s="9">
        <v>710006</v>
      </c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</row>
    <row r="73" spans="1:50" ht="15.75">
      <c r="A73" s="45" t="s">
        <v>89</v>
      </c>
      <c r="B73" s="43">
        <f>3906949/1000</f>
        <v>3906.949</v>
      </c>
      <c r="C73" s="43">
        <v>1354.709</v>
      </c>
      <c r="D73" s="43">
        <v>14272</v>
      </c>
      <c r="E73" s="43">
        <v>1944</v>
      </c>
      <c r="F73" s="43"/>
      <c r="G73" s="39">
        <v>2574.933</v>
      </c>
      <c r="H73" s="43">
        <v>12771</v>
      </c>
      <c r="I73" s="43">
        <v>434329</v>
      </c>
      <c r="J73" s="43"/>
      <c r="K73" s="39">
        <v>4942</v>
      </c>
      <c r="L73" s="38">
        <f>99282/1000</f>
        <v>99.282</v>
      </c>
      <c r="M73" s="43">
        <v>6674.7</v>
      </c>
      <c r="N73" s="39">
        <v>755549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</row>
    <row r="74" spans="1:50" ht="15.75">
      <c r="A74" s="22" t="s">
        <v>90</v>
      </c>
      <c r="B74" s="20">
        <f>3597803/1000</f>
        <v>3597.803</v>
      </c>
      <c r="C74" s="20">
        <v>1232.359</v>
      </c>
      <c r="D74" s="20">
        <v>14318</v>
      </c>
      <c r="E74" s="20">
        <v>2061</v>
      </c>
      <c r="F74" s="20"/>
      <c r="G74" s="9">
        <v>2621.758</v>
      </c>
      <c r="H74" s="20">
        <v>13254</v>
      </c>
      <c r="I74" s="20">
        <v>420423</v>
      </c>
      <c r="J74" s="20"/>
      <c r="K74" s="9">
        <v>5187</v>
      </c>
      <c r="L74" s="8">
        <f>98014/1000</f>
        <v>98.014</v>
      </c>
      <c r="M74" s="20">
        <v>5542.7</v>
      </c>
      <c r="N74" s="9">
        <v>793760</v>
      </c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</row>
    <row r="75" spans="1:50" ht="15.75">
      <c r="A75" s="22" t="s">
        <v>91</v>
      </c>
      <c r="B75" s="20">
        <f>3606311/1000</f>
        <v>3606.311</v>
      </c>
      <c r="C75" s="20">
        <v>1091.958</v>
      </c>
      <c r="D75" s="20">
        <v>14867</v>
      </c>
      <c r="E75" s="20">
        <v>2315</v>
      </c>
      <c r="F75" s="20"/>
      <c r="G75" s="9">
        <v>2676.189</v>
      </c>
      <c r="H75" s="20">
        <v>13877</v>
      </c>
      <c r="I75" s="20">
        <v>439043</v>
      </c>
      <c r="J75" s="20"/>
      <c r="K75" s="9">
        <v>5354</v>
      </c>
      <c r="L75" s="8">
        <f>98328/1000</f>
        <v>98.328</v>
      </c>
      <c r="M75" s="20">
        <v>6933.2</v>
      </c>
      <c r="N75" s="9">
        <v>854535</v>
      </c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</row>
    <row r="76" spans="1:50" ht="16.5">
      <c r="A76" s="22" t="s">
        <v>92</v>
      </c>
      <c r="B76" s="20">
        <f>4019238/1000</f>
        <v>4019.238</v>
      </c>
      <c r="C76" s="20">
        <v>1146.821</v>
      </c>
      <c r="D76" s="20">
        <v>15334</v>
      </c>
      <c r="E76" s="25">
        <v>2344</v>
      </c>
      <c r="F76" s="20"/>
      <c r="G76" s="9">
        <v>2752.723</v>
      </c>
      <c r="H76" s="20">
        <v>14747</v>
      </c>
      <c r="I76" s="20">
        <v>477195</v>
      </c>
      <c r="J76" s="20"/>
      <c r="K76" s="9">
        <v>4847</v>
      </c>
      <c r="L76" s="8">
        <f>109261/1000</f>
        <v>109.261</v>
      </c>
      <c r="M76" s="20">
        <v>7637.7</v>
      </c>
      <c r="N76" s="9">
        <v>916792.82</v>
      </c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</row>
    <row r="77" spans="1:50" ht="15.75">
      <c r="A77" s="22" t="s">
        <v>93</v>
      </c>
      <c r="B77" s="20">
        <f>3484253/1000</f>
        <v>3484.253</v>
      </c>
      <c r="C77" s="20">
        <v>1283.371</v>
      </c>
      <c r="D77" s="20">
        <v>15145</v>
      </c>
      <c r="E77" s="20">
        <v>2228</v>
      </c>
      <c r="F77" s="20"/>
      <c r="G77" s="9">
        <v>2786.822</v>
      </c>
      <c r="H77" s="20">
        <v>15547</v>
      </c>
      <c r="I77" s="20">
        <v>504182</v>
      </c>
      <c r="J77" s="20"/>
      <c r="K77" s="9">
        <v>4541</v>
      </c>
      <c r="L77" s="8">
        <f>127076/1000</f>
        <v>127.076</v>
      </c>
      <c r="M77" s="20">
        <v>7751.8</v>
      </c>
      <c r="N77" s="9">
        <v>983990.263</v>
      </c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</row>
    <row r="78" spans="1:50" ht="15.75">
      <c r="A78" s="22" t="s">
        <v>94</v>
      </c>
      <c r="B78" s="20">
        <f>4102867/1000</f>
        <v>4102.867</v>
      </c>
      <c r="C78" s="20">
        <v>1315.603</v>
      </c>
      <c r="D78" s="20">
        <v>14937.9</v>
      </c>
      <c r="E78" s="20">
        <v>1855</v>
      </c>
      <c r="F78" s="20"/>
      <c r="G78" s="9">
        <v>2848.514</v>
      </c>
      <c r="H78" s="20">
        <v>16040</v>
      </c>
      <c r="I78" s="20">
        <v>526954</v>
      </c>
      <c r="J78" s="20"/>
      <c r="K78" s="9">
        <v>4777</v>
      </c>
      <c r="L78" s="8">
        <f>131462/1000</f>
        <v>131.462</v>
      </c>
      <c r="M78" s="20">
        <v>9305.5</v>
      </c>
      <c r="N78" s="9">
        <v>1055251.929</v>
      </c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</row>
    <row r="79" spans="1:50" ht="15.75">
      <c r="A79" s="22" t="s">
        <v>95</v>
      </c>
      <c r="B79" s="20">
        <f>4167608/1000</f>
        <v>4167.608</v>
      </c>
      <c r="C79" s="20">
        <v>1304.889</v>
      </c>
      <c r="D79" s="20">
        <v>9557</v>
      </c>
      <c r="E79" s="20">
        <v>1885</v>
      </c>
      <c r="F79" s="20"/>
      <c r="G79" s="9">
        <v>3027.763</v>
      </c>
      <c r="H79" s="20">
        <v>17207</v>
      </c>
      <c r="I79" s="20">
        <v>546822</v>
      </c>
      <c r="J79" s="20"/>
      <c r="K79" s="9">
        <v>4366</v>
      </c>
      <c r="L79" s="8">
        <f>134101/1000</f>
        <v>134.101</v>
      </c>
      <c r="M79" s="20">
        <v>8598.3</v>
      </c>
      <c r="N79" s="9">
        <v>1144350.138</v>
      </c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</row>
    <row r="80" spans="1:50" ht="16.5">
      <c r="A80" s="22" t="s">
        <v>96</v>
      </c>
      <c r="B80" s="20">
        <f>4860372/1000</f>
        <v>4860.372</v>
      </c>
      <c r="C80" s="20">
        <v>1507.598</v>
      </c>
      <c r="D80" s="25">
        <v>7443</v>
      </c>
      <c r="E80" s="20">
        <v>1968</v>
      </c>
      <c r="F80" s="20"/>
      <c r="G80" s="9">
        <v>3216.715</v>
      </c>
      <c r="H80" s="20">
        <v>18171</v>
      </c>
      <c r="I80" s="20">
        <v>564882</v>
      </c>
      <c r="J80" s="20"/>
      <c r="K80" s="9">
        <v>4055</v>
      </c>
      <c r="L80" s="8">
        <f>127213/1000</f>
        <v>127.213</v>
      </c>
      <c r="M80" s="20">
        <v>7436.7</v>
      </c>
      <c r="N80" s="9">
        <v>1214365.186</v>
      </c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ht="15.75">
      <c r="A81" s="22" t="s">
        <v>97</v>
      </c>
      <c r="B81" s="20">
        <f>4449542/1000</f>
        <v>4449.542</v>
      </c>
      <c r="C81" s="20">
        <v>1556.635</v>
      </c>
      <c r="D81" s="20">
        <v>10925.7</v>
      </c>
      <c r="E81" s="20">
        <v>1710</v>
      </c>
      <c r="F81" s="20"/>
      <c r="G81" s="9">
        <v>3329.042</v>
      </c>
      <c r="H81" s="20">
        <v>19322</v>
      </c>
      <c r="I81" s="20">
        <v>556706</v>
      </c>
      <c r="J81" s="20"/>
      <c r="K81" s="9">
        <v>4160</v>
      </c>
      <c r="L81" s="8">
        <f>131462/1000</f>
        <v>131.462</v>
      </c>
      <c r="M81" s="20">
        <v>8822.1</v>
      </c>
      <c r="N81" s="9">
        <v>1329443.027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1:50" ht="15.75">
      <c r="A82" s="22" t="s">
        <v>98</v>
      </c>
      <c r="B82" s="20">
        <f>4687057/1000</f>
        <v>4687.057</v>
      </c>
      <c r="C82" s="20">
        <v>1442.679</v>
      </c>
      <c r="D82" s="20">
        <v>9990</v>
      </c>
      <c r="E82" s="20">
        <v>1803</v>
      </c>
      <c r="F82" s="20"/>
      <c r="G82" s="9">
        <v>3371.751</v>
      </c>
      <c r="H82" s="20">
        <v>20698</v>
      </c>
      <c r="I82" s="20">
        <v>570978</v>
      </c>
      <c r="J82" s="20"/>
      <c r="K82" s="9">
        <v>4337</v>
      </c>
      <c r="L82" s="8">
        <f>141262/1000</f>
        <v>141.262</v>
      </c>
      <c r="M82" s="20">
        <v>8223.7</v>
      </c>
      <c r="N82" s="9">
        <v>1442182.474</v>
      </c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ht="16.5">
      <c r="A83" s="45" t="s">
        <v>99</v>
      </c>
      <c r="B83" s="43">
        <f>4152243/1000</f>
        <v>4152.243</v>
      </c>
      <c r="C83" s="43">
        <v>1351.558</v>
      </c>
      <c r="D83" s="43">
        <v>10192.1</v>
      </c>
      <c r="E83" s="43">
        <v>1906</v>
      </c>
      <c r="F83" s="43"/>
      <c r="G83" s="52">
        <v>3518</v>
      </c>
      <c r="H83" s="43">
        <v>21920.642</v>
      </c>
      <c r="I83" s="43">
        <v>612659</v>
      </c>
      <c r="J83" s="43"/>
      <c r="K83" s="41">
        <v>4917</v>
      </c>
      <c r="L83" s="40">
        <f>131514/1000</f>
        <v>131.514</v>
      </c>
      <c r="M83" s="43">
        <v>6546.8</v>
      </c>
      <c r="N83" s="41">
        <v>1531868</v>
      </c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1:50" ht="15.75">
      <c r="A84" s="22" t="s">
        <v>100</v>
      </c>
      <c r="B84" s="20">
        <f>5646260/1000</f>
        <v>5646.26</v>
      </c>
      <c r="C84" s="20">
        <v>1618.636</v>
      </c>
      <c r="D84" s="20">
        <v>10477</v>
      </c>
      <c r="E84" s="20">
        <v>1705</v>
      </c>
      <c r="F84" s="20"/>
      <c r="G84" s="9">
        <v>3453.995</v>
      </c>
      <c r="H84" s="20">
        <v>22493.012</v>
      </c>
      <c r="I84" s="20">
        <v>560919</v>
      </c>
      <c r="J84" s="20"/>
      <c r="K84" s="9">
        <v>5018</v>
      </c>
      <c r="L84" s="8">
        <v>120.4</v>
      </c>
      <c r="M84" s="20">
        <v>8584.592</v>
      </c>
      <c r="N84" s="9">
        <v>1612632.964</v>
      </c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ht="15.75">
      <c r="A85" s="22" t="s">
        <v>101</v>
      </c>
      <c r="B85" s="20">
        <f>5579832/1000</f>
        <v>5579.832</v>
      </c>
      <c r="C85" s="20">
        <v>1546.209</v>
      </c>
      <c r="D85" s="20">
        <v>13704</v>
      </c>
      <c r="E85" s="20">
        <v>1749</v>
      </c>
      <c r="F85" s="20"/>
      <c r="G85" s="9">
        <v>3445.965</v>
      </c>
      <c r="H85" s="20">
        <v>22531.698</v>
      </c>
      <c r="I85" s="20">
        <v>602492</v>
      </c>
      <c r="J85" s="20"/>
      <c r="K85" s="9">
        <v>4806</v>
      </c>
      <c r="L85" s="8">
        <v>133.2</v>
      </c>
      <c r="M85" s="20">
        <v>8823.938</v>
      </c>
      <c r="N85" s="9">
        <v>1749662.201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</row>
    <row r="86" spans="1:50" ht="16.5">
      <c r="A86" s="22" t="s">
        <v>102</v>
      </c>
      <c r="B86" s="20">
        <f>5670712/1000</f>
        <v>5670.712</v>
      </c>
      <c r="C86" s="20">
        <v>1710.787</v>
      </c>
      <c r="D86" s="20">
        <v>12974</v>
      </c>
      <c r="E86" s="20">
        <v>1742</v>
      </c>
      <c r="F86" s="20"/>
      <c r="G86" s="9">
        <v>3360.92</v>
      </c>
      <c r="H86" s="25">
        <v>22647.549</v>
      </c>
      <c r="I86" s="20">
        <v>598568</v>
      </c>
      <c r="J86" s="20"/>
      <c r="K86" s="9">
        <v>4858</v>
      </c>
      <c r="L86" s="23">
        <v>150.8</v>
      </c>
      <c r="M86" s="25">
        <v>9657.647</v>
      </c>
      <c r="N86" s="9">
        <v>1860709.51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</row>
    <row r="87" spans="1:50" ht="15.75">
      <c r="A87" s="22" t="s">
        <v>103</v>
      </c>
      <c r="B87" s="20">
        <f>4701402/1000</f>
        <v>4701.402</v>
      </c>
      <c r="C87" s="20">
        <v>1781.918</v>
      </c>
      <c r="D87" s="20">
        <v>11540</v>
      </c>
      <c r="E87" s="20">
        <v>1990</v>
      </c>
      <c r="F87" s="20"/>
      <c r="G87" s="9">
        <v>3202.51</v>
      </c>
      <c r="H87" s="20">
        <v>21600.522</v>
      </c>
      <c r="I87" s="20">
        <v>610023</v>
      </c>
      <c r="J87" s="20"/>
      <c r="K87" s="9">
        <v>4967</v>
      </c>
      <c r="L87" s="8">
        <v>145.7</v>
      </c>
      <c r="M87" s="20">
        <v>7331.256</v>
      </c>
      <c r="N87" s="9">
        <v>1867139.763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</row>
    <row r="88" spans="1:50" ht="15.75">
      <c r="A88" s="22" t="s">
        <v>104</v>
      </c>
      <c r="B88" s="20">
        <f>5840757/1000</f>
        <v>5840.757</v>
      </c>
      <c r="C88" s="20">
        <v>2126.927</v>
      </c>
      <c r="D88" s="20">
        <v>8301.6</v>
      </c>
      <c r="E88" s="20">
        <v>2182</v>
      </c>
      <c r="F88" s="20"/>
      <c r="G88" s="9">
        <v>3056.875</v>
      </c>
      <c r="H88" s="20">
        <v>20108.661</v>
      </c>
      <c r="I88" s="20">
        <v>654641</v>
      </c>
      <c r="J88" s="20"/>
      <c r="K88" s="9">
        <v>4877</v>
      </c>
      <c r="L88" s="8">
        <v>116.6</v>
      </c>
      <c r="M88" s="20">
        <v>6712.852</v>
      </c>
      <c r="N88" s="9">
        <v>1917648.536</v>
      </c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</row>
    <row r="89" spans="1:50" ht="15.75">
      <c r="A89" s="22" t="s">
        <v>105</v>
      </c>
      <c r="B89" s="20">
        <f>6289169/1000</f>
        <v>6289.169</v>
      </c>
      <c r="C89" s="20">
        <v>2148.78</v>
      </c>
      <c r="D89" s="20">
        <v>10580.6</v>
      </c>
      <c r="E89" s="20">
        <v>2137</v>
      </c>
      <c r="F89" s="20"/>
      <c r="G89" s="9">
        <v>2968.18</v>
      </c>
      <c r="H89" s="20">
        <v>19952.438</v>
      </c>
      <c r="I89" s="20">
        <v>684913</v>
      </c>
      <c r="J89" s="20"/>
      <c r="K89" s="9">
        <v>5388</v>
      </c>
      <c r="L89" s="8">
        <v>128</v>
      </c>
      <c r="M89" s="20">
        <v>8500.305</v>
      </c>
      <c r="N89" s="9">
        <v>2037696.497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</row>
    <row r="90" spans="1:50" ht="15.75">
      <c r="A90" s="22" t="s">
        <v>106</v>
      </c>
      <c r="B90" s="20">
        <f>6505041/1000</f>
        <v>6505.041</v>
      </c>
      <c r="C90" s="20">
        <v>2045.527</v>
      </c>
      <c r="D90" s="20">
        <v>14389.2</v>
      </c>
      <c r="E90" s="20">
        <v>1914</v>
      </c>
      <c r="F90" s="20"/>
      <c r="G90" s="9">
        <v>3009.425</v>
      </c>
      <c r="H90" s="20">
        <v>20025.463</v>
      </c>
      <c r="I90" s="20">
        <v>697205</v>
      </c>
      <c r="J90" s="20"/>
      <c r="K90" s="9">
        <v>5271</v>
      </c>
      <c r="L90" s="8">
        <v>125.3</v>
      </c>
      <c r="M90" s="20">
        <v>9200.849</v>
      </c>
      <c r="N90" s="9">
        <v>2124323.316</v>
      </c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</row>
    <row r="91" spans="1:50" ht="15.75">
      <c r="A91" s="22" t="s">
        <v>107</v>
      </c>
      <c r="B91" s="20">
        <f>7267927/1000</f>
        <v>7267.927</v>
      </c>
      <c r="C91" s="20">
        <v>1775.524</v>
      </c>
      <c r="D91" s="20">
        <v>10855.8</v>
      </c>
      <c r="E91" s="20">
        <v>2025</v>
      </c>
      <c r="F91" s="20"/>
      <c r="G91" s="9">
        <v>3178.055</v>
      </c>
      <c r="H91" s="20">
        <v>19974.033</v>
      </c>
      <c r="I91" s="20">
        <v>670164</v>
      </c>
      <c r="J91" s="20"/>
      <c r="K91" s="9">
        <v>6028</v>
      </c>
      <c r="L91" s="8">
        <v>137</v>
      </c>
      <c r="M91" s="20">
        <v>9165</v>
      </c>
      <c r="N91" s="9">
        <v>2206330.565</v>
      </c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</row>
    <row r="92" spans="1:50" ht="15.75">
      <c r="A92" s="22" t="s">
        <v>108</v>
      </c>
      <c r="B92" s="20">
        <f>7928139/1000</f>
        <v>7928.139</v>
      </c>
      <c r="C92" s="20">
        <v>2134.06</v>
      </c>
      <c r="D92" s="20">
        <v>14629.3</v>
      </c>
      <c r="E92" s="20">
        <v>1527</v>
      </c>
      <c r="F92" s="20"/>
      <c r="G92" s="9">
        <v>3121.48</v>
      </c>
      <c r="H92" s="20">
        <v>20471.26</v>
      </c>
      <c r="I92" s="20">
        <v>781134</v>
      </c>
      <c r="J92" s="20"/>
      <c r="K92" s="9">
        <v>6267</v>
      </c>
      <c r="L92" s="8">
        <v>136.3</v>
      </c>
      <c r="M92" s="20">
        <v>8419.226</v>
      </c>
      <c r="N92" s="9">
        <v>2247371.861</v>
      </c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</row>
    <row r="93" spans="1:50" ht="15.75">
      <c r="A93" s="45" t="s">
        <v>109</v>
      </c>
      <c r="B93" s="43">
        <f>6639396/1000</f>
        <v>6639.396</v>
      </c>
      <c r="C93" s="43">
        <v>2380.934</v>
      </c>
      <c r="D93" s="43">
        <v>11122</v>
      </c>
      <c r="E93" s="43">
        <v>1786</v>
      </c>
      <c r="F93" s="43"/>
      <c r="G93" s="41">
        <v>3137.905</v>
      </c>
      <c r="H93" s="43">
        <v>20179.724</v>
      </c>
      <c r="I93" s="43">
        <v>829700</v>
      </c>
      <c r="J93" s="43"/>
      <c r="K93" s="41">
        <v>6482</v>
      </c>
      <c r="L93" s="40">
        <v>111.8</v>
      </c>
      <c r="M93" s="43">
        <v>6400.026</v>
      </c>
      <c r="N93" s="41">
        <v>2286439.244</v>
      </c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</row>
    <row r="94" spans="1:50" ht="16.5">
      <c r="A94" s="22" t="s">
        <v>110</v>
      </c>
      <c r="B94" s="20">
        <f>8118650/1000</f>
        <v>8118.65</v>
      </c>
      <c r="C94" s="25">
        <v>2785.357</v>
      </c>
      <c r="D94" s="20">
        <v>15645.7</v>
      </c>
      <c r="E94" s="20">
        <v>2064</v>
      </c>
      <c r="F94" s="20"/>
      <c r="G94" s="9">
        <v>3128.78</v>
      </c>
      <c r="H94" s="20">
        <v>19955.823</v>
      </c>
      <c r="I94" s="20">
        <v>823775</v>
      </c>
      <c r="J94" s="20"/>
      <c r="K94" s="9">
        <v>5977</v>
      </c>
      <c r="L94" s="8">
        <v>120.8</v>
      </c>
      <c r="M94" s="20">
        <v>6255.34</v>
      </c>
      <c r="N94" s="9">
        <v>2294812.218</v>
      </c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</row>
    <row r="95" spans="1:50" ht="15.75">
      <c r="A95" s="22" t="s">
        <v>111</v>
      </c>
      <c r="B95" s="20">
        <f>8235101/1000</f>
        <v>8235.101</v>
      </c>
      <c r="C95" s="20">
        <v>2764.967</v>
      </c>
      <c r="D95" s="20">
        <v>11962.7</v>
      </c>
      <c r="E95" s="20">
        <v>1994</v>
      </c>
      <c r="F95" s="20"/>
      <c r="G95" s="9">
        <v>3156.885</v>
      </c>
      <c r="H95" s="20">
        <v>18582.005</v>
      </c>
      <c r="I95" s="20">
        <v>838111</v>
      </c>
      <c r="J95" s="20"/>
      <c r="K95" s="9">
        <v>6367</v>
      </c>
      <c r="L95" s="8">
        <v>74.6</v>
      </c>
      <c r="M95" s="20">
        <v>5049.184</v>
      </c>
      <c r="N95" s="9">
        <v>2241211.367</v>
      </c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</row>
    <row r="96" spans="1:50" ht="15.75">
      <c r="A96" s="22" t="s">
        <v>112</v>
      </c>
      <c r="B96" s="20">
        <f>4174251/1000</f>
        <v>4174.251</v>
      </c>
      <c r="C96" s="20">
        <v>2419.824</v>
      </c>
      <c r="D96" s="20">
        <v>7771.4</v>
      </c>
      <c r="E96" s="20">
        <v>1429</v>
      </c>
      <c r="F96" s="20"/>
      <c r="G96" s="9">
        <v>3171.12</v>
      </c>
      <c r="H96" s="20">
        <v>16884.093</v>
      </c>
      <c r="I96" s="20">
        <v>782092</v>
      </c>
      <c r="J96" s="20"/>
      <c r="K96" s="9">
        <v>6439</v>
      </c>
      <c r="L96" s="8">
        <v>84.6</v>
      </c>
      <c r="M96" s="20">
        <v>6739.223</v>
      </c>
      <c r="N96" s="9">
        <v>2310284.566</v>
      </c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</row>
    <row r="97" spans="1:50" ht="15.75">
      <c r="A97" s="22" t="s">
        <v>113</v>
      </c>
      <c r="B97" s="20">
        <v>7672.13</v>
      </c>
      <c r="C97" s="20">
        <v>2594.777</v>
      </c>
      <c r="D97" s="20">
        <v>12981.8</v>
      </c>
      <c r="E97" s="20">
        <v>1728</v>
      </c>
      <c r="F97" s="20"/>
      <c r="G97" s="9">
        <v>3240.835</v>
      </c>
      <c r="H97" s="20">
        <v>18304.339</v>
      </c>
      <c r="I97" s="20">
        <v>895920.767</v>
      </c>
      <c r="J97" s="20"/>
      <c r="K97" s="9">
        <v>6438</v>
      </c>
      <c r="L97" s="8">
        <v>92.5</v>
      </c>
      <c r="M97" s="20">
        <v>7621.176</v>
      </c>
      <c r="N97" s="9">
        <v>2416304.247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</row>
    <row r="98" spans="1:50" ht="15.75">
      <c r="A98" s="22" t="s">
        <v>114</v>
      </c>
      <c r="B98" s="20">
        <v>8875.453</v>
      </c>
      <c r="C98" s="20">
        <v>2424.115</v>
      </c>
      <c r="D98" s="20">
        <v>13432</v>
      </c>
      <c r="E98" s="20">
        <v>1512</v>
      </c>
      <c r="F98" s="20"/>
      <c r="G98" s="9">
        <v>3274.415</v>
      </c>
      <c r="H98" s="20">
        <v>17270.227</v>
      </c>
      <c r="I98" s="20">
        <v>883638.117</v>
      </c>
      <c r="J98" s="20"/>
      <c r="K98" s="9">
        <v>6258</v>
      </c>
      <c r="L98" s="8">
        <v>88.3</v>
      </c>
      <c r="M98" s="20">
        <v>8002.259</v>
      </c>
      <c r="N98" s="9">
        <v>2469841</v>
      </c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</row>
    <row r="99" spans="1:50" ht="15.75">
      <c r="A99" s="22" t="s">
        <v>115</v>
      </c>
      <c r="B99" s="20">
        <v>8225.764</v>
      </c>
      <c r="C99" s="20">
        <v>2090.57</v>
      </c>
      <c r="D99" s="20">
        <v>9731</v>
      </c>
      <c r="E99" s="20">
        <v>1162</v>
      </c>
      <c r="F99" s="20"/>
      <c r="G99" s="9">
        <v>3168.2</v>
      </c>
      <c r="H99" s="20">
        <v>16858.675</v>
      </c>
      <c r="I99" s="20">
        <v>890314.708</v>
      </c>
      <c r="J99" s="20"/>
      <c r="K99" s="9">
        <v>6031</v>
      </c>
      <c r="L99" s="8">
        <v>81.6</v>
      </c>
      <c r="M99" s="20">
        <v>7516.189</v>
      </c>
      <c r="N99" s="9">
        <v>2487309.832</v>
      </c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</row>
    <row r="100" spans="1:50" ht="15.75">
      <c r="A100" s="22" t="s">
        <v>116</v>
      </c>
      <c r="B100" s="20">
        <v>7131.3</v>
      </c>
      <c r="C100" s="20">
        <v>2107.685</v>
      </c>
      <c r="D100" s="20">
        <v>14759.9</v>
      </c>
      <c r="E100" s="20">
        <v>1189</v>
      </c>
      <c r="F100" s="20"/>
      <c r="G100" s="9">
        <v>3047.385</v>
      </c>
      <c r="H100" s="20">
        <v>17432.901</v>
      </c>
      <c r="I100" s="20">
        <v>918762.162</v>
      </c>
      <c r="J100" s="20"/>
      <c r="K100" s="9">
        <v>6896</v>
      </c>
      <c r="L100" s="8">
        <v>89.2</v>
      </c>
      <c r="M100" s="20">
        <v>7085.147</v>
      </c>
      <c r="N100" s="9">
        <v>2572126.547</v>
      </c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</row>
    <row r="101" spans="1:50" ht="15.75">
      <c r="A101" s="22" t="s">
        <v>117</v>
      </c>
      <c r="B101" s="20">
        <v>4928.681</v>
      </c>
      <c r="C101" s="20">
        <v>1812.201</v>
      </c>
      <c r="D101" s="20">
        <v>15411.5</v>
      </c>
      <c r="E101" s="20">
        <v>1370</v>
      </c>
      <c r="F101" s="20"/>
      <c r="G101" s="9">
        <v>2971.1</v>
      </c>
      <c r="H101" s="20">
        <v>17918.465</v>
      </c>
      <c r="I101" s="20">
        <v>950265.278</v>
      </c>
      <c r="J101" s="20"/>
      <c r="K101" s="9">
        <v>7192</v>
      </c>
      <c r="L101" s="8">
        <v>99.9</v>
      </c>
      <c r="M101" s="20">
        <v>7104.617</v>
      </c>
      <c r="N101" s="9">
        <v>2704250.058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</row>
    <row r="102" spans="1:50" ht="15.75">
      <c r="A102" s="22" t="s">
        <v>118</v>
      </c>
      <c r="B102" s="20">
        <v>7531.953</v>
      </c>
      <c r="C102" s="20">
        <v>2036.618</v>
      </c>
      <c r="D102" s="20">
        <v>12195.6</v>
      </c>
      <c r="E102" s="20">
        <v>1367</v>
      </c>
      <c r="F102" s="20"/>
      <c r="G102" s="9">
        <v>2778.745</v>
      </c>
      <c r="H102" s="20">
        <v>18095.147</v>
      </c>
      <c r="I102" s="20">
        <v>980728.79</v>
      </c>
      <c r="J102" s="20"/>
      <c r="K102" s="9">
        <v>8463</v>
      </c>
      <c r="L102" s="8">
        <v>97.9</v>
      </c>
      <c r="M102" s="20">
        <v>6807.416</v>
      </c>
      <c r="N102" s="9">
        <v>2784304.458</v>
      </c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</row>
    <row r="103" spans="1:50" ht="15.75">
      <c r="A103" s="45" t="s">
        <v>119</v>
      </c>
      <c r="B103" s="43">
        <v>7934.028</v>
      </c>
      <c r="C103" s="43">
        <v>2730</v>
      </c>
      <c r="D103" s="43">
        <v>15505.4</v>
      </c>
      <c r="E103" s="43">
        <v>1626</v>
      </c>
      <c r="F103" s="44"/>
      <c r="G103" s="41">
        <v>2686</v>
      </c>
      <c r="H103" s="43">
        <v>18590</v>
      </c>
      <c r="I103" s="43">
        <v>1029100</v>
      </c>
      <c r="J103" s="44"/>
      <c r="K103" s="41">
        <v>9404</v>
      </c>
      <c r="L103" s="42">
        <v>98.9</v>
      </c>
      <c r="M103" s="43">
        <v>6049.749</v>
      </c>
      <c r="N103" s="41">
        <v>2808151.009</v>
      </c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</row>
    <row r="104" spans="1:50" ht="15.75">
      <c r="A104" s="22" t="s">
        <v>120</v>
      </c>
      <c r="B104" s="20">
        <v>7474.765</v>
      </c>
      <c r="C104" s="20">
        <v>1980</v>
      </c>
      <c r="D104" s="20">
        <v>17614.3</v>
      </c>
      <c r="E104" s="20">
        <v>1664</v>
      </c>
      <c r="F104" s="21"/>
      <c r="G104" s="9">
        <v>2708</v>
      </c>
      <c r="H104" s="20">
        <v>18530</v>
      </c>
      <c r="I104" s="20">
        <v>996000</v>
      </c>
      <c r="J104" s="21"/>
      <c r="K104" s="9">
        <v>9484</v>
      </c>
      <c r="L104" s="10">
        <v>87.9</v>
      </c>
      <c r="M104" s="20">
        <v>5407.12</v>
      </c>
      <c r="N104" s="9">
        <v>2825022.865</v>
      </c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</row>
    <row r="105" spans="1:50" ht="15.75">
      <c r="A105" s="22" t="s">
        <v>121</v>
      </c>
      <c r="B105" s="20">
        <v>9476.698</v>
      </c>
      <c r="C105" s="20">
        <v>2466.798</v>
      </c>
      <c r="D105" s="20">
        <v>16218.5</v>
      </c>
      <c r="E105" s="20">
        <v>1721.671</v>
      </c>
      <c r="F105" s="21"/>
      <c r="G105" s="9">
        <v>2617</v>
      </c>
      <c r="H105" s="20">
        <v>18710</v>
      </c>
      <c r="I105" s="20">
        <v>997500</v>
      </c>
      <c r="J105" s="21"/>
      <c r="K105" s="9">
        <v>9637</v>
      </c>
      <c r="L105" s="10">
        <v>92.9</v>
      </c>
      <c r="M105" s="20">
        <v>5685.299</v>
      </c>
      <c r="N105" s="9">
        <v>2797219.151</v>
      </c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</row>
    <row r="106" spans="1:50" ht="16.5">
      <c r="A106" s="22" t="s">
        <v>122</v>
      </c>
      <c r="B106" s="20">
        <v>6337.73</v>
      </c>
      <c r="C106" s="20">
        <v>2396.44</v>
      </c>
      <c r="D106" s="20">
        <v>16133.6</v>
      </c>
      <c r="E106" s="20">
        <v>1613.319</v>
      </c>
      <c r="F106" s="21"/>
      <c r="G106" s="9">
        <v>2500</v>
      </c>
      <c r="H106" s="20">
        <v>18982</v>
      </c>
      <c r="I106" s="20">
        <v>945400</v>
      </c>
      <c r="J106" s="21"/>
      <c r="K106" s="24">
        <v>10467</v>
      </c>
      <c r="L106" s="10">
        <v>97.9</v>
      </c>
      <c r="M106" s="20">
        <v>5961.754</v>
      </c>
      <c r="N106" s="9">
        <v>2882524.766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</row>
    <row r="107" spans="1:50" ht="16.5">
      <c r="A107" s="22" t="s">
        <v>123</v>
      </c>
      <c r="B107" s="25">
        <v>10050.52</v>
      </c>
      <c r="C107" s="20">
        <v>2320.981</v>
      </c>
      <c r="D107" s="20">
        <v>19662</v>
      </c>
      <c r="E107" s="20">
        <v>1582.896</v>
      </c>
      <c r="F107" s="21"/>
      <c r="G107" s="9">
        <v>2420</v>
      </c>
      <c r="H107" s="20">
        <v>19671</v>
      </c>
      <c r="I107" s="20">
        <v>1033504</v>
      </c>
      <c r="J107" s="21"/>
      <c r="K107" s="9">
        <v>10461</v>
      </c>
      <c r="L107" s="10">
        <v>100.6</v>
      </c>
      <c r="M107" s="20">
        <v>6548.562</v>
      </c>
      <c r="N107" s="9">
        <v>2910712.079</v>
      </c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</row>
    <row r="108" spans="1:50" ht="15.75">
      <c r="A108" s="22" t="s">
        <v>124</v>
      </c>
      <c r="B108" s="20">
        <v>7400.051</v>
      </c>
      <c r="C108" s="20">
        <v>2182.708</v>
      </c>
      <c r="D108" s="20">
        <v>17899.8</v>
      </c>
      <c r="E108" s="20">
        <v>1269.91</v>
      </c>
      <c r="F108" s="21"/>
      <c r="G108" s="9">
        <v>2394</v>
      </c>
      <c r="H108" s="20">
        <v>19506</v>
      </c>
      <c r="I108" s="20">
        <v>1032974</v>
      </c>
      <c r="J108" s="21"/>
      <c r="K108" s="9">
        <v>9788</v>
      </c>
      <c r="L108" s="10">
        <v>104.9</v>
      </c>
      <c r="M108" s="20">
        <v>6309.836</v>
      </c>
      <c r="N108" s="9">
        <v>2994528.592</v>
      </c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</row>
    <row r="109" spans="1:50" ht="15.75">
      <c r="A109" s="22" t="s">
        <v>125</v>
      </c>
      <c r="B109" s="20">
        <v>9232.557</v>
      </c>
      <c r="C109" s="20">
        <v>2277.388</v>
      </c>
      <c r="D109" s="20">
        <v>18942</v>
      </c>
      <c r="E109" s="20">
        <v>1518.704</v>
      </c>
      <c r="F109" s="21"/>
      <c r="G109" s="9">
        <v>2360</v>
      </c>
      <c r="H109" s="20">
        <v>19810</v>
      </c>
      <c r="I109" s="20">
        <v>1056739</v>
      </c>
      <c r="J109" s="21"/>
      <c r="K109" s="9">
        <v>9565</v>
      </c>
      <c r="L109" s="10">
        <v>105.3</v>
      </c>
      <c r="M109" s="20">
        <v>6140.454</v>
      </c>
      <c r="N109" s="9">
        <v>3077442</v>
      </c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</row>
    <row r="110" spans="1:50" ht="15.75">
      <c r="A110" s="22" t="s">
        <v>126</v>
      </c>
      <c r="B110" s="20">
        <v>9206.832</v>
      </c>
      <c r="C110" s="20">
        <v>2481.466</v>
      </c>
      <c r="D110" s="20">
        <v>18793</v>
      </c>
      <c r="E110" s="20">
        <v>1787.399</v>
      </c>
      <c r="F110" s="21"/>
      <c r="G110" s="9">
        <v>2354.98</v>
      </c>
      <c r="H110" s="20">
        <v>19866</v>
      </c>
      <c r="I110" s="20">
        <v>1089900</v>
      </c>
      <c r="J110" s="21"/>
      <c r="K110" s="9">
        <v>9845</v>
      </c>
      <c r="L110" s="10">
        <v>108.561</v>
      </c>
      <c r="M110" s="35" t="s">
        <v>27</v>
      </c>
      <c r="N110" s="6">
        <v>3122523</v>
      </c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</row>
    <row r="111" spans="1:50" ht="15.75">
      <c r="A111" s="22" t="s">
        <v>127</v>
      </c>
      <c r="B111" s="20">
        <v>9758.685</v>
      </c>
      <c r="C111" s="20">
        <v>2547.321</v>
      </c>
      <c r="D111" s="20">
        <v>13918.2</v>
      </c>
      <c r="E111" s="20">
        <v>1479.867</v>
      </c>
      <c r="F111" s="21"/>
      <c r="G111" s="9">
        <v>2282</v>
      </c>
      <c r="H111" s="20">
        <v>19961</v>
      </c>
      <c r="I111" s="20">
        <v>1117500</v>
      </c>
      <c r="J111" s="21"/>
      <c r="K111" s="9">
        <v>9194</v>
      </c>
      <c r="L111" s="10">
        <v>108.8</v>
      </c>
      <c r="M111" s="35" t="s">
        <v>27</v>
      </c>
      <c r="N111" s="9">
        <v>3212170.791</v>
      </c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</row>
    <row r="112" spans="1:50" ht="15.75">
      <c r="A112" s="22" t="s">
        <v>128</v>
      </c>
      <c r="B112" s="20">
        <v>9430.612</v>
      </c>
      <c r="C112" s="20">
        <v>2299.01</v>
      </c>
      <c r="D112" s="20">
        <v>16968</v>
      </c>
      <c r="E112" s="20">
        <v>1292.692</v>
      </c>
      <c r="F112" s="21"/>
      <c r="G112" s="9">
        <v>2147</v>
      </c>
      <c r="H112" s="20">
        <v>19805</v>
      </c>
      <c r="I112" s="20">
        <v>1100400</v>
      </c>
      <c r="J112" s="21"/>
      <c r="K112" s="9">
        <v>9339</v>
      </c>
      <c r="L112" s="10">
        <v>107.4</v>
      </c>
      <c r="M112" s="35" t="s">
        <v>27</v>
      </c>
      <c r="N112" s="9">
        <v>3173673.55</v>
      </c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</row>
    <row r="113" spans="1:50" ht="15.75">
      <c r="A113" s="45" t="s">
        <v>129</v>
      </c>
      <c r="B113" s="43">
        <v>9915.051</v>
      </c>
      <c r="C113" s="43">
        <v>2232.46</v>
      </c>
      <c r="D113" s="43">
        <v>17188.3</v>
      </c>
      <c r="E113" s="43">
        <v>1052.998</v>
      </c>
      <c r="F113" s="44"/>
      <c r="G113" s="41">
        <v>2125</v>
      </c>
      <c r="H113" s="43">
        <v>20198</v>
      </c>
      <c r="I113" s="43">
        <v>1073600</v>
      </c>
      <c r="J113" s="44"/>
      <c r="K113" s="41">
        <v>9068.985</v>
      </c>
      <c r="L113" s="42">
        <v>112.2</v>
      </c>
      <c r="M113" s="50" t="s">
        <v>27</v>
      </c>
      <c r="N113" s="41">
        <v>3015383</v>
      </c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</row>
    <row r="114" spans="1:50" ht="16.5">
      <c r="A114" s="22" t="s">
        <v>130</v>
      </c>
      <c r="B114" s="20">
        <v>9506.84</v>
      </c>
      <c r="C114" s="20">
        <v>1957</v>
      </c>
      <c r="D114" s="25">
        <v>20302.8</v>
      </c>
      <c r="E114" s="34">
        <v>992</v>
      </c>
      <c r="F114" s="21"/>
      <c r="G114" s="9">
        <v>2118</v>
      </c>
      <c r="H114" s="20">
        <v>20656</v>
      </c>
      <c r="I114" s="17">
        <v>1127700</v>
      </c>
      <c r="J114" s="20"/>
      <c r="K114" s="31">
        <v>9491.863</v>
      </c>
      <c r="L114" s="10">
        <v>99.3</v>
      </c>
      <c r="M114" s="35" t="s">
        <v>27</v>
      </c>
      <c r="N114" s="31">
        <v>2629962</v>
      </c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</row>
    <row r="115" spans="1:50" ht="15.75">
      <c r="A115" s="22" t="s">
        <v>131</v>
      </c>
      <c r="B115" s="20">
        <v>9008</v>
      </c>
      <c r="C115" s="20">
        <v>1616</v>
      </c>
      <c r="D115" s="20">
        <v>17100</v>
      </c>
      <c r="E115" s="20">
        <v>890</v>
      </c>
      <c r="F115" s="21"/>
      <c r="G115" s="9">
        <v>2097</v>
      </c>
      <c r="H115" s="34" t="s">
        <v>27</v>
      </c>
      <c r="I115" s="34" t="s">
        <v>27</v>
      </c>
      <c r="J115" s="20"/>
      <c r="K115" s="9">
        <v>9397</v>
      </c>
      <c r="L115" s="34" t="s">
        <v>27</v>
      </c>
      <c r="M115" s="34" t="s">
        <v>27</v>
      </c>
      <c r="N115" s="34" t="s">
        <v>27</v>
      </c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</row>
    <row r="116" spans="1:50" ht="15.75">
      <c r="A116" s="22"/>
      <c r="B116" s="20"/>
      <c r="C116" s="20"/>
      <c r="D116" s="20"/>
      <c r="E116" s="20"/>
      <c r="F116" s="21"/>
      <c r="G116" s="9"/>
      <c r="H116" s="20"/>
      <c r="I116" s="21"/>
      <c r="J116" s="21"/>
      <c r="K116" s="10"/>
      <c r="L116" s="10"/>
      <c r="M116" s="21"/>
      <c r="N116" s="11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</row>
    <row r="117" spans="1:50" ht="16.5">
      <c r="A117" s="59" t="s">
        <v>132</v>
      </c>
      <c r="B117" s="57">
        <v>10050.52</v>
      </c>
      <c r="C117" s="57">
        <v>2785.357</v>
      </c>
      <c r="D117" s="57">
        <v>20302.8</v>
      </c>
      <c r="E117" s="57">
        <v>2344</v>
      </c>
      <c r="F117" s="58"/>
      <c r="G117" s="55">
        <v>3518</v>
      </c>
      <c r="H117" s="57">
        <v>22647.549</v>
      </c>
      <c r="I117" s="57">
        <v>1127700</v>
      </c>
      <c r="J117" s="58"/>
      <c r="K117" s="55">
        <v>10467</v>
      </c>
      <c r="L117" s="56">
        <v>150.8</v>
      </c>
      <c r="M117" s="57">
        <v>9657.647</v>
      </c>
      <c r="N117" s="55">
        <v>3212170.791</v>
      </c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</row>
    <row r="118" spans="1:50" ht="16.5">
      <c r="A118" s="59" t="s">
        <v>133</v>
      </c>
      <c r="B118" s="57">
        <v>1146.734</v>
      </c>
      <c r="C118" s="57">
        <v>526.052</v>
      </c>
      <c r="D118" s="57">
        <v>7443</v>
      </c>
      <c r="E118" s="57">
        <v>836</v>
      </c>
      <c r="F118" s="58"/>
      <c r="G118" s="55">
        <v>63.621</v>
      </c>
      <c r="H118" s="57">
        <v>128</v>
      </c>
      <c r="I118" s="57">
        <v>269684</v>
      </c>
      <c r="J118" s="58"/>
      <c r="K118" s="55">
        <v>1930</v>
      </c>
      <c r="L118" s="56">
        <v>11.2</v>
      </c>
      <c r="M118" s="61" t="s">
        <v>71</v>
      </c>
      <c r="N118" s="55">
        <v>2507</v>
      </c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</row>
    <row r="119" spans="1:50" ht="15.75">
      <c r="A119" s="22"/>
      <c r="B119" s="22"/>
      <c r="C119" s="22"/>
      <c r="D119" s="22"/>
      <c r="E119" s="22"/>
      <c r="F119" s="22"/>
      <c r="G119" s="12"/>
      <c r="H119" s="22"/>
      <c r="I119" s="22"/>
      <c r="J119" s="22"/>
      <c r="K119" s="12"/>
      <c r="L119" s="12"/>
      <c r="M119" s="22"/>
      <c r="N119" s="12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</row>
    <row r="120" spans="1:50" ht="16.5" thickTop="1">
      <c r="A120" s="5" t="s">
        <v>134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3"/>
      <c r="M120" s="4"/>
      <c r="N120" s="4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</row>
    <row r="121" spans="1:50" ht="15.75">
      <c r="A121" s="63" t="s">
        <v>151</v>
      </c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19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</row>
    <row r="122" spans="1:50" ht="15.75">
      <c r="A122" s="22" t="s">
        <v>138</v>
      </c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19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</row>
    <row r="123" spans="1:50" ht="15.75">
      <c r="A123" s="22" t="s">
        <v>139</v>
      </c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19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</row>
    <row r="124" spans="1:50" ht="15.75">
      <c r="A124" s="22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19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</row>
    <row r="125" spans="1:50" ht="15.75">
      <c r="A125" s="22" t="s">
        <v>135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</row>
    <row r="126" spans="1:50" ht="16.5">
      <c r="A126" s="22" t="s">
        <v>160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0"/>
      <c r="M126" s="20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</row>
    <row r="127" spans="1:50" ht="15.75">
      <c r="A127" s="22" t="s">
        <v>161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0"/>
      <c r="M127" s="20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</row>
    <row r="128" spans="1:50" ht="16.5">
      <c r="A128" s="22" t="s">
        <v>140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0"/>
      <c r="M128" s="20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</row>
    <row r="129" spans="1:50" ht="16.5">
      <c r="A129" s="22" t="s">
        <v>141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0"/>
      <c r="M129" s="20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</row>
    <row r="130" spans="1:50" ht="16.5">
      <c r="A130" s="22" t="s">
        <v>142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0"/>
      <c r="M130" s="20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</row>
    <row r="131" spans="1:50" ht="16.5">
      <c r="A131" s="22" t="s">
        <v>143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0"/>
      <c r="M131" s="20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</row>
    <row r="132" spans="1:50" ht="16.5">
      <c r="A132" s="22" t="s">
        <v>159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0"/>
      <c r="M132" s="20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</row>
    <row r="133" spans="1:50" ht="15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0"/>
      <c r="M133" s="20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</row>
    <row r="134" spans="1:50" ht="15.75">
      <c r="A134" s="22" t="s">
        <v>136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0"/>
      <c r="M134" s="20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</row>
    <row r="135" spans="1:50" ht="15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0"/>
      <c r="M135" s="20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</row>
    <row r="136" spans="1:50" ht="15.75">
      <c r="A136" s="22" t="s">
        <v>153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0"/>
      <c r="M136" s="20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</row>
    <row r="137" spans="1:50" ht="15.75">
      <c r="A137" s="64" t="s">
        <v>154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0"/>
      <c r="M137" s="20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</row>
    <row r="138" spans="1:50" ht="15.75">
      <c r="A138" s="64" t="s">
        <v>155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0"/>
      <c r="M138" s="20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</row>
    <row r="139" spans="1:50" ht="15.75">
      <c r="A139" s="64" t="s">
        <v>156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</row>
    <row r="140" spans="1:50" ht="15.75">
      <c r="A140" s="64" t="s">
        <v>157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</row>
    <row r="141" spans="1:50" ht="15.75">
      <c r="A141" s="64" t="s">
        <v>158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</row>
    <row r="142" spans="1:50" ht="15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</row>
  </sheetData>
  <hyperlinks>
    <hyperlink ref="A137" r:id="rId1" display="http://www.usda.gov/nass/"/>
    <hyperlink ref="A138" r:id="rId2" display="http://www.eia.doe.gov"/>
    <hyperlink ref="A139" r:id="rId3" display="http://www.st.nmfs.gov/st1/index.html"/>
    <hyperlink ref="A140" r:id="rId4" display="http://www.steel.org/"/>
    <hyperlink ref="A141" r:id="rId5" display="http://www.eia.doe.gov/cneaf/electricity/epa/epa_sum.html"/>
  </hyperlinks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ADNET</cp:lastModifiedBy>
  <dcterms:modified xsi:type="dcterms:W3CDTF">2004-02-24T18:38:50Z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