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0320" windowHeight="7755" tabRatio="517" activeTab="1"/>
  </bookViews>
  <sheets>
    <sheet name="Summary" sheetId="1" r:id="rId1"/>
    <sheet name="Examples" sheetId="2" r:id="rId2"/>
    <sheet name="Mixture Example" sheetId="3" r:id="rId3"/>
    <sheet name="Natural Gas Example" sheetId="4" r:id="rId4"/>
  </sheets>
  <definedNames/>
  <calcPr fullCalcOnLoad="1"/>
</workbook>
</file>

<file path=xl/comments2.xml><?xml version="1.0" encoding="utf-8"?>
<comments xmlns="http://schemas.openxmlformats.org/spreadsheetml/2006/main">
  <authors>
    <author>Arno Laesecke</author>
    <author>Eric Lemmon</author>
    <author>Eric W. Lemmon</author>
    <author> </author>
  </authors>
  <commentList>
    <comment ref="F34" authorId="0">
      <text>
        <r>
          <rPr>
            <sz val="9"/>
            <rFont val="Geneva"/>
            <family val="0"/>
          </rPr>
          <t>Must calculate properties from T and D for state points in the two phase region.</t>
        </r>
      </text>
    </comment>
    <comment ref="D34" authorId="1">
      <text>
        <r>
          <rPr>
            <b/>
            <sz val="8"/>
            <rFont val="Tahoma"/>
            <family val="2"/>
          </rPr>
          <t>Must calculate properties from T and D for state points in the two phase region.</t>
        </r>
      </text>
    </comment>
    <comment ref="B29" authorId="2">
      <text>
        <r>
          <rPr>
            <sz val="8"/>
            <rFont val="Tahoma"/>
            <family val="2"/>
          </rPr>
          <t xml:space="preserve">Warning: If you copy this worksheet to another place, or to another worksheet, the fixed reference cells like $B$14 will not auto index to their new location.
</t>
        </r>
      </text>
    </comment>
    <comment ref="D64" authorId="2">
      <text>
        <r>
          <rPr>
            <sz val="10"/>
            <rFont val="Tahoma"/>
            <family val="0"/>
          </rPr>
          <t xml:space="preserve">Also known as the thermal expansion coefficient
</t>
        </r>
      </text>
    </comment>
    <comment ref="G64" authorId="2">
      <text>
        <r>
          <rPr>
            <sz val="10"/>
            <rFont val="Tahoma"/>
            <family val="2"/>
          </rPr>
          <t>also known as the isentropic compressibility</t>
        </r>
      </text>
    </comment>
    <comment ref="G52" authorId="2">
      <text>
        <r>
          <rPr>
            <sz val="8"/>
            <rFont val="Tahoma"/>
            <family val="2"/>
          </rPr>
          <t>Can also be called as:
=HeatOfVaporization(…)</t>
        </r>
        <r>
          <rPr>
            <sz val="10"/>
            <rFont val="Tahoma"/>
            <family val="2"/>
          </rPr>
          <t xml:space="preserve">
</t>
        </r>
      </text>
    </comment>
    <comment ref="E109" authorId="2">
      <text>
        <r>
          <rPr>
            <b/>
            <sz val="10"/>
            <rFont val="Tahoma"/>
            <family val="0"/>
          </rPr>
          <t xml:space="preserve">Can also be specified as:  </t>
        </r>
        <r>
          <rPr>
            <b/>
            <sz val="10"/>
            <color indexed="12"/>
            <rFont val="Tahoma"/>
            <family val="2"/>
          </rPr>
          <t xml:space="preserve">R32/R125 (50/50) mass
</t>
        </r>
      </text>
    </comment>
    <comment ref="A109" authorId="2">
      <text>
        <r>
          <rPr>
            <b/>
            <sz val="10"/>
            <rFont val="Tahoma"/>
            <family val="0"/>
          </rPr>
          <t xml:space="preserve">Can also be specified as:  </t>
        </r>
        <r>
          <rPr>
            <b/>
            <sz val="10"/>
            <color indexed="12"/>
            <rFont val="Tahoma"/>
            <family val="2"/>
          </rPr>
          <t xml:space="preserve">R32/R125 (50/50)
</t>
        </r>
      </text>
    </comment>
    <comment ref="I104" authorId="2">
      <text>
        <r>
          <rPr>
            <sz val="10"/>
            <rFont val="Tahoma"/>
            <family val="0"/>
          </rPr>
          <t>See the Mixture Example worksheet for information on the TD* command.</t>
        </r>
      </text>
    </comment>
    <comment ref="K96" authorId="2">
      <text>
        <r>
          <rPr>
            <sz val="10"/>
            <rFont val="Tahoma"/>
            <family val="2"/>
          </rPr>
          <t>The "TQ" input is used here, but TD* is better, see the example below.</t>
        </r>
        <r>
          <rPr>
            <b/>
            <sz val="10"/>
            <rFont val="Tahoma"/>
            <family val="0"/>
          </rPr>
          <t xml:space="preserve">
</t>
        </r>
      </text>
    </comment>
    <comment ref="B123" authorId="3">
      <text>
        <r>
          <rPr>
            <sz val="10"/>
            <rFont val="Tahoma"/>
            <family val="2"/>
          </rPr>
          <t xml:space="preserve">Note that the FluidString formula contains empty cells, which are just ignored.
</t>
        </r>
      </text>
    </comment>
    <comment ref="E123" authorId="3">
      <text>
        <r>
          <rPr>
            <sz val="10"/>
            <rFont val="Tahoma"/>
            <family val="2"/>
          </rPr>
          <t xml:space="preserve">Note that the FluidString formula contains empty cells, which are just ignored.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B23" authorId="0">
      <text>
        <r>
          <rPr>
            <b/>
            <sz val="10"/>
            <rFont val="Tahoma"/>
            <family val="0"/>
          </rPr>
          <t>Note the addition of the word "mass" to the end of this line</t>
        </r>
      </text>
    </comment>
  </commentList>
</comments>
</file>

<file path=xl/sharedStrings.xml><?xml version="1.0" encoding="utf-8"?>
<sst xmlns="http://schemas.openxmlformats.org/spreadsheetml/2006/main" count="453" uniqueCount="261">
  <si>
    <t>Quality</t>
  </si>
  <si>
    <t>oxygen</t>
  </si>
  <si>
    <t>w</t>
  </si>
  <si>
    <t>argon</t>
  </si>
  <si>
    <t>cgs</t>
  </si>
  <si>
    <t>nitrogen</t>
  </si>
  <si>
    <t>T</t>
  </si>
  <si>
    <t>K</t>
  </si>
  <si>
    <t>r</t>
  </si>
  <si>
    <t>h</t>
  </si>
  <si>
    <t>l</t>
  </si>
  <si>
    <t>s</t>
  </si>
  <si>
    <t>Example:</t>
  </si>
  <si>
    <t>u</t>
  </si>
  <si>
    <t xml:space="preserve">System:  </t>
  </si>
  <si>
    <t>Components</t>
  </si>
  <si>
    <t>Unit Conversions</t>
  </si>
  <si>
    <t xml:space="preserve">Unit system:  </t>
  </si>
  <si>
    <t>Compute properties from given temperature and density.</t>
  </si>
  <si>
    <t>Total</t>
  </si>
  <si>
    <t>Mixture properties:</t>
  </si>
  <si>
    <t>Pure Fluid Calculations</t>
  </si>
  <si>
    <t xml:space="preserve">Fluid:  </t>
  </si>
  <si>
    <t>P</t>
  </si>
  <si>
    <t>Two-Phase Calculations</t>
  </si>
  <si>
    <t>Physical and Chemical Properties Division</t>
  </si>
  <si>
    <t>Experimental Properties of Fluids Group</t>
  </si>
  <si>
    <t>325 Broadway</t>
  </si>
  <si>
    <t>http://FluidProperties.NIST.Gov</t>
  </si>
  <si>
    <t xml:space="preserve">Web: </t>
  </si>
  <si>
    <t xml:space="preserve">Phone: </t>
  </si>
  <si>
    <t xml:space="preserve">Fax: </t>
  </si>
  <si>
    <t>+1-303-497-5224</t>
  </si>
  <si>
    <t>+1-303-497-7939</t>
  </si>
  <si>
    <r>
      <t>r</t>
    </r>
    <r>
      <rPr>
        <sz val="10"/>
        <color indexed="8"/>
        <rFont val="Helv"/>
        <family val="0"/>
      </rPr>
      <t xml:space="preserve"> (</t>
    </r>
    <r>
      <rPr>
        <sz val="10"/>
        <color indexed="12"/>
        <rFont val="Helv"/>
        <family val="0"/>
      </rPr>
      <t>100</t>
    </r>
    <r>
      <rPr>
        <sz val="10"/>
        <color indexed="8"/>
        <rFont val="Helv"/>
        <family val="0"/>
      </rPr>
      <t xml:space="preserve"> K, </t>
    </r>
    <r>
      <rPr>
        <sz val="10"/>
        <color indexed="12"/>
        <rFont val="Helv"/>
        <family val="0"/>
      </rPr>
      <t>0.1</t>
    </r>
    <r>
      <rPr>
        <sz val="10"/>
        <color indexed="8"/>
        <rFont val="Helv"/>
        <family val="0"/>
      </rPr>
      <t xml:space="preserve"> MPa)</t>
    </r>
  </si>
  <si>
    <r>
      <t>r</t>
    </r>
    <r>
      <rPr>
        <sz val="10"/>
        <color indexed="8"/>
        <rFont val="Helv"/>
        <family val="0"/>
      </rPr>
      <t xml:space="preserve"> (</t>
    </r>
    <r>
      <rPr>
        <sz val="10"/>
        <color indexed="12"/>
        <rFont val="Helv"/>
        <family val="0"/>
      </rPr>
      <t>100</t>
    </r>
    <r>
      <rPr>
        <sz val="10"/>
        <color indexed="8"/>
        <rFont val="Helv"/>
        <family val="0"/>
      </rPr>
      <t xml:space="preserve"> K, </t>
    </r>
    <r>
      <rPr>
        <sz val="10"/>
        <color indexed="12"/>
        <rFont val="Helv"/>
        <family val="0"/>
      </rPr>
      <t>1</t>
    </r>
    <r>
      <rPr>
        <sz val="10"/>
        <color indexed="8"/>
        <rFont val="Helv"/>
        <family val="0"/>
      </rPr>
      <t xml:space="preserve"> MPa)</t>
    </r>
  </si>
  <si>
    <t>—</t>
  </si>
  <si>
    <t>Theory and Modeling of Fluids Group</t>
  </si>
  <si>
    <t>+1-303-497-3580</t>
  </si>
  <si>
    <t>Boulder, CO 80305, U.S.A.</t>
  </si>
  <si>
    <t>http://www.boulder.nist.gov/div838/theory.html</t>
  </si>
  <si>
    <t>mol/L</t>
  </si>
  <si>
    <t>J/mol</t>
  </si>
  <si>
    <t>J/mol-K</t>
  </si>
  <si>
    <t>MPa</t>
  </si>
  <si>
    <t>Surf. Tens.</t>
  </si>
  <si>
    <t>Sample Workbook to demonstrate the use of REFPROP in a Spreadsheet.</t>
  </si>
  <si>
    <t>Dr. Eric W. Lemmon</t>
  </si>
  <si>
    <t>Dr. Mark O. McLinden</t>
  </si>
  <si>
    <t>J/g</t>
  </si>
  <si>
    <t>J/g-K</t>
  </si>
  <si>
    <t>cm/s</t>
  </si>
  <si>
    <t>Calculate properties given only the saturation pressure.</t>
  </si>
  <si>
    <t>Calculate properties given only the saturation temperature.</t>
  </si>
  <si>
    <t>mN/m</t>
  </si>
  <si>
    <t>Predefined Mixture:</t>
  </si>
  <si>
    <t>Liquid</t>
  </si>
  <si>
    <t>Viscosity</t>
  </si>
  <si>
    <t xml:space="preserve">Vapor </t>
  </si>
  <si>
    <t>Vapor</t>
  </si>
  <si>
    <t>Th. Cnd.</t>
  </si>
  <si>
    <t>Mole Frac.</t>
  </si>
  <si>
    <t>Liquid Phase</t>
  </si>
  <si>
    <t>Vapor Phase</t>
  </si>
  <si>
    <t>Density</t>
  </si>
  <si>
    <t>R32</t>
  </si>
  <si>
    <t>R125</t>
  </si>
  <si>
    <t>Liquid phase composition string:</t>
  </si>
  <si>
    <t>Vapor phase composition string:</t>
  </si>
  <si>
    <t>Dew point at 300 K with equilibrium liquid properties</t>
  </si>
  <si>
    <t>Equilibrium</t>
  </si>
  <si>
    <t>Liquid Density</t>
  </si>
  <si>
    <t>Enthalpy</t>
  </si>
  <si>
    <r>
      <t>r</t>
    </r>
    <r>
      <rPr>
        <vertAlign val="subscript"/>
        <sz val="10"/>
        <color indexed="10"/>
        <rFont val="Courier"/>
        <family val="0"/>
      </rPr>
      <t>SL</t>
    </r>
  </si>
  <si>
    <r>
      <t>r</t>
    </r>
    <r>
      <rPr>
        <vertAlign val="subscript"/>
        <sz val="10"/>
        <color indexed="12"/>
        <rFont val="Courier"/>
        <family val="0"/>
      </rPr>
      <t>SV</t>
    </r>
  </si>
  <si>
    <r>
      <t>m</t>
    </r>
    <r>
      <rPr>
        <sz val="10"/>
        <rFont val="Helv"/>
        <family val="0"/>
      </rPr>
      <t>Pa-s</t>
    </r>
  </si>
  <si>
    <r>
      <t>C</t>
    </r>
    <r>
      <rPr>
        <vertAlign val="subscript"/>
        <sz val="10"/>
        <rFont val="Helv"/>
        <family val="0"/>
      </rPr>
      <t>v</t>
    </r>
  </si>
  <si>
    <r>
      <t>C</t>
    </r>
    <r>
      <rPr>
        <vertAlign val="subscript"/>
        <sz val="10"/>
        <rFont val="Helv"/>
        <family val="0"/>
      </rPr>
      <t>p</t>
    </r>
  </si>
  <si>
    <r>
      <t>g/cm</t>
    </r>
    <r>
      <rPr>
        <vertAlign val="superscript"/>
        <sz val="10"/>
        <rFont val="Helv"/>
        <family val="0"/>
      </rPr>
      <t>3</t>
    </r>
  </si>
  <si>
    <r>
      <t xml:space="preserve">Text of </t>
    </r>
    <r>
      <rPr>
        <sz val="10"/>
        <color indexed="12"/>
        <rFont val="Helv"/>
        <family val="0"/>
      </rPr>
      <t>user-specified values</t>
    </r>
    <r>
      <rPr>
        <sz val="10"/>
        <rFont val="Helv"/>
        <family val="0"/>
      </rPr>
      <t xml:space="preserve"> in the input cells is </t>
    </r>
    <r>
      <rPr>
        <sz val="10"/>
        <color indexed="12"/>
        <rFont val="Helv"/>
        <family val="0"/>
      </rPr>
      <t>blue</t>
    </r>
    <r>
      <rPr>
        <sz val="10"/>
        <rFont val="Helv"/>
        <family val="0"/>
      </rPr>
      <t>.</t>
    </r>
  </si>
  <si>
    <r>
      <t>r</t>
    </r>
    <r>
      <rPr>
        <sz val="10"/>
        <rFont val="Helv"/>
        <family val="0"/>
      </rPr>
      <t xml:space="preserve"> (</t>
    </r>
    <r>
      <rPr>
        <sz val="10"/>
        <color indexed="12"/>
        <rFont val="Helv"/>
        <family val="0"/>
      </rPr>
      <t>300</t>
    </r>
    <r>
      <rPr>
        <sz val="10"/>
        <rFont val="Helv"/>
        <family val="0"/>
      </rPr>
      <t xml:space="preserve"> K, </t>
    </r>
    <r>
      <rPr>
        <sz val="10"/>
        <color indexed="12"/>
        <rFont val="Helv"/>
        <family val="0"/>
      </rPr>
      <t>10</t>
    </r>
    <r>
      <rPr>
        <sz val="10"/>
        <rFont val="Helv"/>
        <family val="0"/>
      </rPr>
      <t xml:space="preserve"> MPa)</t>
    </r>
  </si>
  <si>
    <t xml:space="preserve"> </t>
  </si>
  <si>
    <t>Volume</t>
  </si>
  <si>
    <t>v</t>
  </si>
  <si>
    <r>
      <t>cm</t>
    </r>
    <r>
      <rPr>
        <vertAlign val="superscript"/>
        <sz val="10"/>
        <rFont val="Helv"/>
        <family val="0"/>
      </rPr>
      <t>3</t>
    </r>
    <r>
      <rPr>
        <sz val="10"/>
        <rFont val="Helv"/>
        <family val="0"/>
      </rPr>
      <t>/g</t>
    </r>
  </si>
  <si>
    <t>Trp Pressure (MPa):</t>
  </si>
  <si>
    <t>Trp Density (mol/L):</t>
  </si>
  <si>
    <t>(Melting point given temperature)</t>
  </si>
  <si>
    <t>(Melting point given pressure)</t>
  </si>
  <si>
    <t>(Sublimation point given temperature)</t>
  </si>
  <si>
    <t>(Sublimation point given pressure)</t>
  </si>
  <si>
    <t>Critical Temp. (K):</t>
  </si>
  <si>
    <t>Crit. Dens. (mol/L):</t>
  </si>
  <si>
    <t>Crit. Press. (MPa):</t>
  </si>
  <si>
    <t>Triple Point Temp. (K):</t>
  </si>
  <si>
    <t>Properties of the liquid and vapor at the equilibrium compositions (not the R410A composition):</t>
  </si>
  <si>
    <t>Z</t>
  </si>
  <si>
    <t>-</t>
  </si>
  <si>
    <t>For information on making these functions available to any Excel worksheet, see the help file or visit http://www.fontstuff.com/vba/vbatut08.htm for information on how to use these functions in a vba file.</t>
  </si>
  <si>
    <t>Other Properties</t>
  </si>
  <si>
    <t>E</t>
  </si>
  <si>
    <t>Isothermal</t>
  </si>
  <si>
    <t>Compressibility</t>
  </si>
  <si>
    <t>Expansivity</t>
  </si>
  <si>
    <t>Adiabatic</t>
  </si>
  <si>
    <t>Adiabatic Bulk</t>
  </si>
  <si>
    <t>Modulus</t>
  </si>
  <si>
    <t>Expansion</t>
  </si>
  <si>
    <t>Coefficient</t>
  </si>
  <si>
    <t>Isothermal Bulk</t>
  </si>
  <si>
    <t>Isentropic</t>
  </si>
  <si>
    <t>F</t>
  </si>
  <si>
    <t>psia</t>
  </si>
  <si>
    <t>1/psia</t>
  </si>
  <si>
    <t>1/R</t>
  </si>
  <si>
    <t>Latent heat</t>
  </si>
  <si>
    <t>Prandtl</t>
  </si>
  <si>
    <t>Number</t>
  </si>
  <si>
    <t>Mole Fractions</t>
  </si>
  <si>
    <t>Mole Fraction 1</t>
  </si>
  <si>
    <t>Mole Fraction 2</t>
  </si>
  <si>
    <t>Mass Fraction 1</t>
  </si>
  <si>
    <t>Mass Fraction 2</t>
  </si>
  <si>
    <t>Units:</t>
  </si>
  <si>
    <r>
      <t>kg/m</t>
    </r>
    <r>
      <rPr>
        <vertAlign val="superscript"/>
        <sz val="10"/>
        <rFont val="Helv"/>
        <family val="0"/>
      </rPr>
      <t>3</t>
    </r>
  </si>
  <si>
    <t>kJ/kg</t>
  </si>
  <si>
    <t>Two phase state point at 300 K, 200 kg/m3:</t>
  </si>
  <si>
    <t>Properties of the liquid and vapor at the equilibrium compositions (not the R410A composition for the liquid):</t>
  </si>
  <si>
    <t>Critical Temp. (C):</t>
  </si>
  <si>
    <t>Triple Point Temp. (C):</t>
  </si>
  <si>
    <t>r410a.mix</t>
  </si>
  <si>
    <t>(molar basis)</t>
  </si>
  <si>
    <t>Alternative method for specifying a mixture setup</t>
  </si>
  <si>
    <t>R32/R125 (0.5/0.5)</t>
  </si>
  <si>
    <t>To specify mass composition, add the word "mass" at the end of the input</t>
  </si>
  <si>
    <t>R32/R125 (0.5/0.5) mass</t>
  </si>
  <si>
    <t>Liquid phase</t>
  </si>
  <si>
    <t>mass fract.</t>
  </si>
  <si>
    <t>(These two cells are just for checking mass to mole conversions)</t>
  </si>
  <si>
    <t>Macros must be enabled to calculate properties.</t>
  </si>
  <si>
    <t>***Do not save your work as REFPROP.XLS, but rename it.  This will avoid losing the file if you ever uninstall or reinstall the program.***</t>
  </si>
  <si>
    <t>To permanently change the default units to English, search for "DefaultUnits = 0" in the Visual Basic code (press Alt-F11) and change the value to 3.</t>
  </si>
  <si>
    <t>To use predefined mixtures, the extension ".MIX" must be included in the fluid name, see the example below.</t>
  </si>
  <si>
    <t>Alternatively, the comments at the beginning of the Visual Basic code (press Alt-F11) tell how to change the working directories in order for REFPROP to locate the fluid files and the DLL.</t>
  </si>
  <si>
    <r>
      <t>Mixture Calculations</t>
    </r>
    <r>
      <rPr>
        <sz val="10"/>
        <rFont val="Helv"/>
        <family val="0"/>
      </rPr>
      <t xml:space="preserve"> (maximum number of components in a mixture is 20)</t>
    </r>
  </si>
  <si>
    <t>(Input state is known to be in the liquid)</t>
  </si>
  <si>
    <t>(Input state is known to be in the vapor)</t>
  </si>
  <si>
    <t>If the phase is known for given inputs of T and P, the following examples show how to obtain much faster calculations:</t>
  </si>
  <si>
    <t>Phase calculation example for a 50/50 mixture of ammonia and water</t>
  </si>
  <si>
    <t>Pressure (MPa)</t>
  </si>
  <si>
    <t>ammonia;0.5;water;0.5</t>
  </si>
  <si>
    <t>Liquid phase temperature (K)</t>
  </si>
  <si>
    <t>Liquid phase density (kg/m^3)</t>
  </si>
  <si>
    <t>Vapor phase density (kg/m^3)</t>
  </si>
  <si>
    <t>Get the liquid and vapor densities for all other thermodynamic property calculations</t>
  </si>
  <si>
    <t>Calculate all other properties using the temperature and density as inputs</t>
  </si>
  <si>
    <t>(with the appropriate mole fractions for ammonia and water for either the liquid or vapor.)</t>
  </si>
  <si>
    <t>Liquid enthalpy (kJ/kg)</t>
  </si>
  <si>
    <t>Vapor enthalpy (kJ/kg)</t>
  </si>
  <si>
    <t>Liquid speed of sound (m/s)</t>
  </si>
  <si>
    <t>Vapor speed of sound (m/s)</t>
  </si>
  <si>
    <t>The special code only works for temperature and density since these are the independent properties in the EOS.</t>
  </si>
  <si>
    <t>and occasionally causing errors because of nonconvergence.</t>
  </si>
  <si>
    <t>Most properties shown here use the default units of "Molar SI"; other available sets:  "SI", "SI with C", "Molar SI", "E", "cgs", "mks", "M" (these all need quotes).  The "SI with C" set can also be labeled as just "C".</t>
  </si>
  <si>
    <t>(Environment variables can be set under Start/Settings/Control Panel/System/Advanced/Environment Variables, under the "User variables" option.)</t>
  </si>
  <si>
    <t>These examples also show how to force the calculation to search only in the liquid or only in the vapor state (for example, for metastable states.)</t>
  </si>
  <si>
    <t>In addition to the predefined mixtures in REFPROP, any mixture with a ".mix" extension that you save in the mixtures directory while running the REFPROP graphical interface will be available to the Excel file here.</t>
  </si>
  <si>
    <t>See the help file in the REFPROP graphical interface for additional information on calculating properties.</t>
  </si>
  <si>
    <t>A screen shot of REFPROP can be inserted into a worksheet by clicking the "Print Screen" key (top row) to copy what is displayed on the monitor when REFPROP.exe is running.  This can then be pasted into a worksheet.</t>
  </si>
  <si>
    <t>The REFPROP.xls file can be saved as a template file (REFPROP.xlt).  When a new Excel file is created (under File/New) using this template file, a suffix number is appended so that the saved material will not overwrite the original file.</t>
  </si>
  <si>
    <t>NOTE:  The units used here have changed slightly from those used in REFPROP 7.0.  "SI" now refers to SI units on a mass basis, while "Molar SI" will return the same results as those given in version 7.0.</t>
  </si>
  <si>
    <t>An environment variable can be set to specify the locations of the fluid files.  This new variable should be called RPPrefix and be given the value of "C:\Program Files\REFPROP" (or the directory where REFPROP is located).</t>
  </si>
  <si>
    <t>The environment variable for the path (located under the "System variables") can also be modified by adding ";c:\program files\REFPROP" (or whatever location is used) to the end so that the file REFPROP.DLL can be found from any location.</t>
  </si>
  <si>
    <t>Molar SI</t>
  </si>
  <si>
    <t>(note that some of the following calculations use "TD&amp;" to define the input properties, see the "Mixture Example" sheet for more information.</t>
  </si>
  <si>
    <t>Use the ampersand in the special code "TD&amp;" to indicate that phase equilibrium checks should not be performed,</t>
  </si>
  <si>
    <t>If the ampersand is not used, the program attempts to find the phase boundary for each input, thus slowing down the process,</t>
  </si>
  <si>
    <t>The ampersand should NOT be used for two-phase states, it will return properties for metastable states.</t>
  </si>
  <si>
    <t>Dr. Marcia L. Huber</t>
  </si>
  <si>
    <t>+1-303-497-5252</t>
  </si>
  <si>
    <t>All unit systems use a mass basis for properties and a mole basis for compositions, except "Molar SI", which uses a mole basis for properties.</t>
  </si>
  <si>
    <t>To use mass basis for compositions, add the word "mass" to the end of the composition string; see the example at the bottom of this sheet.</t>
  </si>
  <si>
    <t>mW/(m-K)</t>
  </si>
  <si>
    <t>To recalculate all of the values in every cell, press Ctrl-Alt-F9</t>
  </si>
  <si>
    <t>Be aware that changing the REFPROP file locations might cause problems if the file location is changed.</t>
  </si>
  <si>
    <t>The FAQ page for Refprop may contain more recent tips, see http://www.boulder.nist.gov/div838/theory/refprop/Frequently_asked_questions.htm</t>
  </si>
  <si>
    <r>
      <t>dP/d</t>
    </r>
    <r>
      <rPr>
        <sz val="10"/>
        <rFont val="Symbol"/>
        <family val="1"/>
      </rPr>
      <t>r</t>
    </r>
  </si>
  <si>
    <r>
      <t>d</t>
    </r>
    <r>
      <rPr>
        <vertAlign val="superscript"/>
        <sz val="10"/>
        <rFont val="Helv"/>
        <family val="0"/>
      </rPr>
      <t>2</t>
    </r>
    <r>
      <rPr>
        <sz val="10"/>
        <rFont val="Helv"/>
        <family val="0"/>
      </rPr>
      <t>P/d</t>
    </r>
    <r>
      <rPr>
        <sz val="10"/>
        <rFont val="Symbol"/>
        <family val="1"/>
      </rPr>
      <t>r</t>
    </r>
    <r>
      <rPr>
        <sz val="10"/>
        <rFont val="Helv"/>
        <family val="0"/>
      </rPr>
      <t>2</t>
    </r>
  </si>
  <si>
    <t>dP/dT</t>
  </si>
  <si>
    <r>
      <t>d</t>
    </r>
    <r>
      <rPr>
        <sz val="10"/>
        <rFont val="Symbol"/>
        <family val="1"/>
      </rPr>
      <t>r</t>
    </r>
    <r>
      <rPr>
        <sz val="10"/>
        <rFont val="Helv"/>
        <family val="0"/>
      </rPr>
      <t>/dT</t>
    </r>
  </si>
  <si>
    <t>psia/F</t>
  </si>
  <si>
    <t>psia-ft^3/lbm</t>
  </si>
  <si>
    <t>psia-ft^6/lbm^2</t>
  </si>
  <si>
    <t>lbm/(ft^3-F)</t>
  </si>
  <si>
    <t>C*</t>
  </si>
  <si>
    <t>factor)</t>
  </si>
  <si>
    <t>(Critical flow</t>
  </si>
  <si>
    <t>(See the "REFPROP with Instructions and Help.XLS" file for definitions of these sets.  In particular, see the User Information tab and click on the "vlookup table" button.)</t>
  </si>
  <si>
    <t>Stream 1</t>
  </si>
  <si>
    <t>Stream 2</t>
  </si>
  <si>
    <t>CO2</t>
  </si>
  <si>
    <t>Nitrogen</t>
  </si>
  <si>
    <t>Methane</t>
  </si>
  <si>
    <t>Ethane</t>
  </si>
  <si>
    <t>Propane</t>
  </si>
  <si>
    <t>Isobutane</t>
  </si>
  <si>
    <t>Butane</t>
  </si>
  <si>
    <t>Isopentane</t>
  </si>
  <si>
    <t>Pentane</t>
  </si>
  <si>
    <t>Hexane</t>
  </si>
  <si>
    <t>Flow Rate</t>
  </si>
  <si>
    <t>Temp.</t>
  </si>
  <si>
    <t>Pressure</t>
  </si>
  <si>
    <t>Mass Fractions</t>
  </si>
  <si>
    <t>Output</t>
  </si>
  <si>
    <t>Sum:</t>
  </si>
  <si>
    <t>Mass Frac</t>
  </si>
  <si>
    <t>Flow Rate in lbm/hr</t>
  </si>
  <si>
    <t>(ft^3/hr)</t>
  </si>
  <si>
    <t>(F)</t>
  </si>
  <si>
    <t>(psia)</t>
  </si>
  <si>
    <t>(lbm/ft^3)</t>
  </si>
  <si>
    <t>(lbm/hr)</t>
  </si>
  <si>
    <t>Mole Percent</t>
  </si>
  <si>
    <t>Mole Percents</t>
  </si>
  <si>
    <t>Example worksheet that demonstrates how to mix two natural gas streams of known molar composition.  The two streams have different</t>
  </si>
  <si>
    <t>into one argument that can be passed to the REFPROP DLL.</t>
  </si>
  <si>
    <t>flow rates, temperatures, and pressures.  Inputs are in blue.  The cells in rows 21-23 are used to concatenate the fluid names and mole fractions</t>
  </si>
  <si>
    <t>(See also the "Mixture Example" worksheet for more examples.)</t>
  </si>
  <si>
    <t>Specific</t>
  </si>
  <si>
    <t>Heat Input</t>
  </si>
  <si>
    <t>Btu/lbm</t>
  </si>
  <si>
    <t>Air as a predefined mixture</t>
  </si>
  <si>
    <t>Air as a pseudo-pure fluid</t>
  </si>
  <si>
    <t xml:space="preserve">Bubble Point </t>
  </si>
  <si>
    <t>Dew Point</t>
  </si>
  <si>
    <t>Ammonia</t>
  </si>
  <si>
    <t>Water</t>
  </si>
  <si>
    <t>Temperature (K)</t>
  </si>
  <si>
    <t>Vapor phase (dew point) pressure</t>
  </si>
  <si>
    <t>Get the equilibrium phase composition</t>
  </si>
  <si>
    <t>Comparisons with calculations from the Refprop graphical interface will help ensure that calculated values are correct.</t>
  </si>
  <si>
    <t>(Note which cells are specified for the fluid string in these 8 calculations)</t>
  </si>
  <si>
    <t>and that the properties should be calculated directly from the equation of state (EOS) regardless of phase.</t>
  </si>
  <si>
    <t>NOTE:  The way quality is being defined for mixtures in the 2-phase has changed since the release of version 8.0.  If mass units are in effect for density, then the quality will be returned on a mass basis, i.e., kg/kg or lbm/lbm.  This now coincides with the definitions in the "REFPROP with Instructions and Help.xls" file from 8.0.</t>
  </si>
  <si>
    <t>Version Number:</t>
  </si>
  <si>
    <t>Fugacity</t>
  </si>
  <si>
    <t>8.01a</t>
  </si>
  <si>
    <t>methane</t>
  </si>
  <si>
    <t>ethane</t>
  </si>
  <si>
    <t>propane</t>
  </si>
  <si>
    <t>butane</t>
  </si>
  <si>
    <t>pentane</t>
  </si>
  <si>
    <t>Temp (K)</t>
  </si>
  <si>
    <t>(kg/m^3)</t>
  </si>
  <si>
    <t>If the two cells do not match after pressing Ctrl-Alt-F9, then you are not using the most recent VBA code.  All occurrences in .xlt or .xla files should be deleted and restored with the new code attached to this file.</t>
  </si>
  <si>
    <t xml:space="preserve">=Quality("R407C.mix";"PT";"mks";700;283,15) </t>
  </si>
  <si>
    <t>(Note the two different ways to make this string, the second is easiest)</t>
  </si>
  <si>
    <t>Example calculation when two states are possible for the given inputs:</t>
  </si>
  <si>
    <t>(Pressure and quality at the high density point)</t>
  </si>
  <si>
    <t>(Pressure and quality at the low density point)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</si>
</sst>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"/>
    <numFmt numFmtId="174" formatCode="0.0000"/>
    <numFmt numFmtId="175" formatCode="0.000"/>
    <numFmt numFmtId="176" formatCode="0.000E+00"/>
    <numFmt numFmtId="177" formatCode="0.0000E+00"/>
    <numFmt numFmtId="178" formatCode="#,##0.000"/>
    <numFmt numFmtId="179" formatCode="&quot;$&quot;#,##0;&quot;$&quot;\-#,##0"/>
    <numFmt numFmtId="180" formatCode="&quot;$&quot;#,##0;[Red]&quot;$&quot;\-#,##0"/>
    <numFmt numFmtId="181" formatCode="&quot;$&quot;#,##0.00;&quot;$&quot;\-#,##0.00"/>
    <numFmt numFmtId="182" formatCode="&quot;$&quot;#,##0.00;[Red]&quot;$&quot;\-#,##0.00"/>
    <numFmt numFmtId="183" formatCode="_ &quot;$&quot;* #,##0_ ;_ &quot;$&quot;* \-#,##0_ ;_ &quot;$&quot;* &quot;-&quot;_ ;_ @_ "/>
    <numFmt numFmtId="184" formatCode="_ * #,##0_ ;_ * \-#,##0_ ;_ * &quot;-&quot;_ ;_ @_ "/>
    <numFmt numFmtId="185" formatCode="_ &quot;$&quot;* #,##0.00_ ;_ &quot;$&quot;* \-#,##0.00_ ;_ &quot;$&quot;* &quot;-&quot;??_ ;_ @_ "/>
    <numFmt numFmtId="186" formatCode="_ * #,##0.00_ ;_ * \-#,##0.00_ ;_ * &quot;-&quot;??_ ;_ @_ "/>
    <numFmt numFmtId="187" formatCode="0.00000000"/>
    <numFmt numFmtId="188" formatCode="0.00000000E+00"/>
    <numFmt numFmtId="189" formatCode="0.0E+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7">
    <font>
      <sz val="10"/>
      <name val="Arial"/>
      <family val="0"/>
    </font>
    <font>
      <sz val="10"/>
      <name val="Courier"/>
      <family val="0"/>
    </font>
    <font>
      <sz val="9"/>
      <name val="Geneva"/>
      <family val="0"/>
    </font>
    <font>
      <sz val="10"/>
      <color indexed="8"/>
      <name val="Helv"/>
      <family val="0"/>
    </font>
    <font>
      <sz val="10"/>
      <color indexed="8"/>
      <name val="Courier"/>
      <family val="0"/>
    </font>
    <font>
      <sz val="10"/>
      <name val="Geneva"/>
      <family val="0"/>
    </font>
    <font>
      <sz val="10"/>
      <color indexed="63"/>
      <name val="Courier"/>
      <family val="0"/>
    </font>
    <font>
      <sz val="10"/>
      <color indexed="12"/>
      <name val="Helv"/>
      <family val="0"/>
    </font>
    <font>
      <sz val="10"/>
      <color indexed="18"/>
      <name val="Geneva"/>
      <family val="0"/>
    </font>
    <font>
      <sz val="10"/>
      <color indexed="18"/>
      <name val="Courier"/>
      <family val="0"/>
    </font>
    <font>
      <sz val="10"/>
      <color indexed="18"/>
      <name val="Helv"/>
      <family val="0"/>
    </font>
    <font>
      <b/>
      <sz val="10"/>
      <color indexed="8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12"/>
      <name val="Courier"/>
      <family val="3"/>
    </font>
    <font>
      <sz val="12"/>
      <name val="Arial"/>
      <family val="0"/>
    </font>
    <font>
      <b/>
      <sz val="14"/>
      <color indexed="8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0"/>
      <color indexed="8"/>
      <name val="Symbol"/>
      <family val="0"/>
    </font>
    <font>
      <sz val="10"/>
      <color indexed="12"/>
      <name val="Courier"/>
      <family val="0"/>
    </font>
    <font>
      <sz val="10"/>
      <name val="Tms Rmn"/>
      <family val="0"/>
    </font>
    <font>
      <sz val="10"/>
      <name val="Helvetica"/>
      <family val="2"/>
    </font>
    <font>
      <sz val="10"/>
      <color indexed="10"/>
      <name val="Symbol"/>
      <family val="0"/>
    </font>
    <font>
      <vertAlign val="subscript"/>
      <sz val="10"/>
      <color indexed="10"/>
      <name val="Courier"/>
      <family val="0"/>
    </font>
    <font>
      <sz val="10"/>
      <color indexed="12"/>
      <name val="Symbol"/>
      <family val="0"/>
    </font>
    <font>
      <vertAlign val="subscript"/>
      <sz val="10"/>
      <color indexed="12"/>
      <name val="Courier"/>
      <family val="0"/>
    </font>
    <font>
      <sz val="10"/>
      <name val="Symbol"/>
      <family val="1"/>
    </font>
    <font>
      <vertAlign val="subscript"/>
      <sz val="10"/>
      <name val="Helv"/>
      <family val="0"/>
    </font>
    <font>
      <vertAlign val="superscript"/>
      <sz val="10"/>
      <name val="Helv"/>
      <family val="0"/>
    </font>
    <font>
      <b/>
      <sz val="10"/>
      <name val="Arial"/>
      <family val="2"/>
    </font>
    <font>
      <b/>
      <sz val="10"/>
      <color indexed="12"/>
      <name val="Courier"/>
      <family val="3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Courier"/>
      <family val="3"/>
    </font>
    <font>
      <sz val="8"/>
      <name val="Tahoma"/>
      <family val="2"/>
    </font>
    <font>
      <sz val="10"/>
      <name val="Tahoma"/>
      <family val="0"/>
    </font>
    <font>
      <sz val="10"/>
      <color indexed="12"/>
      <name val="Arial"/>
      <family val="2"/>
    </font>
    <font>
      <b/>
      <sz val="10"/>
      <name val="Tahoma"/>
      <family val="0"/>
    </font>
    <font>
      <b/>
      <sz val="10"/>
      <color indexed="12"/>
      <name val="Tahoma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0"/>
    </font>
    <font>
      <b/>
      <sz val="10"/>
      <color indexed="9"/>
      <name val="Arial"/>
      <family val="2"/>
    </font>
    <font>
      <sz val="10"/>
      <color indexed="52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24" applyFont="1" applyFill="1">
      <alignment/>
      <protection/>
    </xf>
    <xf numFmtId="0" fontId="8" fillId="3" borderId="0" xfId="22" applyFont="1" applyFill="1">
      <alignment/>
      <protection/>
    </xf>
    <xf numFmtId="0" fontId="9" fillId="3" borderId="0" xfId="24" applyFont="1" applyFill="1">
      <alignment/>
      <protection/>
    </xf>
    <xf numFmtId="0" fontId="10" fillId="3" borderId="0" xfId="22" applyFont="1" applyFill="1">
      <alignment/>
      <protection/>
    </xf>
    <xf numFmtId="0" fontId="4" fillId="2" borderId="0" xfId="24" applyFont="1" applyFill="1">
      <alignment/>
      <protection/>
    </xf>
    <xf numFmtId="0" fontId="3" fillId="2" borderId="0" xfId="22" applyFont="1" applyFill="1" applyAlignment="1">
      <alignment horizontal="right"/>
      <protection/>
    </xf>
    <xf numFmtId="0" fontId="3" fillId="2" borderId="0" xfId="23" applyFont="1" applyFill="1" applyAlignment="1">
      <alignment horizontal="center"/>
      <protection/>
    </xf>
    <xf numFmtId="0" fontId="3" fillId="2" borderId="0" xfId="23" applyFont="1" applyFill="1">
      <alignment/>
      <protection/>
    </xf>
    <xf numFmtId="0" fontId="3" fillId="2" borderId="0" xfId="23" applyFont="1" applyFill="1" applyAlignment="1">
      <alignment horizontal="centerContinuous"/>
      <protection/>
    </xf>
    <xf numFmtId="0" fontId="4" fillId="2" borderId="0" xfId="24" applyFont="1" applyFill="1" applyAlignment="1">
      <alignment horizontal="centerContinuous"/>
      <protection/>
    </xf>
    <xf numFmtId="0" fontId="11" fillId="2" borderId="0" xfId="23" applyFont="1" applyFill="1">
      <alignment/>
      <protection/>
    </xf>
    <xf numFmtId="0" fontId="9" fillId="2" borderId="0" xfId="24" applyFont="1" applyFill="1">
      <alignment/>
      <protection/>
    </xf>
    <xf numFmtId="0" fontId="3" fillId="2" borderId="0" xfId="23" applyFont="1" applyFill="1" applyAlignment="1">
      <alignment horizontal="left"/>
      <protection/>
    </xf>
    <xf numFmtId="0" fontId="12" fillId="2" borderId="0" xfId="20" applyFill="1" applyAlignment="1">
      <alignment horizontal="left"/>
    </xf>
    <xf numFmtId="0" fontId="3" fillId="2" borderId="0" xfId="24" applyFont="1" applyFill="1" applyAlignment="1">
      <alignment horizontal="left"/>
      <protection/>
    </xf>
    <xf numFmtId="0" fontId="4" fillId="2" borderId="0" xfId="22" applyFont="1" applyFill="1" applyAlignment="1" quotePrefix="1">
      <alignment horizontal="left"/>
      <protection/>
    </xf>
    <xf numFmtId="0" fontId="3" fillId="2" borderId="0" xfId="22" applyFont="1" applyFill="1" applyAlignment="1">
      <alignment horizontal="left"/>
      <protection/>
    </xf>
    <xf numFmtId="0" fontId="4" fillId="2" borderId="0" xfId="24" applyFont="1" applyFill="1" applyAlignment="1">
      <alignment horizontal="left"/>
      <protection/>
    </xf>
    <xf numFmtId="0" fontId="9" fillId="2" borderId="0" xfId="24" applyFont="1" applyFill="1" applyAlignment="1">
      <alignment horizontal="left"/>
      <protection/>
    </xf>
    <xf numFmtId="0" fontId="8" fillId="2" borderId="0" xfId="22" applyFont="1" applyFill="1" applyAlignment="1">
      <alignment horizontal="left"/>
      <protection/>
    </xf>
    <xf numFmtId="0" fontId="8" fillId="3" borderId="0" xfId="22" applyFont="1" applyFill="1" applyBorder="1">
      <alignment/>
      <protection/>
    </xf>
    <xf numFmtId="0" fontId="11" fillId="2" borderId="0" xfId="22" applyFont="1" applyFill="1" applyAlignment="1">
      <alignment horizontal="left"/>
      <protection/>
    </xf>
    <xf numFmtId="0" fontId="8" fillId="2" borderId="0" xfId="22" applyFont="1" applyFill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2" borderId="0" xfId="22" applyFont="1" applyFill="1" applyAlignment="1">
      <alignment horizontal="left"/>
      <protection/>
    </xf>
    <xf numFmtId="0" fontId="18" fillId="4" borderId="0" xfId="0" applyFont="1" applyFill="1" applyAlignment="1">
      <alignment/>
    </xf>
    <xf numFmtId="0" fontId="0" fillId="0" borderId="0" xfId="0" applyFont="1" applyAlignment="1">
      <alignment/>
    </xf>
    <xf numFmtId="0" fontId="19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18" fillId="4" borderId="0" xfId="0" applyFont="1" applyFill="1" applyAlignment="1">
      <alignment horizontal="right"/>
    </xf>
    <xf numFmtId="0" fontId="7" fillId="4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18" fillId="4" borderId="0" xfId="0" applyFont="1" applyFill="1" applyAlignment="1">
      <alignment horizontal="center"/>
    </xf>
    <xf numFmtId="172" fontId="20" fillId="5" borderId="0" xfId="21" applyNumberFormat="1" applyFont="1" applyFill="1" applyAlignment="1">
      <alignment horizontal="center"/>
      <protection/>
    </xf>
    <xf numFmtId="0" fontId="19" fillId="4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22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right"/>
    </xf>
    <xf numFmtId="0" fontId="23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172" fontId="24" fillId="5" borderId="0" xfId="21" applyNumberFormat="1" applyFont="1" applyFill="1" applyAlignment="1">
      <alignment horizontal="center"/>
      <protection/>
    </xf>
    <xf numFmtId="172" fontId="26" fillId="5" borderId="0" xfId="21" applyNumberFormat="1" applyFont="1" applyFill="1" applyAlignment="1">
      <alignment horizontal="center"/>
      <protection/>
    </xf>
    <xf numFmtId="172" fontId="28" fillId="5" borderId="0" xfId="21" applyNumberFormat="1" applyFont="1" applyFill="1" applyAlignment="1">
      <alignment horizontal="center"/>
      <protection/>
    </xf>
    <xf numFmtId="2" fontId="18" fillId="5" borderId="0" xfId="21" applyNumberFormat="1" applyFont="1" applyFill="1" applyAlignment="1">
      <alignment horizontal="center"/>
      <protection/>
    </xf>
    <xf numFmtId="0" fontId="1" fillId="0" borderId="0" xfId="0" applyFont="1" applyAlignment="1">
      <alignment/>
    </xf>
    <xf numFmtId="2" fontId="0" fillId="4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18" fillId="0" borderId="0" xfId="0" applyFont="1" applyFill="1" applyAlignment="1">
      <alignment/>
    </xf>
    <xf numFmtId="0" fontId="7" fillId="4" borderId="0" xfId="0" applyFont="1" applyFill="1" applyAlignment="1">
      <alignment/>
    </xf>
    <xf numFmtId="173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/>
    </xf>
    <xf numFmtId="0" fontId="0" fillId="4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right"/>
    </xf>
    <xf numFmtId="0" fontId="7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20" fillId="5" borderId="0" xfId="21" applyNumberFormat="1" applyFont="1" applyFill="1" applyAlignment="1">
      <alignment horizontal="left"/>
      <protection/>
    </xf>
    <xf numFmtId="174" fontId="1" fillId="0" borderId="0" xfId="0" applyNumberFormat="1" applyFont="1" applyAlignment="1">
      <alignment horizontal="center"/>
    </xf>
    <xf numFmtId="174" fontId="1" fillId="4" borderId="0" xfId="0" applyNumberFormat="1" applyFont="1" applyFill="1" applyAlignment="1">
      <alignment horizontal="center"/>
    </xf>
    <xf numFmtId="0" fontId="31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172" fontId="0" fillId="5" borderId="0" xfId="21" applyNumberFormat="1" applyFont="1" applyFill="1" applyAlignment="1">
      <alignment horizontal="center"/>
      <protection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72" fontId="28" fillId="5" borderId="0" xfId="21" applyNumberFormat="1" applyFont="1" applyFill="1" applyAlignment="1">
      <alignment horizontal="left"/>
      <protection/>
    </xf>
    <xf numFmtId="0" fontId="7" fillId="4" borderId="0" xfId="0" applyFont="1" applyFill="1" applyAlignment="1">
      <alignment horizontal="right"/>
    </xf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1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173" fontId="15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/>
    </xf>
    <xf numFmtId="175" fontId="1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0" fillId="2" borderId="0" xfId="22" applyFont="1" applyFill="1">
      <alignment/>
      <protection/>
    </xf>
    <xf numFmtId="0" fontId="34" fillId="2" borderId="0" xfId="0" applyFont="1" applyFill="1" applyAlignment="1">
      <alignment/>
    </xf>
    <xf numFmtId="0" fontId="35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0" fontId="32" fillId="0" borderId="0" xfId="0" applyFont="1" applyAlignment="1">
      <alignment/>
    </xf>
    <xf numFmtId="2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4" fontId="35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17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4" borderId="0" xfId="0" applyFill="1" applyAlignment="1">
      <alignment/>
    </xf>
    <xf numFmtId="0" fontId="0" fillId="4" borderId="2" xfId="0" applyFont="1" applyFill="1" applyBorder="1" applyAlignment="1">
      <alignment/>
    </xf>
    <xf numFmtId="0" fontId="33" fillId="2" borderId="0" xfId="0" applyFont="1" applyFill="1" applyAlignment="1">
      <alignment/>
    </xf>
    <xf numFmtId="2" fontId="0" fillId="4" borderId="0" xfId="0" applyNumberFormat="1" applyFill="1" applyAlignment="1">
      <alignment/>
    </xf>
    <xf numFmtId="0" fontId="38" fillId="0" borderId="0" xfId="0" applyFont="1" applyFill="1" applyAlignment="1">
      <alignment/>
    </xf>
    <xf numFmtId="0" fontId="41" fillId="4" borderId="0" xfId="0" applyFont="1" applyFill="1" applyAlignment="1">
      <alignment horizontal="left"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16" fillId="4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43" fillId="0" borderId="5" xfId="0" applyFont="1" applyBorder="1" applyAlignment="1">
      <alignment/>
    </xf>
    <xf numFmtId="0" fontId="43" fillId="0" borderId="6" xfId="0" applyFont="1" applyBorder="1" applyAlignment="1">
      <alignment/>
    </xf>
    <xf numFmtId="0" fontId="44" fillId="6" borderId="0" xfId="0" applyFont="1" applyFill="1" applyAlignment="1">
      <alignment/>
    </xf>
    <xf numFmtId="0" fontId="0" fillId="4" borderId="0" xfId="0" applyFill="1" applyAlignment="1">
      <alignment horizontal="right"/>
    </xf>
    <xf numFmtId="0" fontId="33" fillId="0" borderId="0" xfId="0" applyFont="1" applyAlignment="1">
      <alignment/>
    </xf>
    <xf numFmtId="0" fontId="0" fillId="7" borderId="0" xfId="0" applyFill="1" applyAlignment="1">
      <alignment/>
    </xf>
    <xf numFmtId="0" fontId="33" fillId="7" borderId="0" xfId="0" applyFont="1" applyFill="1" applyAlignment="1">
      <alignment/>
    </xf>
    <xf numFmtId="0" fontId="45" fillId="0" borderId="0" xfId="0" applyFont="1" applyAlignment="1">
      <alignment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45" fillId="2" borderId="0" xfId="0" applyFont="1" applyFill="1" applyAlignment="1">
      <alignment horizontal="left" vertical="center"/>
    </xf>
    <xf numFmtId="0" fontId="1" fillId="0" borderId="0" xfId="0" applyNumberFormat="1" applyFont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4" borderId="0" xfId="0" applyFont="1" applyFill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V R23" xfId="21"/>
    <cellStyle name="Normal_Summary" xfId="22"/>
    <cellStyle name="Normal_Summary_1" xfId="23"/>
    <cellStyle name="Normal_Summary_DV 1,1,6-trimethyl heptanol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3</xdr:row>
      <xdr:rowOff>114300</xdr:rowOff>
    </xdr:from>
    <xdr:to>
      <xdr:col>4</xdr:col>
      <xdr:colOff>2219325</xdr:colOff>
      <xdr:row>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600075"/>
          <a:ext cx="1495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3</xdr:row>
      <xdr:rowOff>152400</xdr:rowOff>
    </xdr:from>
    <xdr:to>
      <xdr:col>2</xdr:col>
      <xdr:colOff>2381250</xdr:colOff>
      <xdr:row>8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638175"/>
          <a:ext cx="1514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ulder.nist.gov/div838/theory.html" TargetMode="External" /><Relationship Id="rId2" Type="http://schemas.openxmlformats.org/officeDocument/2006/relationships/hyperlink" Target="mailto:EricL@Boulder.NIST.Gov" TargetMode="External" /><Relationship Id="rId3" Type="http://schemas.openxmlformats.org/officeDocument/2006/relationships/hyperlink" Target="http://fluidproperties.nist.gov/" TargetMode="External" /><Relationship Id="rId4" Type="http://schemas.openxmlformats.org/officeDocument/2006/relationships/hyperlink" Target="mailto:MarkM@Boulder.NIST.Gov" TargetMode="External" /><Relationship Id="rId5" Type="http://schemas.openxmlformats.org/officeDocument/2006/relationships/hyperlink" Target="http://www.boulder.nist.gov/div838/theory.html" TargetMode="External" /><Relationship Id="rId6" Type="http://schemas.openxmlformats.org/officeDocument/2006/relationships/hyperlink" Target="mailto:Huber@Boulder.NIST.Gov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G39"/>
  <sheetViews>
    <sheetView showRowColHeaders="0" workbookViewId="0" topLeftCell="A1">
      <selection activeCell="A1" sqref="A1"/>
    </sheetView>
  </sheetViews>
  <sheetFormatPr defaultColWidth="9.140625" defaultRowHeight="12.75"/>
  <cols>
    <col min="1" max="1" width="1.1484375" style="8" customWidth="1"/>
    <col min="2" max="2" width="11.57421875" style="8" customWidth="1"/>
    <col min="3" max="3" width="46.8515625" style="8" customWidth="1"/>
    <col min="4" max="4" width="9.8515625" style="8" customWidth="1"/>
    <col min="5" max="5" width="40.421875" style="8" customWidth="1"/>
    <col min="6" max="6" width="14.8515625" style="8" customWidth="1"/>
    <col min="7" max="16384" width="10.8515625" style="8" customWidth="1"/>
  </cols>
  <sheetData>
    <row r="1" ht="6" customHeight="1"/>
    <row r="2" spans="2:6" s="9" customFormat="1" ht="12.75">
      <c r="B2" s="11"/>
      <c r="C2" s="13"/>
      <c r="D2" s="14"/>
      <c r="E2" s="14"/>
      <c r="F2" s="11"/>
    </row>
    <row r="3" spans="2:6" s="9" customFormat="1" ht="19.5">
      <c r="B3" s="32" t="s">
        <v>46</v>
      </c>
      <c r="C3" s="15"/>
      <c r="D3" s="15"/>
      <c r="E3" s="15"/>
      <c r="F3" s="16"/>
    </row>
    <row r="4" spans="2:6" s="9" customFormat="1" ht="13.5" customHeight="1">
      <c r="B4" s="7"/>
      <c r="C4" s="13"/>
      <c r="D4" s="14"/>
      <c r="E4" s="14"/>
      <c r="F4" s="11"/>
    </row>
    <row r="5" spans="2:6" s="9" customFormat="1" ht="13.5" customHeight="1">
      <c r="B5" s="7"/>
      <c r="C5" s="13"/>
      <c r="D5" s="14"/>
      <c r="E5" s="14"/>
      <c r="F5" s="11"/>
    </row>
    <row r="6" spans="2:6" s="9" customFormat="1" ht="13.5" customHeight="1">
      <c r="B6" s="7"/>
      <c r="C6" s="13"/>
      <c r="D6" s="14"/>
      <c r="E6" s="14"/>
      <c r="F6" s="11"/>
    </row>
    <row r="7" spans="2:6" s="9" customFormat="1" ht="13.5" customHeight="1">
      <c r="B7" s="17"/>
      <c r="C7" s="13"/>
      <c r="D7" s="18"/>
      <c r="E7" s="18"/>
      <c r="F7" s="18"/>
    </row>
    <row r="8" spans="2:6" s="9" customFormat="1" ht="13.5" customHeight="1">
      <c r="B8" s="23"/>
      <c r="C8" s="19"/>
      <c r="D8" s="25"/>
      <c r="E8" s="25"/>
      <c r="F8" s="25"/>
    </row>
    <row r="9" spans="2:6" s="9" customFormat="1" ht="13.5" customHeight="1">
      <c r="B9" s="24"/>
      <c r="C9" s="19"/>
      <c r="D9" s="25"/>
      <c r="E9" s="25"/>
      <c r="F9" s="25"/>
    </row>
    <row r="10" spans="2:6" s="9" customFormat="1" ht="13.5" customHeight="1">
      <c r="B10" s="24"/>
      <c r="C10" s="20" t="s">
        <v>47</v>
      </c>
      <c r="D10" s="24"/>
      <c r="E10" s="20" t="s">
        <v>48</v>
      </c>
      <c r="F10" s="24"/>
    </row>
    <row r="11" spans="2:7" ht="12.75">
      <c r="B11" s="24"/>
      <c r="C11" s="21" t="s">
        <v>25</v>
      </c>
      <c r="D11" s="24"/>
      <c r="E11" s="21" t="s">
        <v>25</v>
      </c>
      <c r="F11" s="24"/>
      <c r="G11" s="10"/>
    </row>
    <row r="12" spans="2:7" ht="12.75">
      <c r="B12" s="24"/>
      <c r="C12" s="21" t="s">
        <v>37</v>
      </c>
      <c r="D12" s="24"/>
      <c r="E12" s="21" t="s">
        <v>26</v>
      </c>
      <c r="F12" s="24"/>
      <c r="G12" s="10"/>
    </row>
    <row r="13" spans="2:7" ht="12.75">
      <c r="B13" s="24"/>
      <c r="C13" s="21" t="s">
        <v>27</v>
      </c>
      <c r="D13" s="24"/>
      <c r="E13" s="21" t="s">
        <v>27</v>
      </c>
      <c r="F13" s="24"/>
      <c r="G13" s="10"/>
    </row>
    <row r="14" spans="2:7" ht="12.75">
      <c r="B14" s="24"/>
      <c r="C14" s="21" t="s">
        <v>39</v>
      </c>
      <c r="D14" s="24"/>
      <c r="E14" s="21" t="s">
        <v>39</v>
      </c>
      <c r="F14" s="24"/>
      <c r="G14" s="10"/>
    </row>
    <row r="15" spans="2:7" ht="12.75">
      <c r="B15" s="12" t="s">
        <v>30</v>
      </c>
      <c r="C15" s="22" t="s">
        <v>33</v>
      </c>
      <c r="D15" s="12" t="s">
        <v>30</v>
      </c>
      <c r="E15" s="22" t="s">
        <v>38</v>
      </c>
      <c r="F15" s="12"/>
      <c r="G15" s="10"/>
    </row>
    <row r="16" spans="2:7" ht="12.75">
      <c r="B16" s="12" t="s">
        <v>31</v>
      </c>
      <c r="C16" s="22" t="s">
        <v>32</v>
      </c>
      <c r="D16" s="12" t="s">
        <v>31</v>
      </c>
      <c r="E16" s="22" t="s">
        <v>32</v>
      </c>
      <c r="F16" s="12"/>
      <c r="G16" s="10"/>
    </row>
    <row r="17" spans="2:7" ht="12.75">
      <c r="B17" s="12" t="s">
        <v>29</v>
      </c>
      <c r="C17" s="20" t="s">
        <v>40</v>
      </c>
      <c r="D17" s="12" t="s">
        <v>29</v>
      </c>
      <c r="E17" s="20" t="s">
        <v>28</v>
      </c>
      <c r="F17" s="12"/>
      <c r="G17" s="10"/>
    </row>
    <row r="18" spans="1:7" ht="12.75">
      <c r="A18" s="27"/>
      <c r="B18" s="26"/>
      <c r="C18" s="23"/>
      <c r="D18" s="23"/>
      <c r="E18" s="23"/>
      <c r="F18" s="29"/>
      <c r="G18" s="10"/>
    </row>
    <row r="19" spans="2:7" ht="12.75">
      <c r="B19" s="23"/>
      <c r="C19" s="23"/>
      <c r="D19" s="23"/>
      <c r="E19" s="28"/>
      <c r="F19" s="29"/>
      <c r="G19" s="10"/>
    </row>
    <row r="20" spans="2:7" ht="12.75">
      <c r="B20" s="24"/>
      <c r="C20" s="20" t="s">
        <v>178</v>
      </c>
      <c r="D20" s="23"/>
      <c r="E20" s="23"/>
      <c r="F20" s="29"/>
      <c r="G20" s="10"/>
    </row>
    <row r="21" spans="2:7" ht="12.75">
      <c r="B21" s="24"/>
      <c r="C21" s="21" t="s">
        <v>25</v>
      </c>
      <c r="D21" s="103"/>
      <c r="E21" s="103"/>
      <c r="F21" s="29"/>
      <c r="G21" s="10"/>
    </row>
    <row r="22" spans="2:7" ht="12.75">
      <c r="B22" s="24"/>
      <c r="C22" s="21" t="s">
        <v>37</v>
      </c>
      <c r="D22" s="103"/>
      <c r="E22" s="103"/>
      <c r="F22" s="103"/>
      <c r="G22" s="10"/>
    </row>
    <row r="23" spans="2:7" ht="12.75">
      <c r="B23" s="24"/>
      <c r="C23" s="21" t="s">
        <v>27</v>
      </c>
      <c r="D23" s="103"/>
      <c r="E23" s="103"/>
      <c r="F23" s="103"/>
      <c r="G23" s="10"/>
    </row>
    <row r="24" spans="2:7" ht="12.75">
      <c r="B24" s="24"/>
      <c r="C24" s="21" t="s">
        <v>39</v>
      </c>
      <c r="D24" s="103"/>
      <c r="E24" s="103"/>
      <c r="F24" s="103"/>
      <c r="G24" s="10"/>
    </row>
    <row r="25" spans="2:7" ht="12.75">
      <c r="B25" s="12" t="s">
        <v>30</v>
      </c>
      <c r="C25" s="22" t="s">
        <v>179</v>
      </c>
      <c r="D25" s="103"/>
      <c r="E25" s="103"/>
      <c r="F25" s="103"/>
      <c r="G25" s="10"/>
    </row>
    <row r="26" spans="2:7" ht="12.75">
      <c r="B26" s="12" t="s">
        <v>31</v>
      </c>
      <c r="C26" s="22" t="s">
        <v>32</v>
      </c>
      <c r="D26" s="103"/>
      <c r="E26" s="103"/>
      <c r="F26" s="103"/>
      <c r="G26" s="10"/>
    </row>
    <row r="27" spans="2:7" ht="12.75">
      <c r="B27" s="12" t="s">
        <v>29</v>
      </c>
      <c r="C27" s="20" t="s">
        <v>40</v>
      </c>
      <c r="D27" s="103"/>
      <c r="E27" s="103"/>
      <c r="F27" s="103"/>
      <c r="G27" s="10"/>
    </row>
    <row r="28" spans="2:7" ht="12.75">
      <c r="B28" s="103"/>
      <c r="C28" s="103"/>
      <c r="D28" s="103"/>
      <c r="E28" s="103"/>
      <c r="F28" s="103"/>
      <c r="G28" s="10"/>
    </row>
    <row r="29" spans="2:7" ht="12.75">
      <c r="B29" s="103"/>
      <c r="C29" s="103"/>
      <c r="D29" s="103"/>
      <c r="E29" s="103"/>
      <c r="F29" s="103"/>
      <c r="G29" s="10"/>
    </row>
    <row r="30" spans="2:7" ht="12.75">
      <c r="B30" s="103"/>
      <c r="C30" s="103"/>
      <c r="D30" s="103"/>
      <c r="E30" s="103"/>
      <c r="F30" s="103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ht="12.75">
      <c r="G39" s="10"/>
    </row>
  </sheetData>
  <hyperlinks>
    <hyperlink ref="C17" r:id="rId1" display="http://www.boulder.nist.gov/div838/theory.html"/>
    <hyperlink ref="C10" r:id="rId2" display="Dr. Eric W. Lemmon"/>
    <hyperlink ref="E17" r:id="rId3" display="http://fluidproperties.nist.gov/"/>
    <hyperlink ref="E10" r:id="rId4" display="Dr. Mark O. McLinden"/>
    <hyperlink ref="C27" r:id="rId5" display="http://www.boulder.nist.gov/div838/theory.html"/>
    <hyperlink ref="C20" r:id="rId6" display="Dr. Marcia L. Huber"/>
  </hyperlinks>
  <printOptions/>
  <pageMargins left="0.75" right="0.75" top="1" bottom="1" header="0.5" footer="0.5"/>
  <pageSetup fitToHeight="1" fitToWidth="1" orientation="landscape" scale="91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Z128"/>
  <sheetViews>
    <sheetView tabSelected="1" workbookViewId="0" topLeftCell="G29">
      <selection activeCell="J33" sqref="J33"/>
    </sheetView>
  </sheetViews>
  <sheetFormatPr defaultColWidth="9.140625" defaultRowHeight="12.75"/>
  <cols>
    <col min="1" max="1" width="15.28125" style="0" customWidth="1"/>
    <col min="2" max="2" width="13.421875" style="0" customWidth="1"/>
    <col min="3" max="4" width="12.57421875" style="0" customWidth="1"/>
    <col min="5" max="5" width="13.28125" style="0" customWidth="1"/>
    <col min="6" max="6" width="13.8515625" style="0" customWidth="1"/>
    <col min="7" max="7" width="15.140625" style="0" customWidth="1"/>
    <col min="8" max="8" width="13.28125" style="0" customWidth="1"/>
    <col min="9" max="9" width="13.57421875" style="0" customWidth="1"/>
    <col min="10" max="14" width="12.57421875" style="0" customWidth="1"/>
    <col min="15" max="15" width="11.421875" style="0" customWidth="1"/>
    <col min="16" max="16" width="10.8515625" style="0" customWidth="1"/>
    <col min="17" max="16384" width="8.8515625" style="0" customWidth="1"/>
  </cols>
  <sheetData>
    <row r="1" spans="1:26" ht="22.5" customHeight="1">
      <c r="A1" s="160" t="s">
        <v>245</v>
      </c>
      <c r="B1" s="161" t="str">
        <f>RefpropXLSVersionNumber()</f>
        <v>8.01a</v>
      </c>
      <c r="C1" s="162" t="s">
        <v>247</v>
      </c>
      <c r="D1" s="163" t="s">
        <v>255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12.75">
      <c r="A2" s="125" t="s">
        <v>140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31"/>
      <c r="P2" s="131"/>
      <c r="Q2" s="131"/>
      <c r="R2" s="131"/>
      <c r="S2" s="131"/>
      <c r="T2" s="133"/>
      <c r="U2" s="133"/>
      <c r="V2" s="133"/>
      <c r="W2" s="133"/>
      <c r="X2" s="133"/>
      <c r="Y2" s="133"/>
      <c r="Z2" s="133"/>
    </row>
    <row r="3" spans="1:26" ht="12.75">
      <c r="A3" s="131" t="s">
        <v>169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131"/>
      <c r="P3" s="131"/>
      <c r="Q3" s="131"/>
      <c r="R3" s="131"/>
      <c r="S3" s="131"/>
      <c r="T3" s="133"/>
      <c r="U3" s="133"/>
      <c r="V3" s="133"/>
      <c r="W3" s="133"/>
      <c r="X3" s="133"/>
      <c r="Y3" s="133"/>
      <c r="Z3" s="133"/>
    </row>
    <row r="4" spans="1:26" ht="12.75">
      <c r="A4" s="84" t="s">
        <v>79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31"/>
      <c r="P4" s="131"/>
      <c r="Q4" s="131"/>
      <c r="R4" s="131"/>
      <c r="S4" s="131"/>
      <c r="T4" s="133"/>
      <c r="U4" s="133"/>
      <c r="V4" s="133"/>
      <c r="W4" s="133"/>
      <c r="X4" s="133"/>
      <c r="Y4" s="133"/>
      <c r="Z4" s="133"/>
    </row>
    <row r="5" spans="1:26" ht="12.75">
      <c r="A5" s="85" t="s">
        <v>139</v>
      </c>
      <c r="B5" s="85"/>
      <c r="C5" s="85"/>
      <c r="D5" s="104"/>
      <c r="E5" s="85"/>
      <c r="F5" s="85"/>
      <c r="G5" s="85"/>
      <c r="H5" s="85"/>
      <c r="I5" s="85"/>
      <c r="J5" s="85"/>
      <c r="K5" s="85"/>
      <c r="L5" s="85"/>
      <c r="M5" s="85"/>
      <c r="N5" s="85"/>
      <c r="O5" s="131"/>
      <c r="P5" s="131"/>
      <c r="Q5" s="131"/>
      <c r="R5" s="131"/>
      <c r="S5" s="131"/>
      <c r="T5" s="133"/>
      <c r="U5" s="133"/>
      <c r="V5" s="133"/>
      <c r="W5" s="133"/>
      <c r="X5" s="133"/>
      <c r="Y5" s="133"/>
      <c r="Z5" s="133"/>
    </row>
    <row r="6" spans="1:26" ht="12.75">
      <c r="A6" s="85" t="s">
        <v>167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131"/>
      <c r="P6" s="131"/>
      <c r="Q6" s="131"/>
      <c r="R6" s="131"/>
      <c r="S6" s="131"/>
      <c r="T6" s="133"/>
      <c r="U6" s="133"/>
      <c r="V6" s="133"/>
      <c r="W6" s="133"/>
      <c r="X6" s="133"/>
      <c r="Y6" s="133"/>
      <c r="Z6" s="133"/>
    </row>
    <row r="7" spans="1:26" ht="12.75">
      <c r="A7" s="85" t="s">
        <v>163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131"/>
      <c r="P7" s="131"/>
      <c r="Q7" s="131"/>
      <c r="R7" s="131"/>
      <c r="S7" s="131"/>
      <c r="T7" s="133"/>
      <c r="U7" s="133"/>
      <c r="V7" s="133"/>
      <c r="W7" s="133"/>
      <c r="X7" s="133"/>
      <c r="Y7" s="133"/>
      <c r="Z7" s="133"/>
    </row>
    <row r="8" spans="1:26" ht="12.75">
      <c r="A8" s="85" t="s">
        <v>197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131"/>
      <c r="P8" s="131"/>
      <c r="Q8" s="131"/>
      <c r="R8" s="131"/>
      <c r="S8" s="131"/>
      <c r="T8" s="133"/>
      <c r="U8" s="133"/>
      <c r="V8" s="133"/>
      <c r="W8" s="133"/>
      <c r="X8" s="133"/>
      <c r="Y8" s="133"/>
      <c r="Z8" s="133"/>
    </row>
    <row r="9" spans="1:26" ht="12.75">
      <c r="A9" s="85" t="s">
        <v>180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31"/>
      <c r="P9" s="131"/>
      <c r="Q9" s="131"/>
      <c r="R9" s="131"/>
      <c r="S9" s="131"/>
      <c r="T9" s="133"/>
      <c r="U9" s="133"/>
      <c r="V9" s="133"/>
      <c r="W9" s="133"/>
      <c r="X9" s="133"/>
      <c r="Y9" s="133"/>
      <c r="Z9" s="133"/>
    </row>
    <row r="10" spans="1:26" ht="12.75">
      <c r="A10" s="85" t="s">
        <v>181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131"/>
      <c r="P10" s="131"/>
      <c r="Q10" s="131"/>
      <c r="R10" s="131"/>
      <c r="S10" s="131"/>
      <c r="T10" s="133"/>
      <c r="U10" s="133"/>
      <c r="V10" s="133"/>
      <c r="W10" s="133"/>
      <c r="X10" s="133"/>
      <c r="Y10" s="133"/>
      <c r="Z10" s="133"/>
    </row>
    <row r="11" spans="1:26" ht="12.75">
      <c r="A11" s="85" t="s">
        <v>141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131"/>
      <c r="P11" s="131"/>
      <c r="Q11" s="131"/>
      <c r="R11" s="131"/>
      <c r="S11" s="131"/>
      <c r="T11" s="133"/>
      <c r="U11" s="133"/>
      <c r="V11" s="133"/>
      <c r="W11" s="133"/>
      <c r="X11" s="133"/>
      <c r="Y11" s="133"/>
      <c r="Z11" s="133"/>
    </row>
    <row r="12" spans="1:26" ht="12.75">
      <c r="A12" s="85" t="s">
        <v>142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131"/>
      <c r="P12" s="131"/>
      <c r="Q12" s="131"/>
      <c r="R12" s="131"/>
      <c r="S12" s="131"/>
      <c r="T12" s="133"/>
      <c r="U12" s="133"/>
      <c r="V12" s="133"/>
      <c r="W12" s="133"/>
      <c r="X12" s="133"/>
      <c r="Y12" s="133"/>
      <c r="Z12" s="133"/>
    </row>
    <row r="13" spans="1:26" ht="12.75">
      <c r="A13" s="85" t="s">
        <v>98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131"/>
      <c r="P13" s="131"/>
      <c r="Q13" s="131"/>
      <c r="R13" s="131"/>
      <c r="S13" s="131"/>
      <c r="T13" s="133"/>
      <c r="U13" s="133"/>
      <c r="V13" s="133"/>
      <c r="W13" s="133"/>
      <c r="X13" s="133"/>
      <c r="Y13" s="133"/>
      <c r="Z13" s="133"/>
    </row>
    <row r="14" spans="1:26" ht="12.75">
      <c r="A14" s="85" t="s">
        <v>168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131"/>
      <c r="P14" s="131"/>
      <c r="Q14" s="131"/>
      <c r="R14" s="131"/>
      <c r="S14" s="131"/>
      <c r="T14" s="133"/>
      <c r="U14" s="133"/>
      <c r="V14" s="133"/>
      <c r="W14" s="133"/>
      <c r="X14" s="133"/>
      <c r="Y14" s="133"/>
      <c r="Z14" s="133"/>
    </row>
    <row r="15" spans="1:26" ht="12.75">
      <c r="A15" s="85" t="s">
        <v>183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131"/>
      <c r="P15" s="131"/>
      <c r="Q15" s="131"/>
      <c r="R15" s="131"/>
      <c r="S15" s="131"/>
      <c r="T15" s="133"/>
      <c r="U15" s="133"/>
      <c r="V15" s="133"/>
      <c r="W15" s="133"/>
      <c r="X15" s="133"/>
      <c r="Y15" s="133"/>
      <c r="Z15" s="133"/>
    </row>
    <row r="16" spans="1:26" ht="12.75">
      <c r="A16" s="85" t="s">
        <v>184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31"/>
      <c r="P16" s="131"/>
      <c r="Q16" s="131"/>
      <c r="R16" s="131"/>
      <c r="S16" s="131"/>
      <c r="T16" s="133"/>
      <c r="U16" s="133"/>
      <c r="V16" s="133"/>
      <c r="W16" s="133"/>
      <c r="X16" s="133"/>
      <c r="Y16" s="133"/>
      <c r="Z16" s="133"/>
    </row>
    <row r="17" spans="1:26" ht="12.75">
      <c r="A17" s="125" t="s">
        <v>170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31"/>
      <c r="P17" s="131"/>
      <c r="Q17" s="131"/>
      <c r="R17" s="131"/>
      <c r="S17" s="131"/>
      <c r="T17" s="133"/>
      <c r="U17" s="133"/>
      <c r="V17" s="133"/>
      <c r="W17" s="133"/>
      <c r="X17" s="133"/>
      <c r="Y17" s="133"/>
      <c r="Z17" s="133"/>
    </row>
    <row r="18" spans="1:26" ht="12.75">
      <c r="A18" s="125" t="s">
        <v>244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31"/>
      <c r="P18" s="131"/>
      <c r="Q18" s="131"/>
      <c r="R18" s="131"/>
      <c r="S18" s="131"/>
      <c r="T18" s="133"/>
      <c r="U18" s="133"/>
      <c r="V18" s="133"/>
      <c r="W18" s="133"/>
      <c r="X18" s="133"/>
      <c r="Y18" s="133"/>
      <c r="Z18" s="133"/>
    </row>
    <row r="19" spans="1:26" ht="12.75">
      <c r="A19" s="131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31"/>
      <c r="P19" s="131"/>
      <c r="Q19" s="131"/>
      <c r="R19" s="131"/>
      <c r="S19" s="131"/>
      <c r="T19" s="133"/>
      <c r="U19" s="133"/>
      <c r="V19" s="133"/>
      <c r="W19" s="133"/>
      <c r="X19" s="133"/>
      <c r="Y19" s="133"/>
      <c r="Z19" s="133"/>
    </row>
    <row r="20" spans="1:26" ht="12.75">
      <c r="A20" s="85" t="s">
        <v>171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131"/>
      <c r="P20" s="131"/>
      <c r="Q20" s="131"/>
      <c r="R20" s="131"/>
      <c r="S20" s="131"/>
      <c r="T20" s="133"/>
      <c r="U20" s="133"/>
      <c r="V20" s="133"/>
      <c r="W20" s="133"/>
      <c r="X20" s="133"/>
      <c r="Y20" s="133"/>
      <c r="Z20" s="133"/>
    </row>
    <row r="21" spans="1:26" ht="12.75">
      <c r="A21" s="85" t="s">
        <v>164</v>
      </c>
      <c r="B21" s="131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31"/>
      <c r="P21" s="131"/>
      <c r="Q21" s="131"/>
      <c r="R21" s="131"/>
      <c r="S21" s="131"/>
      <c r="T21" s="133"/>
      <c r="U21" s="133"/>
      <c r="V21" s="133"/>
      <c r="W21" s="133"/>
      <c r="X21" s="133"/>
      <c r="Y21" s="133"/>
      <c r="Z21" s="133"/>
    </row>
    <row r="22" spans="1:26" ht="12.75">
      <c r="A22" s="85" t="s">
        <v>172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31"/>
      <c r="P22" s="131"/>
      <c r="Q22" s="131"/>
      <c r="R22" s="131"/>
      <c r="S22" s="131"/>
      <c r="T22" s="133"/>
      <c r="U22" s="133"/>
      <c r="V22" s="133"/>
      <c r="W22" s="133"/>
      <c r="X22" s="133"/>
      <c r="Y22" s="133"/>
      <c r="Z22" s="133"/>
    </row>
    <row r="23" spans="1:26" ht="12.75">
      <c r="A23" s="85" t="s">
        <v>143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131"/>
      <c r="P23" s="131"/>
      <c r="Q23" s="131"/>
      <c r="R23" s="131"/>
      <c r="S23" s="131"/>
      <c r="T23" s="133"/>
      <c r="U23" s="133"/>
      <c r="V23" s="133"/>
      <c r="W23" s="133"/>
      <c r="X23" s="133"/>
      <c r="Y23" s="133"/>
      <c r="Z23" s="133"/>
    </row>
    <row r="24" spans="1:26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131"/>
      <c r="P24" s="131"/>
      <c r="Q24" s="131"/>
      <c r="R24" s="131"/>
      <c r="S24" s="131"/>
      <c r="T24" s="133"/>
      <c r="U24" s="133"/>
      <c r="V24" s="133"/>
      <c r="W24" s="133"/>
      <c r="X24" s="133"/>
      <c r="Y24" s="133"/>
      <c r="Z24" s="133"/>
    </row>
    <row r="25" spans="1:26" ht="12.75">
      <c r="A25" s="132" t="s">
        <v>185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</row>
    <row r="26" spans="1:14" ht="12.75">
      <c r="A26" s="33" t="s">
        <v>12</v>
      </c>
      <c r="C26" s="34"/>
      <c r="D26" s="124" t="s">
        <v>123</v>
      </c>
      <c r="E26" s="34" t="s">
        <v>173</v>
      </c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2.75">
      <c r="A27" s="35" t="s">
        <v>21</v>
      </c>
      <c r="B27" s="36"/>
      <c r="C27" s="54"/>
      <c r="D27" s="105" t="s">
        <v>91</v>
      </c>
      <c r="E27" s="54">
        <f>Temperature($B$29,"Crit",$E$26)</f>
        <v>126.192</v>
      </c>
      <c r="F27" s="54"/>
      <c r="G27" s="105" t="s">
        <v>94</v>
      </c>
      <c r="H27" s="54">
        <f>Temperature($B$29,"Trip",$E$26)</f>
        <v>63.151</v>
      </c>
      <c r="I27" s="37"/>
      <c r="J27" s="105" t="s">
        <v>128</v>
      </c>
      <c r="K27" s="54">
        <f>Temperature($B$29,"Crit","c")</f>
        <v>-146.95799999999997</v>
      </c>
      <c r="L27" s="37"/>
      <c r="M27" s="37"/>
      <c r="N27" s="37"/>
    </row>
    <row r="28" spans="1:14" ht="12.75">
      <c r="A28" s="36"/>
      <c r="B28" s="36"/>
      <c r="C28" s="54"/>
      <c r="D28" s="105" t="s">
        <v>93</v>
      </c>
      <c r="E28" s="54">
        <f>Pressure($B$29,"crit",$E$26)</f>
        <v>3.3958000000000004</v>
      </c>
      <c r="F28" s="54"/>
      <c r="G28" s="105" t="s">
        <v>85</v>
      </c>
      <c r="H28" s="54">
        <f>Pressure($B$29,"trip",$E$26)</f>
        <v>0.0125197818481261</v>
      </c>
      <c r="I28" s="37"/>
      <c r="J28" s="105" t="s">
        <v>129</v>
      </c>
      <c r="K28" s="54">
        <f>Temperature($B$29,"Trip","c")</f>
        <v>-209.99899999999997</v>
      </c>
      <c r="L28" s="37"/>
      <c r="M28" s="37"/>
      <c r="N28" s="37"/>
    </row>
    <row r="29" spans="1:14" ht="12.75">
      <c r="A29" s="38" t="s">
        <v>22</v>
      </c>
      <c r="B29" s="39" t="s">
        <v>5</v>
      </c>
      <c r="C29" s="82"/>
      <c r="D29" s="105" t="s">
        <v>92</v>
      </c>
      <c r="E29" s="82">
        <f>Density($B$29,"crit",$E$26)</f>
        <v>11.1839</v>
      </c>
      <c r="F29" s="82"/>
      <c r="G29" s="105" t="s">
        <v>86</v>
      </c>
      <c r="H29" s="82">
        <f>Density($B$29,"trip",$E$26)</f>
        <v>30.957306220703618</v>
      </c>
      <c r="I29" s="34"/>
      <c r="J29" s="40"/>
      <c r="K29" s="34"/>
      <c r="L29" s="34"/>
      <c r="M29" s="34"/>
      <c r="N29" s="34"/>
    </row>
    <row r="30" spans="1:14" ht="12.75">
      <c r="A30" s="41" t="s">
        <v>6</v>
      </c>
      <c r="B30" s="41" t="s">
        <v>23</v>
      </c>
      <c r="C30" s="42" t="s">
        <v>8</v>
      </c>
      <c r="D30" s="41" t="s">
        <v>9</v>
      </c>
      <c r="E30" s="41" t="s">
        <v>11</v>
      </c>
      <c r="F30" s="41" t="s">
        <v>0</v>
      </c>
      <c r="G30" s="34"/>
      <c r="H30" s="34"/>
      <c r="I30" s="34"/>
      <c r="J30" s="34"/>
      <c r="K30" s="34"/>
      <c r="L30" s="34"/>
      <c r="M30" s="34"/>
      <c r="N30" s="34"/>
    </row>
    <row r="31" spans="1:14" ht="12.75">
      <c r="A31" s="41" t="s">
        <v>7</v>
      </c>
      <c r="B31" s="41" t="s">
        <v>44</v>
      </c>
      <c r="C31" s="41" t="s">
        <v>41</v>
      </c>
      <c r="D31" s="41" t="s">
        <v>42</v>
      </c>
      <c r="E31" s="41" t="s">
        <v>43</v>
      </c>
      <c r="F31" s="41" t="s">
        <v>36</v>
      </c>
      <c r="G31" s="34"/>
      <c r="H31" s="34"/>
      <c r="I31" s="173" t="s">
        <v>258</v>
      </c>
      <c r="J31" s="67"/>
      <c r="K31" s="67"/>
      <c r="L31" s="67"/>
      <c r="M31" s="67"/>
      <c r="N31" s="34"/>
    </row>
    <row r="32" spans="1:14" s="30" customFormat="1" ht="15">
      <c r="A32" s="89">
        <v>200</v>
      </c>
      <c r="B32" s="89">
        <v>2</v>
      </c>
      <c r="C32" s="106">
        <f>Density($B$29,"TP",$E$26,A32,B32)</f>
        <v>1.2552496616383777</v>
      </c>
      <c r="D32" s="108">
        <f>Enthalpy($B$29,"TP",$E$26,A32,B32)</f>
        <v>5535.157807802151</v>
      </c>
      <c r="E32" s="109">
        <f>Entropy($B$29,"TP",$E$26,A32,B32)</f>
        <v>154.0433571083217</v>
      </c>
      <c r="F32" s="98" t="str">
        <f>Quality($B$29,"TD",$E$26,A32,C32)</f>
        <v>#Superheated vapor with T&gt;Tc</v>
      </c>
      <c r="G32" s="1"/>
      <c r="H32" s="34"/>
      <c r="I32" s="34">
        <f>Pressure("nitrogen","TH","SI",100,-40)</f>
        <v>51.6426043024412</v>
      </c>
      <c r="J32" s="34" t="str">
        <f>Quality("nitrogen","TH","SI",100,-40)</f>
        <v>#Subcooled liquid with p&gt;pc</v>
      </c>
      <c r="K32" s="34"/>
      <c r="L32" s="34" t="s">
        <v>259</v>
      </c>
      <c r="M32" s="34"/>
      <c r="N32" s="34"/>
    </row>
    <row r="33" spans="1:14" s="31" customFormat="1" ht="15">
      <c r="A33" s="89">
        <v>100</v>
      </c>
      <c r="B33" s="89">
        <v>2</v>
      </c>
      <c r="C33" s="100">
        <f>Density($B$29,"TP",$E$26,A33,B33)</f>
        <v>24.87442458185057</v>
      </c>
      <c r="D33" s="108">
        <f>Enthalpy($B$29,"TP",$E$26,A33,B33)</f>
        <v>-2045.4779477486795</v>
      </c>
      <c r="E33" s="100">
        <f>Entropy($B$29,"TP",$E$26,A33,B33)</f>
        <v>94.13550341718945</v>
      </c>
      <c r="F33" s="99">
        <f>Quality($B$29,"TD",$E$26,A33,C33)</f>
        <v>-0.0005209623209174152</v>
      </c>
      <c r="G33" s="1"/>
      <c r="H33" s="40"/>
      <c r="I33" s="34">
        <f>Pressure("nitrogen","TH&lt;","SI",100,-40)</f>
        <v>0.7782748802395455</v>
      </c>
      <c r="J33" s="34">
        <f>Quality("nitrogen","TH&lt;","SI",100,-40)</f>
        <v>0.20629936003457813</v>
      </c>
      <c r="K33" s="34"/>
      <c r="L33" s="34" t="s">
        <v>260</v>
      </c>
      <c r="M33" s="40"/>
      <c r="N33" s="40"/>
    </row>
    <row r="34" spans="1:14" s="30" customFormat="1" ht="15">
      <c r="A34" s="110">
        <f>Temperature($B$29,"PS",$E$26,B34,E34)</f>
        <v>103.74691221887008</v>
      </c>
      <c r="B34" s="89">
        <v>1</v>
      </c>
      <c r="C34" s="106">
        <f>Density($B$29,"PS",$E$26,B34,E34)</f>
        <v>11.156421762179916</v>
      </c>
      <c r="D34" s="109">
        <f>Enthalpy($B$29,"PD",$E$26,B34,C34)</f>
        <v>-1483.318336269873</v>
      </c>
      <c r="E34" s="89">
        <v>100</v>
      </c>
      <c r="F34" s="100">
        <f>Quality($B$29,"TD",$E$26,A34,C34)</f>
        <v>0.07481622693440859</v>
      </c>
      <c r="G34" s="1"/>
      <c r="H34" s="34"/>
      <c r="I34" s="34"/>
      <c r="J34" s="34"/>
      <c r="K34" s="34"/>
      <c r="L34" s="34"/>
      <c r="M34" s="34"/>
      <c r="N34" s="34"/>
    </row>
    <row r="35" spans="1:18" s="30" customFormat="1" ht="15">
      <c r="A35" s="110">
        <f>Temperature($B$29,"PH",$E$26,B35,D35)</f>
        <v>66.72859296662682</v>
      </c>
      <c r="B35" s="89">
        <v>1</v>
      </c>
      <c r="C35" s="100">
        <f>Density($B$29,"PH",$E$26,B35,D35)</f>
        <v>30.493246736524753</v>
      </c>
      <c r="D35" s="90">
        <v>-4000</v>
      </c>
      <c r="E35" s="100">
        <f>Entropy($B$29,"TP",$E$26,A35,B35)</f>
        <v>70.88511329686911</v>
      </c>
      <c r="F35" s="99">
        <f>Quality($B$29,"TD",$E$26,A35,C35)</f>
        <v>-3.0069026118529577E-06</v>
      </c>
      <c r="G35" s="34"/>
      <c r="H35" s="67" t="s">
        <v>147</v>
      </c>
      <c r="I35" s="67"/>
      <c r="J35" s="67"/>
      <c r="K35" s="67"/>
      <c r="L35" s="67"/>
      <c r="M35" s="67"/>
      <c r="N35" s="67"/>
      <c r="O35" s="137"/>
      <c r="P35" s="137"/>
      <c r="Q35" s="137"/>
      <c r="R35" s="137"/>
    </row>
    <row r="36" spans="1:18" s="30" customFormat="1" ht="15">
      <c r="A36" s="89">
        <v>100</v>
      </c>
      <c r="B36" s="106">
        <f>Pressure($B$29,"Tmelt",$E$26,A36)</f>
        <v>204.58751325654546</v>
      </c>
      <c r="C36" s="100">
        <f>Density($B$29,"TP",$E$26,A36,B36)</f>
        <v>34.75117635214368</v>
      </c>
      <c r="D36" s="111" t="s">
        <v>87</v>
      </c>
      <c r="F36" s="99"/>
      <c r="G36" s="34"/>
      <c r="H36" s="49" t="s">
        <v>165</v>
      </c>
      <c r="I36" s="137"/>
      <c r="J36" s="67"/>
      <c r="K36" s="67"/>
      <c r="L36" s="67"/>
      <c r="M36" s="67"/>
      <c r="N36" s="67"/>
      <c r="O36" s="137"/>
      <c r="P36" s="137"/>
      <c r="Q36" s="137"/>
      <c r="R36" s="137"/>
    </row>
    <row r="37" spans="1:14" s="30" customFormat="1" ht="15">
      <c r="A37" s="106">
        <f>Temperature($B$29,"Pmelt",$E$26,B37)</f>
        <v>99.29545667488637</v>
      </c>
      <c r="B37" s="89">
        <v>200</v>
      </c>
      <c r="C37" s="100">
        <f>Density($B$29,"TP",$E$26,A37,B37)</f>
        <v>34.688726014805965</v>
      </c>
      <c r="D37" s="111" t="s">
        <v>88</v>
      </c>
      <c r="F37" s="99"/>
      <c r="G37" s="34"/>
      <c r="H37" s="34">
        <f>Density("Water","TPL","C",30,4)</f>
        <v>997.3800962540554</v>
      </c>
      <c r="I37" s="34" t="s">
        <v>145</v>
      </c>
      <c r="J37" s="34"/>
      <c r="K37" s="34"/>
      <c r="L37" s="34"/>
      <c r="M37" s="34"/>
      <c r="N37" s="34"/>
    </row>
    <row r="38" spans="1:14" s="30" customFormat="1" ht="15">
      <c r="A38" s="89">
        <v>60</v>
      </c>
      <c r="B38" s="106">
        <f>Pressure($B$29,"TSUBL",$E$26,A38)</f>
        <v>0.00629775032726626</v>
      </c>
      <c r="C38" s="100">
        <f>Density($B$29,"Tsubl",$E$26,A38)</f>
        <v>0.012693575669104487</v>
      </c>
      <c r="D38" s="111" t="s">
        <v>89</v>
      </c>
      <c r="F38" s="99"/>
      <c r="G38" s="34"/>
      <c r="H38" s="34">
        <f>Enthalpy("Water","TPV","C",30,0.004)</f>
        <v>2555.659174409879</v>
      </c>
      <c r="I38" s="34" t="s">
        <v>146</v>
      </c>
      <c r="J38" s="34"/>
      <c r="K38" s="34"/>
      <c r="L38" s="34"/>
      <c r="M38" s="34"/>
      <c r="N38" s="34"/>
    </row>
    <row r="39" spans="1:14" s="30" customFormat="1" ht="15">
      <c r="A39" s="106">
        <f>Temperature($B$29,"Psubl",$E$26,B39)</f>
        <v>62.083839302903264</v>
      </c>
      <c r="B39" s="121">
        <v>0.01</v>
      </c>
      <c r="C39" s="100">
        <f>Density($B$29,"Psubl",$E$26,B39)</f>
        <v>0.0195260414944796</v>
      </c>
      <c r="D39" s="111" t="s">
        <v>90</v>
      </c>
      <c r="F39" s="99"/>
      <c r="G39" s="34"/>
      <c r="H39" s="34"/>
      <c r="I39" s="34"/>
      <c r="J39" s="34"/>
      <c r="K39" s="34"/>
      <c r="L39" s="34"/>
      <c r="M39" s="34"/>
      <c r="N39" s="34"/>
    </row>
    <row r="40" spans="1:14" ht="12.75">
      <c r="A40" s="122"/>
      <c r="B40" s="40"/>
      <c r="C40" s="40"/>
      <c r="D40" s="40"/>
      <c r="E40" s="122"/>
      <c r="F40" s="34"/>
      <c r="G40" s="34"/>
      <c r="H40" s="34"/>
      <c r="I40" s="34"/>
      <c r="J40" s="34"/>
      <c r="K40" s="2"/>
      <c r="L40" s="2"/>
      <c r="M40" s="34"/>
      <c r="N40" s="34"/>
    </row>
    <row r="41" spans="1:14" ht="12.75">
      <c r="A41" s="43" t="s">
        <v>24</v>
      </c>
      <c r="B41" s="36"/>
      <c r="C41" s="37"/>
      <c r="D41" s="37"/>
      <c r="E41" s="44"/>
      <c r="F41" s="44"/>
      <c r="G41" s="37"/>
      <c r="H41" s="37"/>
      <c r="I41" s="37"/>
      <c r="J41" s="37"/>
      <c r="K41" s="37"/>
      <c r="L41" s="37"/>
      <c r="M41" s="37"/>
      <c r="N41" s="37"/>
    </row>
    <row r="42" spans="1:16" ht="12.75">
      <c r="A42" s="45" t="s">
        <v>18</v>
      </c>
      <c r="B42" s="46"/>
      <c r="C42" s="46"/>
      <c r="D42" s="46"/>
      <c r="E42" s="47"/>
      <c r="F42" s="47"/>
      <c r="G42" s="46"/>
      <c r="H42" s="46"/>
      <c r="I42" s="46"/>
      <c r="J42" s="48"/>
      <c r="K42" s="49" t="s">
        <v>56</v>
      </c>
      <c r="L42" s="49" t="s">
        <v>58</v>
      </c>
      <c r="M42" s="49" t="s">
        <v>56</v>
      </c>
      <c r="N42" s="49" t="s">
        <v>59</v>
      </c>
      <c r="O42" s="41"/>
      <c r="P42" s="41"/>
    </row>
    <row r="43" spans="1:16" ht="12.75">
      <c r="A43" s="41" t="s">
        <v>6</v>
      </c>
      <c r="B43" s="41" t="s">
        <v>23</v>
      </c>
      <c r="C43" s="42" t="s">
        <v>8</v>
      </c>
      <c r="D43" s="41" t="s">
        <v>13</v>
      </c>
      <c r="E43" s="41" t="s">
        <v>9</v>
      </c>
      <c r="F43" s="41" t="s">
        <v>11</v>
      </c>
      <c r="G43" s="41" t="s">
        <v>0</v>
      </c>
      <c r="H43" s="50" t="s">
        <v>73</v>
      </c>
      <c r="I43" s="51" t="s">
        <v>74</v>
      </c>
      <c r="J43" s="48" t="s">
        <v>45</v>
      </c>
      <c r="K43" s="49" t="s">
        <v>57</v>
      </c>
      <c r="L43" s="49" t="s">
        <v>57</v>
      </c>
      <c r="M43" s="49" t="s">
        <v>60</v>
      </c>
      <c r="N43" s="49" t="s">
        <v>60</v>
      </c>
      <c r="O43" s="41" t="s">
        <v>96</v>
      </c>
      <c r="P43" s="41" t="s">
        <v>96</v>
      </c>
    </row>
    <row r="44" spans="1:16" ht="12.75">
      <c r="A44" s="41" t="s">
        <v>7</v>
      </c>
      <c r="B44" s="41" t="s">
        <v>44</v>
      </c>
      <c r="C44" s="41" t="s">
        <v>41</v>
      </c>
      <c r="D44" s="41" t="s">
        <v>42</v>
      </c>
      <c r="E44" s="41" t="s">
        <v>42</v>
      </c>
      <c r="F44" s="41" t="s">
        <v>43</v>
      </c>
      <c r="G44" s="41" t="s">
        <v>36</v>
      </c>
      <c r="H44" s="41" t="s">
        <v>41</v>
      </c>
      <c r="I44" s="41" t="s">
        <v>41</v>
      </c>
      <c r="J44" s="48" t="s">
        <v>54</v>
      </c>
      <c r="K44" s="52" t="s">
        <v>75</v>
      </c>
      <c r="L44" s="52" t="s">
        <v>75</v>
      </c>
      <c r="M44" s="53" t="s">
        <v>182</v>
      </c>
      <c r="N44" s="53" t="s">
        <v>182</v>
      </c>
      <c r="O44" s="41" t="s">
        <v>97</v>
      </c>
      <c r="P44" s="41" t="s">
        <v>97</v>
      </c>
    </row>
    <row r="45" spans="1:16" s="30" customFormat="1" ht="15">
      <c r="A45" s="107">
        <v>100</v>
      </c>
      <c r="B45" s="112">
        <f>Pressure($B$29,"TD",$E$26,A45,C45)</f>
        <v>0.7782748802395455</v>
      </c>
      <c r="C45" s="113">
        <v>15</v>
      </c>
      <c r="D45" s="108">
        <f>Energy($B$29,"TD",$E$26,A45,C45)</f>
        <v>-1962.2969826792892</v>
      </c>
      <c r="E45" s="108">
        <f>Enthalpy($B$29,"TD",$E$26,A45,C45)</f>
        <v>-1910.4119906633177</v>
      </c>
      <c r="F45" s="100">
        <f>Entropy($B$29,"TD",$E$26,A45,C45)</f>
        <v>95.97992543645937</v>
      </c>
      <c r="G45" s="100">
        <f>Quality($B$29,"TD",$E$26,A45,C45)</f>
        <v>0.031141187878215702</v>
      </c>
      <c r="H45" s="100">
        <f>LiquidDensity($B$29,"TD",$E$26,A45,C45)</f>
        <v>24.607885592902882</v>
      </c>
      <c r="I45" s="112">
        <f>VaporDensity($B$29,"TD",$E$26,A45,C45)</f>
        <v>1.1409208869722482</v>
      </c>
      <c r="J45" s="114">
        <f>SurfaceTension($B$29,"TD",$E$26,A45,C45)</f>
        <v>4.05042029179832</v>
      </c>
      <c r="K45" s="114">
        <f>Viscosity($B$29,"TD",$E$26,A45,H45)</f>
        <v>75.7575898702112</v>
      </c>
      <c r="L45" s="114">
        <f>Viscosity($B$29,"TD",$E$26,A45,I45)</f>
        <v>7.428525431316738</v>
      </c>
      <c r="M45" s="114">
        <f>ThermalConductivity($B$29,"TD",$E$26,A45,H45)</f>
        <v>100.11174896483813</v>
      </c>
      <c r="N45" s="114">
        <f>ThermalConductivity($B$29,"TD",$E$26,A45,I45)</f>
        <v>10.725845587703468</v>
      </c>
      <c r="O45" s="116">
        <f>CompressibilityFactor($B$29,"TD",$E$26,A45,H45)</f>
        <v>0.03803838364643419</v>
      </c>
      <c r="P45" s="116">
        <f>CompressibilityFactor($B$29,"TD",$E$26,A45,I45)</f>
        <v>0.8204286586377944</v>
      </c>
    </row>
    <row r="46" spans="1:14" ht="12.75">
      <c r="A46" s="6" t="s">
        <v>81</v>
      </c>
      <c r="B46" s="1"/>
      <c r="C46" s="6"/>
      <c r="D46" s="4"/>
      <c r="E46" s="4"/>
      <c r="F46" s="3"/>
      <c r="G46" s="41" t="s">
        <v>115</v>
      </c>
      <c r="H46" s="3"/>
      <c r="I46" s="1"/>
      <c r="J46" s="34"/>
      <c r="K46" s="34"/>
      <c r="L46" s="34"/>
      <c r="M46" s="34"/>
      <c r="N46" s="34"/>
    </row>
    <row r="47" spans="1:14" ht="12.75">
      <c r="A47" s="45" t="s">
        <v>52</v>
      </c>
      <c r="B47" s="47"/>
      <c r="C47" s="47"/>
      <c r="D47" s="55"/>
      <c r="E47" s="47"/>
      <c r="F47" s="47"/>
      <c r="G47" s="41" t="s">
        <v>42</v>
      </c>
      <c r="H47" s="56"/>
      <c r="I47" s="56"/>
      <c r="J47" s="57"/>
      <c r="K47" s="57"/>
      <c r="L47" s="57"/>
      <c r="M47" s="57"/>
      <c r="N47" s="57"/>
    </row>
    <row r="48" spans="1:14" s="30" customFormat="1" ht="15">
      <c r="A48" s="109">
        <f>Temperature($B$29,"Pliq",$E$26,B48)</f>
        <v>87.9072631113506</v>
      </c>
      <c r="B48" s="89">
        <v>0.3</v>
      </c>
      <c r="C48" s="100">
        <f>Density($B$29,"Pliq",$E$26,B48)</f>
        <v>26.97671608382499</v>
      </c>
      <c r="D48" s="108">
        <f>Energy($B$29,"Pvap",$E$26,B48)</f>
        <v>1688.6917289329886</v>
      </c>
      <c r="E48" s="108">
        <f>Enthalpy($B$29,"Pvap",$E$26,B48)</f>
        <v>2351.9811192981997</v>
      </c>
      <c r="F48" s="100">
        <f>Entropy($B$29,"Pvap",$E$26,B48)</f>
        <v>145.4031461237425</v>
      </c>
      <c r="G48" s="54">
        <f>LatentHeat($B$29,"P",$E$26,B48)</f>
        <v>5153.411891684534</v>
      </c>
      <c r="H48" s="54"/>
      <c r="I48" s="59"/>
      <c r="J48" s="34"/>
      <c r="K48" s="34"/>
      <c r="L48" s="34"/>
      <c r="M48" s="34"/>
      <c r="N48" s="34"/>
    </row>
    <row r="49" spans="1:14" ht="12.75">
      <c r="A49" s="5"/>
      <c r="B49" s="1"/>
      <c r="C49" s="3"/>
      <c r="D49" s="4"/>
      <c r="E49" s="3"/>
      <c r="F49" s="58"/>
      <c r="H49" s="59"/>
      <c r="I49" s="59"/>
      <c r="J49" s="34"/>
      <c r="K49" s="34"/>
      <c r="L49" s="34"/>
      <c r="M49" s="34"/>
      <c r="N49" s="34"/>
    </row>
    <row r="50" spans="1:14" ht="12.75">
      <c r="A50" s="45" t="s">
        <v>53</v>
      </c>
      <c r="B50" s="47"/>
      <c r="C50" s="47"/>
      <c r="D50" s="55"/>
      <c r="E50" s="47"/>
      <c r="F50" s="47"/>
      <c r="G50" s="123"/>
      <c r="H50" s="56"/>
      <c r="I50" s="56"/>
      <c r="J50" s="57"/>
      <c r="K50" s="57"/>
      <c r="L50" s="57"/>
      <c r="M50" s="57"/>
      <c r="N50" s="57"/>
    </row>
    <row r="51" spans="1:14" ht="12.75">
      <c r="A51" s="138" t="s">
        <v>174</v>
      </c>
      <c r="B51" s="139"/>
      <c r="C51" s="139"/>
      <c r="D51" s="140"/>
      <c r="E51" s="139"/>
      <c r="F51" s="139"/>
      <c r="G51" s="141"/>
      <c r="H51" s="56"/>
      <c r="I51" s="56"/>
      <c r="J51" s="57"/>
      <c r="K51" s="57"/>
      <c r="L51" s="57"/>
      <c r="M51" s="57"/>
      <c r="N51" s="57"/>
    </row>
    <row r="52" spans="1:14" s="30" customFormat="1" ht="15">
      <c r="A52" s="89">
        <v>100</v>
      </c>
      <c r="B52" s="106">
        <f>Pressure($B$29,"Tliq",$E$26,A52)</f>
        <v>0.7782748802395455</v>
      </c>
      <c r="C52" s="100">
        <f>VaporDensity($B$29,"Tvap",$E$26,A52)</f>
        <v>1.1409208869722482</v>
      </c>
      <c r="D52" s="108">
        <f>Energy($B$29,"TD&amp;",$E$26,A52,C52)</f>
        <v>1776.4940736375966</v>
      </c>
      <c r="E52" s="108">
        <f>Enthalpy($B$29,"TD&amp;",$E$26,A52,C52)</f>
        <v>2458.6403022906493</v>
      </c>
      <c r="F52" s="100">
        <f>Entropy($B$29,"TD&amp;",$E$26,A52,C52)</f>
        <v>139.67044836599902</v>
      </c>
      <c r="G52" s="54">
        <f>LatentHeat($B$29,"T",$E$26,A52)</f>
        <v>4509.48294869282</v>
      </c>
      <c r="H52" s="34"/>
      <c r="I52" s="34"/>
      <c r="J52" s="34"/>
      <c r="K52" s="34"/>
      <c r="L52" s="34"/>
      <c r="M52" s="34"/>
      <c r="N52" s="34"/>
    </row>
    <row r="53" spans="1:14" s="30" customFormat="1" ht="15">
      <c r="A53" s="115"/>
      <c r="B53" s="115"/>
      <c r="C53" s="100">
        <f>LiquidDensity($B$29,"Tliq",$E$26,A52)</f>
        <v>24.607885592902882</v>
      </c>
      <c r="D53" s="108">
        <f>Energy($B$29,"TD&amp;",$E$26,A52,C53)</f>
        <v>-2082.4696985233822</v>
      </c>
      <c r="E53" s="108">
        <f>Enthalpy($B$29,"TD&amp;",$E$26,A52,C53)</f>
        <v>-2050.842646402171</v>
      </c>
      <c r="F53" s="100">
        <f>Entropy($B$29,"TD&amp;",$E$26,A52,C53)</f>
        <v>94.57561887907083</v>
      </c>
      <c r="H53" s="60"/>
      <c r="I53" s="60"/>
      <c r="J53" s="60"/>
      <c r="K53" s="60"/>
      <c r="L53" s="60"/>
      <c r="M53" s="34"/>
      <c r="N53" s="34"/>
    </row>
    <row r="54" spans="1:14" s="97" customFormat="1" ht="15">
      <c r="A54" s="95"/>
      <c r="B54" s="95"/>
      <c r="C54" s="65"/>
      <c r="D54" s="65"/>
      <c r="E54" s="65"/>
      <c r="F54" s="65"/>
      <c r="G54" s="96"/>
      <c r="H54" s="96"/>
      <c r="I54" s="96"/>
      <c r="J54" s="96"/>
      <c r="K54" s="96"/>
      <c r="L54" s="96"/>
      <c r="M54" s="64"/>
      <c r="N54" s="64"/>
    </row>
    <row r="55" spans="1:14" s="94" customFormat="1" ht="15">
      <c r="A55" s="92"/>
      <c r="B55" s="92"/>
      <c r="C55" s="63"/>
      <c r="D55" s="63"/>
      <c r="E55" s="63"/>
      <c r="F55" s="63"/>
      <c r="G55" s="93"/>
      <c r="H55" s="93"/>
      <c r="I55" s="93"/>
      <c r="J55" s="93"/>
      <c r="K55" s="93"/>
      <c r="L55" s="93"/>
      <c r="M55" s="66"/>
      <c r="N55" s="66"/>
    </row>
    <row r="56" spans="1:14" ht="12.75">
      <c r="A56" s="33" t="s">
        <v>12</v>
      </c>
      <c r="B56" s="33"/>
      <c r="C56" s="61"/>
      <c r="D56" s="61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2.75">
      <c r="A57" s="35" t="s">
        <v>16</v>
      </c>
      <c r="B57" s="33"/>
      <c r="C57" s="61"/>
      <c r="D57" s="61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2.75">
      <c r="A58" s="38" t="s">
        <v>17</v>
      </c>
      <c r="B58" s="62" t="s">
        <v>4</v>
      </c>
      <c r="C58" s="61"/>
      <c r="D58" s="61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4.25">
      <c r="A59" s="41" t="s">
        <v>6</v>
      </c>
      <c r="B59" s="41" t="s">
        <v>23</v>
      </c>
      <c r="C59" s="42" t="s">
        <v>8</v>
      </c>
      <c r="D59" s="41" t="s">
        <v>83</v>
      </c>
      <c r="E59" s="41" t="s">
        <v>13</v>
      </c>
      <c r="F59" s="41" t="s">
        <v>9</v>
      </c>
      <c r="G59" s="41" t="s">
        <v>11</v>
      </c>
      <c r="H59" s="41" t="s">
        <v>76</v>
      </c>
      <c r="I59" s="41" t="s">
        <v>77</v>
      </c>
      <c r="J59" s="41" t="s">
        <v>2</v>
      </c>
      <c r="K59" s="42" t="s">
        <v>9</v>
      </c>
      <c r="L59" s="42" t="s">
        <v>10</v>
      </c>
      <c r="M59" s="41" t="s">
        <v>96</v>
      </c>
      <c r="N59" s="41" t="s">
        <v>116</v>
      </c>
    </row>
    <row r="60" spans="1:14" ht="14.25">
      <c r="A60" s="41" t="s">
        <v>7</v>
      </c>
      <c r="B60" s="41" t="s">
        <v>44</v>
      </c>
      <c r="C60" s="41" t="s">
        <v>78</v>
      </c>
      <c r="D60" s="41" t="s">
        <v>84</v>
      </c>
      <c r="E60" s="41" t="s">
        <v>49</v>
      </c>
      <c r="F60" s="41" t="s">
        <v>49</v>
      </c>
      <c r="G60" s="41" t="s">
        <v>50</v>
      </c>
      <c r="H60" s="41" t="s">
        <v>50</v>
      </c>
      <c r="I60" s="41" t="s">
        <v>50</v>
      </c>
      <c r="J60" s="41" t="s">
        <v>51</v>
      </c>
      <c r="K60" s="52" t="s">
        <v>75</v>
      </c>
      <c r="L60" s="53" t="s">
        <v>182</v>
      </c>
      <c r="M60" s="41" t="s">
        <v>97</v>
      </c>
      <c r="N60" s="41" t="s">
        <v>117</v>
      </c>
    </row>
    <row r="61" spans="1:14" ht="12.75">
      <c r="A61" s="89">
        <v>100</v>
      </c>
      <c r="B61" s="89">
        <v>1</v>
      </c>
      <c r="C61" s="116">
        <f>Density($B$29,"TP",B58,A61,B61)</f>
        <v>0.6907656047595915</v>
      </c>
      <c r="D61" s="114">
        <f>volume($B$29,"TP",B58,A61,B61)</f>
        <v>1.4476690690875267</v>
      </c>
      <c r="E61" s="117">
        <f>Energy($B$29,"TP",B58,A61,B61)</f>
        <v>-74.63110213049931</v>
      </c>
      <c r="F61" s="117">
        <f>Enthalpy($B$29,"TP",B58,A61,B61)</f>
        <v>-73.18343306141168</v>
      </c>
      <c r="G61" s="116">
        <f>Entropy($B$29,"TP",B58,A61,B61)</f>
        <v>3.3731192342648764</v>
      </c>
      <c r="H61" s="118">
        <f>IsochoricHeatCapacity($B$29,"TP",B58,A61,B61)</f>
        <v>0.9833092839028643</v>
      </c>
      <c r="I61" s="116">
        <f>IsobaricHeatCapacity($B$29,"TP",B58,A61,B61)</f>
        <v>2.3047524002211635</v>
      </c>
      <c r="J61" s="119">
        <f>SpeedOfSound($B$29,"TP",B58,A61,B61)</f>
        <v>60942.49564897154</v>
      </c>
      <c r="K61" s="117">
        <f>Viscosity($B$29,"TP",B58,A61,B61)</f>
        <v>76.25502198461369</v>
      </c>
      <c r="L61" s="117">
        <f>ThermalConductivity($B$29,"TP",B58,A61,B61)</f>
        <v>100.58319809371577</v>
      </c>
      <c r="M61" s="116">
        <f>CompressibilityFactor($B$29,"TP",B58,A61,B61)</f>
        <v>0.04877527180014462</v>
      </c>
      <c r="N61" s="116">
        <f>Prandtl($B$29,"TP",B58,A61,B61)</f>
        <v>1.7472992336573596</v>
      </c>
    </row>
    <row r="62" spans="1:14" ht="12.75">
      <c r="A62" s="89"/>
      <c r="B62" s="89"/>
      <c r="C62" s="116"/>
      <c r="D62" s="114"/>
      <c r="E62" s="117"/>
      <c r="F62" s="117"/>
      <c r="G62" s="116"/>
      <c r="H62" s="118"/>
      <c r="I62" s="116"/>
      <c r="J62" s="119"/>
      <c r="K62" s="117"/>
      <c r="L62" s="117"/>
      <c r="M62" s="116"/>
      <c r="N62" s="116"/>
    </row>
    <row r="63" spans="1:14" ht="12.75">
      <c r="A63" s="35" t="s">
        <v>99</v>
      </c>
      <c r="B63" s="33"/>
      <c r="C63" s="61"/>
      <c r="D63" s="61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5" ht="14.25">
      <c r="A64" s="38" t="s">
        <v>17</v>
      </c>
      <c r="B64" s="62" t="s">
        <v>100</v>
      </c>
      <c r="C64" s="41" t="s">
        <v>101</v>
      </c>
      <c r="D64" s="41" t="s">
        <v>82</v>
      </c>
      <c r="E64" s="41" t="s">
        <v>110</v>
      </c>
      <c r="F64" s="41" t="s">
        <v>101</v>
      </c>
      <c r="G64" s="41" t="s">
        <v>104</v>
      </c>
      <c r="H64" s="41" t="s">
        <v>105</v>
      </c>
      <c r="I64" s="41" t="s">
        <v>109</v>
      </c>
      <c r="J64" s="41" t="s">
        <v>186</v>
      </c>
      <c r="K64" s="41" t="s">
        <v>187</v>
      </c>
      <c r="L64" s="41" t="s">
        <v>188</v>
      </c>
      <c r="M64" s="41" t="s">
        <v>189</v>
      </c>
      <c r="N64" s="41" t="s">
        <v>194</v>
      </c>
      <c r="O64" s="41" t="s">
        <v>229</v>
      </c>
    </row>
    <row r="65" spans="1:15" ht="12.75">
      <c r="A65" s="41" t="s">
        <v>6</v>
      </c>
      <c r="B65" s="41" t="s">
        <v>23</v>
      </c>
      <c r="C65" s="41" t="s">
        <v>102</v>
      </c>
      <c r="D65" s="41" t="s">
        <v>103</v>
      </c>
      <c r="E65" s="41" t="s">
        <v>107</v>
      </c>
      <c r="F65" s="41" t="s">
        <v>107</v>
      </c>
      <c r="G65" s="41" t="s">
        <v>102</v>
      </c>
      <c r="H65" s="41" t="s">
        <v>106</v>
      </c>
      <c r="I65" s="41" t="s">
        <v>106</v>
      </c>
      <c r="J65" s="41"/>
      <c r="K65" s="41"/>
      <c r="L65" s="41"/>
      <c r="M65" s="41"/>
      <c r="N65" s="41" t="s">
        <v>196</v>
      </c>
      <c r="O65" s="41" t="s">
        <v>230</v>
      </c>
    </row>
    <row r="66" spans="1:15" ht="12.75">
      <c r="A66" s="41" t="s">
        <v>111</v>
      </c>
      <c r="B66" s="41" t="s">
        <v>112</v>
      </c>
      <c r="C66" s="41" t="s">
        <v>113</v>
      </c>
      <c r="D66" s="41" t="s">
        <v>114</v>
      </c>
      <c r="E66" s="41" t="s">
        <v>108</v>
      </c>
      <c r="F66" s="41" t="s">
        <v>108</v>
      </c>
      <c r="G66" s="41" t="s">
        <v>113</v>
      </c>
      <c r="H66" s="41" t="s">
        <v>112</v>
      </c>
      <c r="I66" s="41" t="s">
        <v>112</v>
      </c>
      <c r="J66" s="41" t="s">
        <v>191</v>
      </c>
      <c r="K66" s="41" t="s">
        <v>192</v>
      </c>
      <c r="L66" s="41" t="s">
        <v>190</v>
      </c>
      <c r="M66" s="41" t="s">
        <v>193</v>
      </c>
      <c r="N66" s="41" t="s">
        <v>195</v>
      </c>
      <c r="O66" s="41" t="s">
        <v>231</v>
      </c>
    </row>
    <row r="67" spans="1:15" ht="12.75">
      <c r="A67" s="89">
        <v>-100</v>
      </c>
      <c r="B67" s="89">
        <v>1000</v>
      </c>
      <c r="C67" s="116">
        <f>IsothermalCompressibility($B$29,"TP",$B$64,A67,B67)</f>
        <v>0.0011039454828239632</v>
      </c>
      <c r="D67" s="116">
        <f>VolumeExpansivity($B$29,"TP",$B$64,A67,B67)</f>
        <v>0.004611602191576832</v>
      </c>
      <c r="E67" s="116">
        <f>IsentropicExpansionCoef($B$29,"TP",$B$64,A67,B67)</f>
        <v>1.643034545864976</v>
      </c>
      <c r="F67" s="116">
        <f>IsothermalExpansionCoef($B$29,"TP",$B$64,A67,B67)</f>
        <v>0.9058418332778119</v>
      </c>
      <c r="G67" s="116">
        <f>AdiabaticCompressibility($B$29,"TP",$B$64,A67,B67)</f>
        <v>0.0006086299296120812</v>
      </c>
      <c r="H67" s="116">
        <f>AdiabaticBulkModulus($B$29,"TP",$B$64,A67,B67)</f>
        <v>1643.0345458649465</v>
      </c>
      <c r="I67" s="116">
        <f>IsothermalBulkModulus($B$29,"TP",$B$64,A67,B67)</f>
        <v>905.8418332777957</v>
      </c>
      <c r="J67" s="116">
        <f>dPdrho($B$29,"TP",$B$64,A67,B67)</f>
        <v>108.99180972571905</v>
      </c>
      <c r="K67" s="116">
        <f>d2Pdrho2($B$29,"TP",$B$64,A67,B67)</f>
        <v>-1.197095401591398</v>
      </c>
      <c r="L67" s="116">
        <f>dPdT($B$29,"TP",$B$64,A67,B67)</f>
        <v>4.177382183565857</v>
      </c>
      <c r="M67" s="116">
        <f>drhodT($B$29,"TP",$B$64,A67,B67)</f>
        <v>-0.038327487121081444</v>
      </c>
      <c r="N67" s="116">
        <f>Cstar($B$29,"TP",$B$64,A67,B67)</f>
        <v>0.7597856878544211</v>
      </c>
      <c r="O67" s="116">
        <f>SpecificHeatInput($B$29,"TP",$B$64,A67,B67)</f>
        <v>74.60956993174202</v>
      </c>
    </row>
    <row r="68" spans="1:14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34"/>
      <c r="N68" s="34"/>
    </row>
    <row r="69" spans="1:14" ht="12.75">
      <c r="A69" s="33" t="s">
        <v>12</v>
      </c>
      <c r="B69" s="67" t="s">
        <v>228</v>
      </c>
      <c r="C69" s="67"/>
      <c r="D69" s="67"/>
      <c r="E69" s="67"/>
      <c r="F69" s="67"/>
      <c r="G69" s="34"/>
      <c r="H69" s="34"/>
      <c r="I69" s="34"/>
      <c r="J69" s="34"/>
      <c r="K69" s="34"/>
      <c r="L69" s="34"/>
      <c r="M69" s="34"/>
      <c r="N69" s="34"/>
    </row>
    <row r="70" spans="1:14" ht="12.75">
      <c r="A70" s="35" t="s">
        <v>144</v>
      </c>
      <c r="B70" s="36"/>
      <c r="C70" s="36"/>
      <c r="D70" s="36"/>
      <c r="E70" s="36"/>
      <c r="F70" s="36"/>
      <c r="G70" s="37"/>
      <c r="H70" s="37"/>
      <c r="I70" s="37"/>
      <c r="J70" s="37"/>
      <c r="K70" s="37"/>
      <c r="L70" s="37"/>
      <c r="M70" s="37"/>
      <c r="N70" s="37"/>
    </row>
    <row r="71" spans="1:14" ht="12.75">
      <c r="A71" s="38" t="s">
        <v>14</v>
      </c>
      <c r="B71" s="68" t="str">
        <f>B76&amp;" "&amp;A76&amp;" + "&amp;B77&amp;" "&amp;A77&amp;" + "&amp;B78&amp;" "&amp;A78</f>
        <v>0.6 nitrogen + 0.05 argon + 0.35 oxygen</v>
      </c>
      <c r="C71" s="34"/>
      <c r="D71" s="34"/>
      <c r="E71" s="34"/>
      <c r="F71" s="34"/>
      <c r="G71" s="34"/>
      <c r="H71" s="59"/>
      <c r="I71" s="59"/>
      <c r="J71" s="59"/>
      <c r="K71" s="34"/>
      <c r="L71" s="34"/>
      <c r="M71" s="34"/>
      <c r="N71" s="34"/>
    </row>
    <row r="72" spans="1:14" ht="12.75">
      <c r="A72" s="69"/>
      <c r="B72" s="68"/>
      <c r="C72" s="34"/>
      <c r="D72" s="34"/>
      <c r="E72" s="34"/>
      <c r="F72" s="34"/>
      <c r="G72" s="34"/>
      <c r="H72" s="59"/>
      <c r="I72" s="59"/>
      <c r="J72" s="59"/>
      <c r="K72" s="34"/>
      <c r="L72" s="34"/>
      <c r="M72" s="34"/>
      <c r="N72" s="34"/>
    </row>
    <row r="73" spans="1:14" ht="12.75">
      <c r="A73" s="70" t="str">
        <f>CONCATENATE(A76,";",B76,";",A77,";",B77,";",A78,";",B78)</f>
        <v>nitrogen;0.6;argon;0.05;oxygen;0.35</v>
      </c>
      <c r="B73" s="34"/>
      <c r="C73" s="34"/>
      <c r="D73" s="34" t="s">
        <v>257</v>
      </c>
      <c r="E73" s="34"/>
      <c r="F73" s="34"/>
      <c r="G73" s="34"/>
      <c r="H73" s="59"/>
      <c r="I73" s="59"/>
      <c r="J73" s="59"/>
      <c r="K73" s="34"/>
      <c r="L73" s="34"/>
      <c r="M73" s="34"/>
      <c r="N73" s="34"/>
    </row>
    <row r="74" spans="1:14" ht="12.75">
      <c r="A74" s="68" t="str">
        <f>FluidString(A76:A78,B76:B78)</f>
        <v>nitrogen;0.6;argon;0.05;oxygen;0.35</v>
      </c>
      <c r="B74" s="34"/>
      <c r="C74" s="34"/>
      <c r="D74" s="34"/>
      <c r="E74" s="34"/>
      <c r="F74" s="34"/>
      <c r="G74" s="34"/>
      <c r="H74" s="59"/>
      <c r="I74" s="59"/>
      <c r="J74" s="59"/>
      <c r="K74" s="34"/>
      <c r="L74" s="34"/>
      <c r="M74" s="34"/>
      <c r="N74" s="34"/>
    </row>
    <row r="75" spans="1:14" ht="12.75">
      <c r="A75" s="33" t="s">
        <v>15</v>
      </c>
      <c r="B75" s="33" t="s">
        <v>118</v>
      </c>
      <c r="C75" s="67"/>
      <c r="D75" s="34"/>
      <c r="E75" s="34"/>
      <c r="F75" s="34"/>
      <c r="G75" s="34"/>
      <c r="H75" s="59"/>
      <c r="I75" s="59"/>
      <c r="J75" s="59"/>
      <c r="K75" s="34"/>
      <c r="L75" s="34"/>
      <c r="M75" s="34"/>
      <c r="N75" s="34"/>
    </row>
    <row r="76" spans="1:14" ht="12.75">
      <c r="A76" s="88" t="s">
        <v>5</v>
      </c>
      <c r="B76" s="90">
        <v>0.6</v>
      </c>
      <c r="C76" s="57"/>
      <c r="D76" s="57"/>
      <c r="E76" s="57"/>
      <c r="F76" s="57"/>
      <c r="G76" s="57"/>
      <c r="H76" s="59"/>
      <c r="I76" s="59"/>
      <c r="J76" s="56"/>
      <c r="K76" s="57"/>
      <c r="L76" s="57"/>
      <c r="M76" s="57"/>
      <c r="N76" s="57"/>
    </row>
    <row r="77" spans="1:14" ht="12.75">
      <c r="A77" s="88" t="s">
        <v>3</v>
      </c>
      <c r="B77" s="90">
        <v>0.05</v>
      </c>
      <c r="C77" s="57"/>
      <c r="D77" s="57"/>
      <c r="E77" s="57"/>
      <c r="F77" s="57"/>
      <c r="G77" s="57"/>
      <c r="H77" s="59"/>
      <c r="I77" s="59"/>
      <c r="J77" s="56"/>
      <c r="K77" s="57"/>
      <c r="L77" s="57"/>
      <c r="M77" s="57"/>
      <c r="N77" s="57"/>
    </row>
    <row r="78" spans="1:14" ht="12.75">
      <c r="A78" s="88" t="s">
        <v>1</v>
      </c>
      <c r="B78" s="91">
        <v>0.35</v>
      </c>
      <c r="C78" s="57"/>
      <c r="D78" s="57"/>
      <c r="E78" s="57"/>
      <c r="F78" s="57"/>
      <c r="G78" s="57"/>
      <c r="H78" s="59"/>
      <c r="I78" s="59"/>
      <c r="J78" s="59"/>
      <c r="K78" s="57"/>
      <c r="L78" s="57"/>
      <c r="M78" s="57"/>
      <c r="N78" s="57"/>
    </row>
    <row r="79" spans="1:14" ht="12.75">
      <c r="A79" s="38" t="s">
        <v>19</v>
      </c>
      <c r="B79" s="72">
        <f>SUM(B76:B78)</f>
        <v>1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</row>
    <row r="80" spans="1:14" ht="12.75">
      <c r="A80" s="38"/>
      <c r="B80" s="71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1:14" ht="12.75">
      <c r="A81" s="57"/>
      <c r="B81" s="57"/>
      <c r="C81" s="57"/>
      <c r="D81" s="57"/>
      <c r="E81" s="46" t="s">
        <v>64</v>
      </c>
      <c r="F81" s="46" t="s">
        <v>234</v>
      </c>
      <c r="G81" s="46" t="s">
        <v>235</v>
      </c>
      <c r="H81" s="57"/>
      <c r="I81" s="57"/>
      <c r="J81" s="57"/>
      <c r="K81" s="57"/>
      <c r="L81" s="57"/>
      <c r="M81" s="57"/>
      <c r="N81" s="57"/>
    </row>
    <row r="82" spans="1:14" ht="12.75">
      <c r="A82" s="33" t="s">
        <v>20</v>
      </c>
      <c r="B82" s="67"/>
      <c r="C82" s="67"/>
      <c r="D82" s="34"/>
      <c r="E82" s="67"/>
      <c r="F82" s="67" t="s">
        <v>212</v>
      </c>
      <c r="G82" s="67" t="s">
        <v>212</v>
      </c>
      <c r="H82" s="34"/>
      <c r="I82" s="34"/>
      <c r="J82" s="34"/>
      <c r="K82" s="34"/>
      <c r="L82" s="34"/>
      <c r="M82" s="34"/>
      <c r="N82" s="34"/>
    </row>
    <row r="83" spans="1:14" ht="14.25">
      <c r="A83" s="74" t="s">
        <v>34</v>
      </c>
      <c r="B83" s="112">
        <f>Density($A$73,"TP","SI",100,0.1)</f>
        <v>3.686762927903101</v>
      </c>
      <c r="C83" s="41" t="s">
        <v>124</v>
      </c>
      <c r="D83" s="73"/>
      <c r="E83" s="118">
        <f>Density("Air","TP","SI",100,0.1)</f>
        <v>3.555813944581173</v>
      </c>
      <c r="F83" s="54">
        <f>Pressure("Air","Tliq","SI",100)</f>
        <v>0.6627331520633188</v>
      </c>
      <c r="G83" s="54">
        <f>Pressure("Air","Tvap","SI",100)</f>
        <v>0.5661073253189777</v>
      </c>
      <c r="H83" s="79" t="s">
        <v>232</v>
      </c>
      <c r="I83" s="79"/>
      <c r="J83" s="73"/>
      <c r="K83" s="73"/>
      <c r="L83" s="73"/>
      <c r="M83" s="73"/>
      <c r="N83" s="73"/>
    </row>
    <row r="84" spans="1:14" ht="14.25">
      <c r="A84" s="74" t="s">
        <v>35</v>
      </c>
      <c r="B84" s="100">
        <f>Density($A$73,"TP","SI",100,1)</f>
        <v>848.2099621660033</v>
      </c>
      <c r="C84" s="41" t="s">
        <v>124</v>
      </c>
      <c r="D84" s="73"/>
      <c r="E84" s="118">
        <f>Density("air.ppf","TP","SI",100,0.1)</f>
        <v>3.5569570721342183</v>
      </c>
      <c r="F84" s="54">
        <f>Pressure("air.ppf","Tliq","SI",100)</f>
        <v>0.6631285894402605</v>
      </c>
      <c r="G84" s="54">
        <f>Pressure("air.ppf","Tvap","SI",100)</f>
        <v>0.5674241338937178</v>
      </c>
      <c r="H84" s="79" t="s">
        <v>233</v>
      </c>
      <c r="I84" s="79"/>
      <c r="J84" s="73"/>
      <c r="K84" s="73"/>
      <c r="L84" s="73"/>
      <c r="M84" s="73"/>
      <c r="N84" s="73"/>
    </row>
    <row r="85" spans="1:14" ht="12.75">
      <c r="A85" s="73"/>
      <c r="B85" s="37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1:14" ht="12.75">
      <c r="A86" s="34"/>
      <c r="B86" s="75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1:14" ht="12.75">
      <c r="A87" s="67" t="s">
        <v>12</v>
      </c>
      <c r="B87" s="76"/>
      <c r="C87" s="34"/>
      <c r="D87" s="33" t="s">
        <v>119</v>
      </c>
      <c r="E87" s="33" t="s">
        <v>120</v>
      </c>
      <c r="F87" s="33" t="s">
        <v>121</v>
      </c>
      <c r="G87" s="33" t="s">
        <v>122</v>
      </c>
      <c r="H87" s="34"/>
      <c r="I87" s="34"/>
      <c r="J87" s="34"/>
      <c r="K87" s="34"/>
      <c r="L87" s="34"/>
      <c r="M87" s="34"/>
      <c r="N87" s="34"/>
    </row>
    <row r="88" spans="1:14" ht="12.75">
      <c r="A88" s="77" t="s">
        <v>55</v>
      </c>
      <c r="B88" s="49"/>
      <c r="C88" s="78" t="s">
        <v>130</v>
      </c>
      <c r="D88" s="73">
        <f>MoleFraction($C$88,1)</f>
        <v>0.697614699375863</v>
      </c>
      <c r="E88" s="73">
        <f>MoleFraction($C$88,2)</f>
        <v>0.302385300624138</v>
      </c>
      <c r="F88" s="73">
        <f>MassFraction($C$88,1)</f>
        <v>0.49999999999999983</v>
      </c>
      <c r="G88" s="73">
        <f>MassFraction($C$88,2)</f>
        <v>0.5000000000000001</v>
      </c>
      <c r="H88" s="73"/>
      <c r="I88" s="73"/>
      <c r="J88" s="73"/>
      <c r="K88" s="73"/>
      <c r="L88" s="73"/>
      <c r="M88" s="73"/>
      <c r="N88" s="73"/>
    </row>
    <row r="89" spans="1:14" ht="12.75">
      <c r="A89" s="73"/>
      <c r="B89" s="73"/>
      <c r="C89" s="34" t="s">
        <v>166</v>
      </c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1:14" ht="12.75">
      <c r="A90" s="33" t="s">
        <v>20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1:14" ht="14.25">
      <c r="A91" s="87" t="s">
        <v>80</v>
      </c>
      <c r="B91" s="112">
        <f>Density($C$88,"TP","SI",300,10)</f>
        <v>1113.5604396543629</v>
      </c>
      <c r="C91" s="41" t="s">
        <v>124</v>
      </c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</row>
    <row r="92" spans="1:14" ht="12.75">
      <c r="A92" s="78"/>
      <c r="B92" s="78"/>
      <c r="C92" s="78"/>
      <c r="D92" s="73"/>
      <c r="E92" s="49" t="s">
        <v>95</v>
      </c>
      <c r="F92" s="79"/>
      <c r="G92" s="79"/>
      <c r="H92" s="79"/>
      <c r="I92" s="79"/>
      <c r="J92" s="79"/>
      <c r="K92" s="79"/>
      <c r="L92" s="79"/>
      <c r="M92" s="79"/>
      <c r="N92" s="79"/>
    </row>
    <row r="93" spans="1:16" ht="12.75">
      <c r="A93" s="49" t="s">
        <v>126</v>
      </c>
      <c r="B93" s="49"/>
      <c r="C93" s="49"/>
      <c r="D93" s="33"/>
      <c r="E93" s="33" t="s">
        <v>62</v>
      </c>
      <c r="F93" s="33" t="s">
        <v>62</v>
      </c>
      <c r="G93" s="33" t="s">
        <v>63</v>
      </c>
      <c r="H93" s="33" t="s">
        <v>63</v>
      </c>
      <c r="I93" s="80" t="s">
        <v>56</v>
      </c>
      <c r="J93" s="80" t="s">
        <v>59</v>
      </c>
      <c r="K93" s="80" t="s">
        <v>56</v>
      </c>
      <c r="L93" s="80" t="s">
        <v>58</v>
      </c>
      <c r="M93" s="80" t="s">
        <v>56</v>
      </c>
      <c r="N93" s="80" t="s">
        <v>59</v>
      </c>
      <c r="O93" s="128" t="s">
        <v>136</v>
      </c>
      <c r="P93" s="128" t="s">
        <v>136</v>
      </c>
    </row>
    <row r="94" spans="1:16" ht="12.75">
      <c r="A94" s="41" t="s">
        <v>6</v>
      </c>
      <c r="B94" s="41" t="s">
        <v>23</v>
      </c>
      <c r="C94" s="42" t="s">
        <v>8</v>
      </c>
      <c r="D94" s="33" t="s">
        <v>0</v>
      </c>
      <c r="E94" s="33" t="s">
        <v>61</v>
      </c>
      <c r="F94" s="33" t="s">
        <v>61</v>
      </c>
      <c r="G94" s="33" t="s">
        <v>61</v>
      </c>
      <c r="H94" s="33" t="s">
        <v>61</v>
      </c>
      <c r="I94" s="81" t="s">
        <v>64</v>
      </c>
      <c r="J94" s="81" t="s">
        <v>64</v>
      </c>
      <c r="K94" s="80" t="s">
        <v>57</v>
      </c>
      <c r="L94" s="80" t="s">
        <v>57</v>
      </c>
      <c r="M94" s="80" t="s">
        <v>60</v>
      </c>
      <c r="N94" s="80" t="s">
        <v>60</v>
      </c>
      <c r="O94" s="128" t="s">
        <v>137</v>
      </c>
      <c r="P94" s="128" t="s">
        <v>137</v>
      </c>
    </row>
    <row r="95" spans="1:16" ht="14.25">
      <c r="A95" s="41" t="s">
        <v>7</v>
      </c>
      <c r="B95" s="41" t="s">
        <v>44</v>
      </c>
      <c r="C95" s="41" t="s">
        <v>124</v>
      </c>
      <c r="D95" s="33" t="s">
        <v>131</v>
      </c>
      <c r="E95" s="33" t="s">
        <v>65</v>
      </c>
      <c r="F95" s="33" t="s">
        <v>66</v>
      </c>
      <c r="G95" s="33" t="s">
        <v>65</v>
      </c>
      <c r="H95" s="33" t="s">
        <v>66</v>
      </c>
      <c r="I95" s="41" t="s">
        <v>124</v>
      </c>
      <c r="J95" s="41" t="s">
        <v>124</v>
      </c>
      <c r="K95" s="52" t="s">
        <v>75</v>
      </c>
      <c r="L95" s="52" t="s">
        <v>75</v>
      </c>
      <c r="M95" s="53" t="s">
        <v>182</v>
      </c>
      <c r="N95" s="53" t="s">
        <v>182</v>
      </c>
      <c r="O95" s="53" t="s">
        <v>65</v>
      </c>
      <c r="P95" s="53" t="s">
        <v>66</v>
      </c>
    </row>
    <row r="96" spans="1:16" ht="12.75">
      <c r="A96" s="89">
        <v>300</v>
      </c>
      <c r="B96" s="114">
        <f>Pressure($C$88,"TD","SI",A96,C96)</f>
        <v>1.739100965062471</v>
      </c>
      <c r="C96" s="89">
        <v>200</v>
      </c>
      <c r="D96" s="114">
        <f>Quality($C$88,"TD","SI",A96,C96)</f>
        <v>0.2984372210581888</v>
      </c>
      <c r="E96" s="114">
        <f>LiquidMoleFraction($C$88,"TD","SI",A96,C96,1)</f>
        <v>0.6912735300281198</v>
      </c>
      <c r="F96" s="114">
        <f>LiquidMoleFraction($C$88,"TD","SI",A96,C96,2)</f>
        <v>0.3087264699718804</v>
      </c>
      <c r="G96" s="114">
        <f>VaporMoleFraction($C$88,"TD","SI",A96,C96,1)</f>
        <v>0.7122305216746461</v>
      </c>
      <c r="H96" s="114">
        <f>VaporMoleFraction($C$88,"TD","SI",A96,C96,2)</f>
        <v>0.28776947832535393</v>
      </c>
      <c r="I96" s="120">
        <f>LiquidDensity($C$88,"TD","SI",A96,C96)</f>
        <v>1050.8820475726714</v>
      </c>
      <c r="J96" s="118">
        <f>VaporDensity($C$88,"TD","SI",A96,C96)</f>
        <v>68.88339434544153</v>
      </c>
      <c r="K96" s="114">
        <f>Viscosity($E$97,"TQ","SI",A96,0)</f>
        <v>115.30342144362292</v>
      </c>
      <c r="L96" s="114">
        <f>Viscosity($E$98,"TQ","SI",A96,1)</f>
        <v>13.799058798636281</v>
      </c>
      <c r="M96" s="114">
        <f>ThermalConductivity($E$97,"TQ","SI",A96,0)</f>
        <v>87.50145560585301</v>
      </c>
      <c r="N96" s="114">
        <f>ThermalConductivity($E$98,"TQ","SI",A96,1)</f>
        <v>15.80339920875625</v>
      </c>
      <c r="O96" s="54">
        <f>mole2mass($C$88,1,E96,F96)</f>
        <v>0.49252930800871936</v>
      </c>
      <c r="P96" s="54">
        <f>mole2mass($C$88,2,E96,F96)</f>
        <v>0.5074706919912807</v>
      </c>
    </row>
    <row r="97" spans="1:17" ht="12.75">
      <c r="A97" s="114"/>
      <c r="B97" s="114" t="s">
        <v>67</v>
      </c>
      <c r="C97" s="114"/>
      <c r="D97" s="114"/>
      <c r="E97" s="114" t="str">
        <f>FluidString(E95:F95,E96:F96)</f>
        <v>R32;0.69127353002812;R125;0.30872646997188</v>
      </c>
      <c r="F97" s="114"/>
      <c r="G97" s="114"/>
      <c r="H97" s="114"/>
      <c r="I97" s="114"/>
      <c r="J97" s="114"/>
      <c r="K97" s="114"/>
      <c r="L97" s="114"/>
      <c r="M97" s="114"/>
      <c r="N97" s="114"/>
      <c r="O97" s="54">
        <f>mass2mole($C$88,1,O96,P96)</f>
        <v>0.6912735300281196</v>
      </c>
      <c r="P97" s="54">
        <f>mass2mole($C$88,2,O96,P96)</f>
        <v>0.3087264699718803</v>
      </c>
      <c r="Q97" s="129" t="s">
        <v>138</v>
      </c>
    </row>
    <row r="98" spans="1:14" ht="12.75">
      <c r="A98" s="114"/>
      <c r="B98" s="114" t="s">
        <v>68</v>
      </c>
      <c r="C98" s="114"/>
      <c r="D98" s="114"/>
      <c r="E98" s="114" t="str">
        <f>FluidString(G95:H95,G96:H96)</f>
        <v>R32;0.712230521674646;R125;0.287769478325354</v>
      </c>
      <c r="F98" s="114"/>
      <c r="G98" s="114"/>
      <c r="H98" s="114"/>
      <c r="I98" s="114"/>
      <c r="J98" s="114"/>
      <c r="K98" s="114"/>
      <c r="L98" s="114"/>
      <c r="M98" s="114"/>
      <c r="N98" s="114"/>
    </row>
    <row r="99" spans="1:14" ht="12.7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</row>
    <row r="100" spans="1:17" ht="12.75">
      <c r="A100" s="78"/>
      <c r="B100" s="78"/>
      <c r="C100" s="78"/>
      <c r="D100" s="73"/>
      <c r="E100" s="49" t="s">
        <v>127</v>
      </c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54"/>
    </row>
    <row r="101" spans="1:17" ht="12.75">
      <c r="A101" s="49" t="s">
        <v>69</v>
      </c>
      <c r="B101" s="49"/>
      <c r="C101" s="49"/>
      <c r="D101" s="33"/>
      <c r="E101" s="33" t="s">
        <v>62</v>
      </c>
      <c r="F101" s="33" t="s">
        <v>62</v>
      </c>
      <c r="G101" s="33"/>
      <c r="H101" s="33"/>
      <c r="I101" s="80" t="s">
        <v>56</v>
      </c>
      <c r="J101" s="80" t="s">
        <v>59</v>
      </c>
      <c r="K101" s="80" t="s">
        <v>56</v>
      </c>
      <c r="L101" s="80" t="s">
        <v>58</v>
      </c>
      <c r="M101" s="80" t="s">
        <v>56</v>
      </c>
      <c r="N101" s="80" t="s">
        <v>59</v>
      </c>
      <c r="O101" s="80" t="s">
        <v>246</v>
      </c>
      <c r="P101" s="80" t="s">
        <v>246</v>
      </c>
      <c r="Q101" s="54"/>
    </row>
    <row r="102" spans="1:16" ht="12.75">
      <c r="A102" s="41" t="s">
        <v>6</v>
      </c>
      <c r="B102" s="41" t="s">
        <v>23</v>
      </c>
      <c r="C102" s="42" t="s">
        <v>8</v>
      </c>
      <c r="D102" s="41" t="s">
        <v>70</v>
      </c>
      <c r="E102" s="33" t="s">
        <v>61</v>
      </c>
      <c r="F102" s="33" t="s">
        <v>61</v>
      </c>
      <c r="G102" s="33"/>
      <c r="H102" s="33"/>
      <c r="I102" s="81" t="s">
        <v>72</v>
      </c>
      <c r="J102" s="81" t="s">
        <v>72</v>
      </c>
      <c r="K102" s="80" t="s">
        <v>57</v>
      </c>
      <c r="L102" s="80" t="s">
        <v>57</v>
      </c>
      <c r="M102" s="80" t="s">
        <v>60</v>
      </c>
      <c r="N102" s="80" t="s">
        <v>60</v>
      </c>
      <c r="O102" s="80" t="s">
        <v>65</v>
      </c>
      <c r="P102" s="80" t="s">
        <v>66</v>
      </c>
    </row>
    <row r="103" spans="1:16" ht="14.25">
      <c r="A103" s="41" t="s">
        <v>7</v>
      </c>
      <c r="B103" s="41" t="s">
        <v>44</v>
      </c>
      <c r="C103" s="41" t="s">
        <v>124</v>
      </c>
      <c r="D103" s="41" t="s">
        <v>71</v>
      </c>
      <c r="E103" s="33" t="s">
        <v>65</v>
      </c>
      <c r="F103" s="33" t="s">
        <v>66</v>
      </c>
      <c r="G103" s="33"/>
      <c r="H103" s="33"/>
      <c r="I103" s="41" t="s">
        <v>125</v>
      </c>
      <c r="J103" s="41" t="s">
        <v>125</v>
      </c>
      <c r="K103" s="52" t="s">
        <v>75</v>
      </c>
      <c r="L103" s="52" t="s">
        <v>75</v>
      </c>
      <c r="M103" s="53" t="s">
        <v>182</v>
      </c>
      <c r="N103" s="53" t="s">
        <v>182</v>
      </c>
      <c r="O103" s="53" t="s">
        <v>44</v>
      </c>
      <c r="P103" s="53" t="s">
        <v>44</v>
      </c>
    </row>
    <row r="104" spans="1:16" ht="12.75">
      <c r="A104" s="89">
        <v>300</v>
      </c>
      <c r="B104" s="114">
        <f>Pressure($C$88,"TVAP","SI",A104)</f>
        <v>1.735159087367333</v>
      </c>
      <c r="C104" s="114">
        <f>Density($C$88,"TVAP","SI",A104)</f>
        <v>69.70732567874602</v>
      </c>
      <c r="D104" s="114">
        <f>LiquidDensity($C$88,"TVAP","SI",A104)</f>
        <v>1055.0920653036662</v>
      </c>
      <c r="E104" s="114">
        <f>LiquidMoleFraction($C$88,"TVAP","SI",A104,,1)</f>
        <v>0.6750132708682448</v>
      </c>
      <c r="F104" s="114">
        <f>LiquidMoleFraction($C$88,"TVAP","SI",A104,,2)</f>
        <v>0.32498672913175525</v>
      </c>
      <c r="G104" s="114"/>
      <c r="H104" s="114"/>
      <c r="I104" s="120">
        <f>Enthalpy($E$105,"TD&amp;","SI",A104,D104)</f>
        <v>242.6534462143197</v>
      </c>
      <c r="J104" s="120">
        <f>Enthalpy($C$88,"TD&amp;","SI",A104,C104)</f>
        <v>426.2797482983919</v>
      </c>
      <c r="K104" s="114">
        <f>Viscosity($E$105,"TD&amp;","SI",A104,D104)</f>
        <v>115.75277638209528</v>
      </c>
      <c r="L104" s="114">
        <f>Viscosity($C$88,"TD&amp;","SI",A104,C104)</f>
        <v>13.814398965991666</v>
      </c>
      <c r="M104" s="114">
        <f>ThermalConductivity($E$105,"TD&amp;","SI",A104,D104)</f>
        <v>86.25097734752462</v>
      </c>
      <c r="N104" s="114">
        <f>ThermalConductivity($C$88,"TD&amp;","SI",A104,C104)</f>
        <v>15.814279861925236</v>
      </c>
      <c r="O104" s="164">
        <f>Fugacity($C$88,"TD&amp;","SI",A104,C104,1)</f>
        <v>0.9658750844059305</v>
      </c>
      <c r="P104" s="164">
        <f>Fugacity($C$88,"TD&amp;","SI",A104,C104,2)</f>
        <v>0.39815459076935755</v>
      </c>
    </row>
    <row r="105" spans="1:14" ht="12.75">
      <c r="A105" s="114"/>
      <c r="B105" s="114" t="s">
        <v>67</v>
      </c>
      <c r="C105" s="114"/>
      <c r="D105" s="114"/>
      <c r="E105" s="114" t="str">
        <f>FluidString(E103:F103,E104:F104)</f>
        <v>R32;0.675013270868245;R125;0.324986729131755</v>
      </c>
      <c r="F105" s="114"/>
      <c r="G105" s="114"/>
      <c r="H105" s="114"/>
      <c r="I105" s="114"/>
      <c r="J105" s="114"/>
      <c r="K105" s="114"/>
      <c r="L105" s="114"/>
      <c r="M105" s="114"/>
      <c r="N105" s="114"/>
    </row>
    <row r="107" ht="12.75">
      <c r="P107" s="164"/>
    </row>
    <row r="108" spans="1:9" ht="12.75">
      <c r="A108" s="123" t="s">
        <v>132</v>
      </c>
      <c r="B108" s="123"/>
      <c r="C108" s="126"/>
      <c r="D108" s="102"/>
      <c r="E108" s="123" t="s">
        <v>134</v>
      </c>
      <c r="F108" s="123"/>
      <c r="G108" s="123"/>
      <c r="H108" s="123"/>
      <c r="I108" s="123"/>
    </row>
    <row r="109" spans="1:5" ht="12.75">
      <c r="A109" s="127" t="s">
        <v>133</v>
      </c>
      <c r="D109" s="102"/>
      <c r="E109" s="127" t="s">
        <v>135</v>
      </c>
    </row>
    <row r="110" spans="1:7" ht="12.75">
      <c r="A110" s="41" t="s">
        <v>6</v>
      </c>
      <c r="B110" s="41" t="s">
        <v>23</v>
      </c>
      <c r="C110" s="42" t="s">
        <v>8</v>
      </c>
      <c r="D110" s="102"/>
      <c r="E110" s="41" t="s">
        <v>6</v>
      </c>
      <c r="F110" s="41" t="s">
        <v>23</v>
      </c>
      <c r="G110" s="42" t="s">
        <v>8</v>
      </c>
    </row>
    <row r="111" spans="1:7" ht="14.25">
      <c r="A111" s="41" t="s">
        <v>7</v>
      </c>
      <c r="B111" s="41" t="s">
        <v>44</v>
      </c>
      <c r="C111" s="41" t="s">
        <v>124</v>
      </c>
      <c r="D111" s="102"/>
      <c r="E111" s="41" t="s">
        <v>7</v>
      </c>
      <c r="F111" s="41" t="s">
        <v>44</v>
      </c>
      <c r="G111" s="41" t="s">
        <v>124</v>
      </c>
    </row>
    <row r="112" spans="1:7" ht="12.75">
      <c r="A112" s="89">
        <v>300</v>
      </c>
      <c r="B112" s="114">
        <f>Pressure($A$109,"TVAP","SI",A112)</f>
        <v>1.6672174839379472</v>
      </c>
      <c r="C112" s="114">
        <f>Density($A$109,"TVAP","SI",A112)</f>
        <v>79.39904513189371</v>
      </c>
      <c r="D112" s="102"/>
      <c r="E112" s="89">
        <v>300</v>
      </c>
      <c r="F112" s="114">
        <f>Pressure($E$109,"TVAP","SI",E112)</f>
        <v>1.7351590873867138</v>
      </c>
      <c r="G112" s="114">
        <f>Density($E$109,"TVAP","SI",E112)</f>
        <v>69.70732567994254</v>
      </c>
    </row>
    <row r="113" spans="3:4" ht="12.75">
      <c r="C113" s="101"/>
      <c r="D113" s="102"/>
    </row>
    <row r="114" spans="1:4" ht="12.75">
      <c r="A114" s="130"/>
      <c r="C114" s="101"/>
      <c r="D114" s="102"/>
    </row>
    <row r="115" spans="1:4" ht="12.75">
      <c r="A115" t="s">
        <v>253</v>
      </c>
      <c r="B115">
        <v>300</v>
      </c>
      <c r="C115" s="101"/>
      <c r="D115" s="102"/>
    </row>
    <row r="116" spans="1:3" ht="12.75">
      <c r="A116" t="s">
        <v>149</v>
      </c>
      <c r="B116">
        <v>10</v>
      </c>
      <c r="C116" s="101"/>
    </row>
    <row r="117" spans="2:9" ht="12.75">
      <c r="B117" s="165" t="s">
        <v>248</v>
      </c>
      <c r="C117" s="166">
        <v>0.5</v>
      </c>
      <c r="D117" s="101"/>
      <c r="E117" s="165" t="s">
        <v>248</v>
      </c>
      <c r="F117" s="166">
        <v>0.5</v>
      </c>
      <c r="H117" s="165" t="s">
        <v>248</v>
      </c>
      <c r="I117" s="166">
        <v>0.5</v>
      </c>
    </row>
    <row r="118" spans="2:9" ht="12.75">
      <c r="B118" s="167"/>
      <c r="C118" s="168">
        <v>0.2</v>
      </c>
      <c r="D118" s="101"/>
      <c r="E118" s="167"/>
      <c r="F118" s="168">
        <v>0.2</v>
      </c>
      <c r="H118" s="167" t="s">
        <v>249</v>
      </c>
      <c r="I118" s="168">
        <v>0.2</v>
      </c>
    </row>
    <row r="119" spans="2:9" ht="12.75">
      <c r="B119" s="167" t="s">
        <v>250</v>
      </c>
      <c r="C119" s="168">
        <v>0.1</v>
      </c>
      <c r="D119" s="101"/>
      <c r="E119" s="167" t="s">
        <v>250</v>
      </c>
      <c r="F119" s="168">
        <v>0.1</v>
      </c>
      <c r="H119" s="167" t="s">
        <v>250</v>
      </c>
      <c r="I119" s="168">
        <v>0.1</v>
      </c>
    </row>
    <row r="120" spans="2:9" ht="12.75">
      <c r="B120" s="167"/>
      <c r="C120" s="168">
        <v>0.1</v>
      </c>
      <c r="D120" s="101"/>
      <c r="E120" s="167" t="s">
        <v>251</v>
      </c>
      <c r="F120" s="168">
        <v>0.1</v>
      </c>
      <c r="H120" s="167" t="s">
        <v>251</v>
      </c>
      <c r="I120" s="168">
        <v>0.1</v>
      </c>
    </row>
    <row r="121" spans="2:9" ht="12.75">
      <c r="B121" s="169" t="s">
        <v>252</v>
      </c>
      <c r="C121" s="170">
        <v>0.1</v>
      </c>
      <c r="D121" s="101"/>
      <c r="E121" s="169"/>
      <c r="F121" s="170">
        <v>0.1</v>
      </c>
      <c r="H121" s="169" t="s">
        <v>252</v>
      </c>
      <c r="I121" s="170">
        <v>0.1</v>
      </c>
    </row>
    <row r="122" ht="12.75">
      <c r="I122" s="101"/>
    </row>
    <row r="123" spans="2:8" ht="12.75">
      <c r="B123" s="101" t="str">
        <f>FluidString(B117:B121,C117:C121)</f>
        <v>methane;0.5;propane;0.1;pentane;0.1</v>
      </c>
      <c r="E123" s="101" t="str">
        <f>FluidString(E117:E121,F117:F121)</f>
        <v>methane;0.5;propane;0.1;butane;0.1</v>
      </c>
      <c r="H123" s="101" t="str">
        <f>FluidString(H117:H121,I117:I121)</f>
        <v>methane;0.5;ethane;0.2;propane;0.1;butane;0.1;pentane;0.1</v>
      </c>
    </row>
    <row r="124" spans="1:9" ht="12.75">
      <c r="A124" t="s">
        <v>64</v>
      </c>
      <c r="B124">
        <f>Density(B$123,"TP","SI",$B$115,$B$116)</f>
        <v>196.60450199942116</v>
      </c>
      <c r="E124">
        <f>Density(E$123,"TP","SI",$B$115,$B$116)</f>
        <v>207.46329393378426</v>
      </c>
      <c r="H124">
        <f>Density(H$123,"TP","SI",$B$115,$B$116)</f>
        <v>329.0478978854769</v>
      </c>
      <c r="I124" s="101"/>
    </row>
    <row r="125" spans="1:3" ht="12.75">
      <c r="A125" t="s">
        <v>254</v>
      </c>
      <c r="C125" s="101"/>
    </row>
    <row r="128" spans="2:3" ht="12.75">
      <c r="B128" s="78">
        <f>Density("air","TP","SI",293.15,0.101325)</f>
        <v>1.2042627133699653</v>
      </c>
      <c r="C128" s="78" t="s">
        <v>256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31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7.8515625" style="0" customWidth="1"/>
    <col min="3" max="3" width="34.7109375" style="0" customWidth="1"/>
    <col min="4" max="4" width="14.140625" style="0" customWidth="1"/>
  </cols>
  <sheetData>
    <row r="1" spans="1:5" ht="12.75">
      <c r="A1" s="123" t="s">
        <v>148</v>
      </c>
      <c r="B1" s="123"/>
      <c r="C1" s="123"/>
      <c r="D1" s="123"/>
      <c r="E1" s="123"/>
    </row>
    <row r="2" spans="1:3" ht="12.75">
      <c r="A2" s="135" t="s">
        <v>150</v>
      </c>
      <c r="C2" s="134"/>
    </row>
    <row r="3" spans="1:4" ht="12.75">
      <c r="A3" s="134" t="s">
        <v>149</v>
      </c>
      <c r="B3" s="135">
        <v>0.3</v>
      </c>
      <c r="C3" s="134" t="s">
        <v>238</v>
      </c>
      <c r="D3" s="135">
        <v>300</v>
      </c>
    </row>
    <row r="4" spans="1:4" ht="12.75">
      <c r="A4" s="134" t="s">
        <v>151</v>
      </c>
      <c r="B4">
        <f>Temperature($A$2,"Pliq","SI",$B$3)</f>
        <v>298.16384306936726</v>
      </c>
      <c r="C4" s="134" t="s">
        <v>239</v>
      </c>
      <c r="D4">
        <f>Pressure($A$2,"Tvap","SI",$D$3)</f>
        <v>0.0068018777443069455</v>
      </c>
    </row>
    <row r="6" spans="1:5" ht="12.75">
      <c r="A6" s="123" t="s">
        <v>154</v>
      </c>
      <c r="B6" s="123"/>
      <c r="C6" s="123"/>
      <c r="D6" s="123"/>
      <c r="E6" s="123"/>
    </row>
    <row r="7" spans="1:4" ht="12.75">
      <c r="A7" s="134" t="s">
        <v>152</v>
      </c>
      <c r="B7">
        <f>LiquidDensity($A$2,"Pliq","SI",$B$3)</f>
        <v>828.0945322257141</v>
      </c>
      <c r="C7" s="134" t="s">
        <v>152</v>
      </c>
      <c r="D7">
        <f>LiquidDensity($A$2,"Tvap","SI",$D$3)</f>
        <v>984.4707348982423</v>
      </c>
    </row>
    <row r="8" spans="1:4" ht="12.75">
      <c r="A8" s="134" t="s">
        <v>153</v>
      </c>
      <c r="B8">
        <f>VaporDensity($A$2,"Pliq","SI",$B$3)</f>
        <v>2.129661319444277</v>
      </c>
      <c r="C8" s="134" t="s">
        <v>153</v>
      </c>
      <c r="D8">
        <f>VaporDensity($A$2,"Tvap","SI",$D$3)</f>
        <v>0.047864881641658155</v>
      </c>
    </row>
    <row r="10" spans="1:5" ht="12.75">
      <c r="A10" s="123" t="s">
        <v>240</v>
      </c>
      <c r="B10" s="123"/>
      <c r="C10" s="123"/>
      <c r="D10" s="123"/>
      <c r="E10" s="123"/>
    </row>
    <row r="11" spans="1:5" ht="12.75">
      <c r="A11" s="123"/>
      <c r="B11" s="155" t="s">
        <v>59</v>
      </c>
      <c r="C11" s="123"/>
      <c r="D11" s="155" t="s">
        <v>56</v>
      </c>
      <c r="E11" s="123"/>
    </row>
    <row r="12" spans="1:4" ht="12.75">
      <c r="A12" s="134" t="s">
        <v>236</v>
      </c>
      <c r="B12">
        <f>VaporMoleFraction($A$2,"Pliq","SI",$B$3,,1)</f>
        <v>0.9972117210275488</v>
      </c>
      <c r="D12" s="134">
        <f>LiquidMoleFraction($A$2,"Tvap","SI",$D$3,,1)</f>
        <v>0.0350233707129566</v>
      </c>
    </row>
    <row r="13" spans="1:4" ht="12.75">
      <c r="A13" s="134" t="s">
        <v>237</v>
      </c>
      <c r="B13">
        <f>VaporMoleFraction($A$2,"Pliq","SI",$B$3,,2)</f>
        <v>0.0027882789724510805</v>
      </c>
      <c r="D13">
        <f>LiquidMoleFraction($A$2,"Tvap","SI",$D$3,,2)</f>
        <v>0.9649766292870433</v>
      </c>
    </row>
    <row r="14" spans="1:4" ht="12.75">
      <c r="A14" s="136" t="str">
        <f>FluidString(A12:A13,B12:B13)</f>
        <v>Ammonia;0.997211721027549;Water;2.78827897245108E-03</v>
      </c>
      <c r="D14" s="136" t="str">
        <f>FluidString(A12:A13,D12:D13)</f>
        <v>Ammonia;3.50233707129566E-02;Water;0.964976629287043</v>
      </c>
    </row>
    <row r="16" spans="1:5" ht="12.75">
      <c r="A16" s="123" t="s">
        <v>155</v>
      </c>
      <c r="B16" s="123"/>
      <c r="C16" s="123"/>
      <c r="D16" s="123"/>
      <c r="E16" s="123"/>
    </row>
    <row r="17" spans="1:5" ht="12.75">
      <c r="A17" s="123" t="s">
        <v>156</v>
      </c>
      <c r="B17" s="123"/>
      <c r="C17" s="123"/>
      <c r="D17" s="123"/>
      <c r="E17" s="123"/>
    </row>
    <row r="18" spans="1:5" ht="12.75">
      <c r="A18" s="157" t="s">
        <v>175</v>
      </c>
      <c r="B18" s="157"/>
      <c r="C18" s="157"/>
      <c r="D18" s="157"/>
      <c r="E18" s="157"/>
    </row>
    <row r="19" spans="1:5" ht="12.75">
      <c r="A19" s="157" t="s">
        <v>243</v>
      </c>
      <c r="B19" s="157"/>
      <c r="C19" s="157"/>
      <c r="D19" s="157"/>
      <c r="E19" s="157"/>
    </row>
    <row r="20" spans="1:5" ht="12.75">
      <c r="A20" s="157" t="s">
        <v>161</v>
      </c>
      <c r="B20" s="157"/>
      <c r="C20" s="157"/>
      <c r="D20" s="157"/>
      <c r="E20" s="157"/>
    </row>
    <row r="21" spans="1:5" ht="12.75">
      <c r="A21" s="157" t="s">
        <v>176</v>
      </c>
      <c r="B21" s="157"/>
      <c r="C21" s="157"/>
      <c r="D21" s="157"/>
      <c r="E21" s="157"/>
    </row>
    <row r="22" spans="1:5" ht="12.75">
      <c r="A22" s="157" t="s">
        <v>162</v>
      </c>
      <c r="B22" s="157"/>
      <c r="C22" s="157"/>
      <c r="D22" s="157"/>
      <c r="E22" s="157"/>
    </row>
    <row r="23" spans="1:5" ht="12.75">
      <c r="A23" s="158" t="s">
        <v>177</v>
      </c>
      <c r="B23" s="157"/>
      <c r="C23" s="157"/>
      <c r="D23" s="157"/>
      <c r="E23" s="157"/>
    </row>
    <row r="24" spans="1:4" ht="12.75">
      <c r="A24" s="134" t="s">
        <v>157</v>
      </c>
      <c r="B24">
        <f>Enthalpy($A$2,"TD&amp;","SI",$B$4,$B$7)</f>
        <v>26.62962168509054</v>
      </c>
      <c r="D24">
        <f>Enthalpy($D$14,"TD&amp;","SI",$D$3,$D$7)</f>
        <v>91.17012005172776</v>
      </c>
    </row>
    <row r="25" spans="1:5" ht="12.75">
      <c r="A25" s="134" t="s">
        <v>158</v>
      </c>
      <c r="B25">
        <f>Enthalpy($A$14,"TD&amp;","SI",$B$4,$B$8)</f>
        <v>1679.734810735819</v>
      </c>
      <c r="D25">
        <f>Enthalpy($A$2,"TD&amp;","SI",$D$3,$D$8)</f>
        <v>2136.3607482736966</v>
      </c>
      <c r="E25" s="159" t="s">
        <v>242</v>
      </c>
    </row>
    <row r="26" ht="12.75">
      <c r="A26" s="134"/>
    </row>
    <row r="27" spans="1:4" ht="12.75">
      <c r="A27" s="134" t="s">
        <v>159</v>
      </c>
      <c r="B27">
        <f>SpeedOfSound($A$2,"TD&amp;","SI",$B$4,$B$7)</f>
        <v>1794.7742890613042</v>
      </c>
      <c r="D27">
        <f>SpeedOfSound($D$14,"TD&amp;","SI",$D$3,$D$7)</f>
        <v>1554.7650888240212</v>
      </c>
    </row>
    <row r="28" spans="1:4" ht="12.75">
      <c r="A28" s="134" t="s">
        <v>160</v>
      </c>
      <c r="B28">
        <f>SpeedOfSound($A$14,"TD&amp;","SI",$B$4,$B$8)</f>
        <v>427.4542511679657</v>
      </c>
      <c r="D28">
        <f>SpeedOfSound($A$2,"TD&amp;","SI",$D$3,$D$8)</f>
        <v>432.3020800572341</v>
      </c>
    </row>
    <row r="29" ht="12.75">
      <c r="A29" s="134"/>
    </row>
    <row r="30" spans="1:2" ht="12.75">
      <c r="A30" s="134"/>
      <c r="B30" s="156" t="s">
        <v>241</v>
      </c>
    </row>
    <row r="31" ht="12.75">
      <c r="A31" s="13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23"/>
  <sheetViews>
    <sheetView workbookViewId="0" topLeftCell="A1">
      <selection activeCell="A2" sqref="A2"/>
    </sheetView>
  </sheetViews>
  <sheetFormatPr defaultColWidth="9.140625" defaultRowHeight="12.75"/>
  <sheetData>
    <row r="1" s="154" customFormat="1" ht="12.75">
      <c r="A1" s="154" t="s">
        <v>225</v>
      </c>
    </row>
    <row r="2" s="154" customFormat="1" ht="12.75">
      <c r="A2" s="154" t="s">
        <v>227</v>
      </c>
    </row>
    <row r="3" s="154" customFormat="1" ht="12.75">
      <c r="A3" s="154" t="s">
        <v>226</v>
      </c>
    </row>
    <row r="4" spans="2:15" ht="12.75">
      <c r="B4" s="142" t="s">
        <v>198</v>
      </c>
      <c r="C4" s="142" t="s">
        <v>199</v>
      </c>
      <c r="D4" s="146" t="s">
        <v>198</v>
      </c>
      <c r="E4" s="142" t="s">
        <v>199</v>
      </c>
      <c r="G4" s="142" t="s">
        <v>198</v>
      </c>
      <c r="K4" s="143" t="s">
        <v>198</v>
      </c>
      <c r="L4" s="143" t="s">
        <v>199</v>
      </c>
      <c r="M4" s="149" t="s">
        <v>214</v>
      </c>
      <c r="N4" s="150" t="s">
        <v>214</v>
      </c>
      <c r="O4" s="151" t="s">
        <v>214</v>
      </c>
    </row>
    <row r="5" spans="2:15" ht="12.75">
      <c r="B5" s="142" t="s">
        <v>224</v>
      </c>
      <c r="C5" s="142"/>
      <c r="D5" s="146" t="s">
        <v>213</v>
      </c>
      <c r="E5" s="142"/>
      <c r="G5" t="s">
        <v>210</v>
      </c>
      <c r="H5" t="s">
        <v>218</v>
      </c>
      <c r="I5" s="145">
        <v>500000</v>
      </c>
      <c r="K5" s="171" t="s">
        <v>217</v>
      </c>
      <c r="L5" s="171"/>
      <c r="M5" s="172"/>
      <c r="N5" s="146" t="s">
        <v>216</v>
      </c>
      <c r="O5" s="142" t="s">
        <v>223</v>
      </c>
    </row>
    <row r="6" spans="1:15" ht="12.75">
      <c r="A6" t="s">
        <v>200</v>
      </c>
      <c r="B6" s="144">
        <v>0.220243</v>
      </c>
      <c r="C6" s="144">
        <v>0.219</v>
      </c>
      <c r="D6" s="147">
        <f>MassFraction($B$21,1)</f>
        <v>0.005747376171080275</v>
      </c>
      <c r="E6">
        <f>MassFraction($B$22,1)</f>
        <v>0.005114483119566941</v>
      </c>
      <c r="G6" t="s">
        <v>211</v>
      </c>
      <c r="H6" t="s">
        <v>219</v>
      </c>
      <c r="I6" s="145">
        <v>60</v>
      </c>
      <c r="K6">
        <f aca="true" t="shared" si="0" ref="K6:K15">$I$9*D6</f>
        <v>5172.002926993827</v>
      </c>
      <c r="L6">
        <f aca="true" t="shared" si="1" ref="L6:L15">$I$16*E6</f>
        <v>1791.6790801267134</v>
      </c>
      <c r="M6" s="152">
        <f>K6+L6</f>
        <v>6963.68200712054</v>
      </c>
      <c r="N6">
        <f>M6/$M$16</f>
        <v>0.005570035703654163</v>
      </c>
      <c r="O6">
        <f>MoleFraction($B$23,1)*100</f>
        <v>0.21992184842503018</v>
      </c>
    </row>
    <row r="7" spans="1:15" ht="12.75">
      <c r="A7" t="s">
        <v>201</v>
      </c>
      <c r="B7" s="144">
        <v>2.192612</v>
      </c>
      <c r="C7" s="144">
        <v>2.66</v>
      </c>
      <c r="D7" s="147">
        <f>MassFraction($B$21,2)</f>
        <v>0.03642058887000576</v>
      </c>
      <c r="E7">
        <f>MassFraction($B$22,2)</f>
        <v>0.03954184589394043</v>
      </c>
      <c r="G7" t="s">
        <v>212</v>
      </c>
      <c r="H7" t="s">
        <v>220</v>
      </c>
      <c r="I7" s="145">
        <v>550</v>
      </c>
      <c r="K7">
        <f t="shared" si="0"/>
        <v>32774.50207389211</v>
      </c>
      <c r="L7">
        <f t="shared" si="1"/>
        <v>13852.093441607882</v>
      </c>
      <c r="M7" s="152">
        <f aca="true" t="shared" si="2" ref="M7:M15">K7+L7</f>
        <v>46626.59551549999</v>
      </c>
      <c r="N7">
        <f aca="true" t="shared" si="3" ref="N7:N15">M7/$M$16</f>
        <v>0.037295183998294894</v>
      </c>
      <c r="O7">
        <f>MoleFraction($B$23,2)*100</f>
        <v>2.31337205086974</v>
      </c>
    </row>
    <row r="8" spans="1:15" ht="12.75">
      <c r="A8" t="s">
        <v>202</v>
      </c>
      <c r="B8" s="144">
        <v>95.31076</v>
      </c>
      <c r="C8" s="144">
        <v>87.0381</v>
      </c>
      <c r="D8" s="147">
        <f>MassFraction($B$21,3)</f>
        <v>0.9066511482997643</v>
      </c>
      <c r="E8">
        <f>MassFraction($B$22,3)</f>
        <v>0.7409651993841121</v>
      </c>
      <c r="G8" t="s">
        <v>64</v>
      </c>
      <c r="H8" t="s">
        <v>221</v>
      </c>
      <c r="I8">
        <f>Density($B$21,"TP","E",I6,I7)</f>
        <v>1.7997788114229867</v>
      </c>
      <c r="K8">
        <f t="shared" si="0"/>
        <v>815885.763031118</v>
      </c>
      <c r="L8">
        <f t="shared" si="1"/>
        <v>259571.0682394123</v>
      </c>
      <c r="M8" s="152">
        <f t="shared" si="2"/>
        <v>1075456.8312705304</v>
      </c>
      <c r="N8">
        <f t="shared" si="3"/>
        <v>0.8602249416027841</v>
      </c>
      <c r="O8">
        <f>MoleFraction($B$23,3)*100</f>
        <v>93.17333788445373</v>
      </c>
    </row>
    <row r="9" spans="1:15" ht="12.75">
      <c r="A9" t="s">
        <v>203</v>
      </c>
      <c r="B9" s="144">
        <v>1.512332</v>
      </c>
      <c r="C9" s="144">
        <v>5.6369</v>
      </c>
      <c r="D9" s="147">
        <f>MassFraction($B$21,4)</f>
        <v>0.02696403104375798</v>
      </c>
      <c r="E9">
        <f>MassFraction($B$22,4)</f>
        <v>0.08994315819329177</v>
      </c>
      <c r="G9" t="s">
        <v>210</v>
      </c>
      <c r="H9" t="s">
        <v>222</v>
      </c>
      <c r="I9">
        <f>I8*I5</f>
        <v>899889.4057114933</v>
      </c>
      <c r="K9">
        <f t="shared" si="0"/>
        <v>24264.645871553625</v>
      </c>
      <c r="L9">
        <f t="shared" si="1"/>
        <v>31508.418576830394</v>
      </c>
      <c r="M9" s="152">
        <f t="shared" si="2"/>
        <v>55773.064448384015</v>
      </c>
      <c r="N9">
        <f t="shared" si="3"/>
        <v>0.0446111640310468</v>
      </c>
      <c r="O9">
        <f>MoleFraction($B$23,4)*100</f>
        <v>2.5780051794849412</v>
      </c>
    </row>
    <row r="10" spans="1:15" ht="12.75">
      <c r="A10" t="s">
        <v>204</v>
      </c>
      <c r="B10" s="144">
        <v>0.447117</v>
      </c>
      <c r="C10" s="144">
        <v>2.659</v>
      </c>
      <c r="D10" s="147">
        <f>MassFraction($B$21,5)</f>
        <v>0.01169054478533141</v>
      </c>
      <c r="E10">
        <f>MassFraction($B$22,5)</f>
        <v>0.062218857263220725</v>
      </c>
      <c r="K10">
        <f t="shared" si="0"/>
        <v>10520.19739931548</v>
      </c>
      <c r="L10">
        <f t="shared" si="1"/>
        <v>21796.1859178727</v>
      </c>
      <c r="M10" s="152">
        <f t="shared" si="2"/>
        <v>32316.383317188178</v>
      </c>
      <c r="N10">
        <f t="shared" si="3"/>
        <v>0.02584888406817742</v>
      </c>
      <c r="O10">
        <f>MoleFraction($B$23,5)*100</f>
        <v>1.0186057852169201</v>
      </c>
    </row>
    <row r="11" spans="1:15" ht="12.75">
      <c r="A11" t="s">
        <v>205</v>
      </c>
      <c r="B11" s="144">
        <v>0.049524</v>
      </c>
      <c r="C11" s="144">
        <v>0.304</v>
      </c>
      <c r="D11" s="147">
        <f>MassFraction($B$21,6)</f>
        <v>0.0017067734302567675</v>
      </c>
      <c r="E11">
        <f>MassFraction($B$22,6)</f>
        <v>0.009376135347969348</v>
      </c>
      <c r="G11" s="142" t="s">
        <v>199</v>
      </c>
      <c r="K11">
        <f t="shared" si="0"/>
        <v>1535.9073278379294</v>
      </c>
      <c r="L11">
        <f t="shared" si="1"/>
        <v>3284.5988856867534</v>
      </c>
      <c r="M11" s="152">
        <f t="shared" si="2"/>
        <v>4820.506213524683</v>
      </c>
      <c r="N11">
        <f t="shared" si="3"/>
        <v>0.003855775104544409</v>
      </c>
      <c r="O11">
        <f>MoleFraction($B$23,6)*100</f>
        <v>0.1152734903720237</v>
      </c>
    </row>
    <row r="12" spans="1:15" ht="12.75">
      <c r="A12" t="s">
        <v>206</v>
      </c>
      <c r="B12" s="144">
        <v>0.136641</v>
      </c>
      <c r="C12" s="144">
        <v>0.823</v>
      </c>
      <c r="D12" s="147">
        <f>MassFraction($B$21,7)</f>
        <v>0.004709135535976799</v>
      </c>
      <c r="E12">
        <f>MassFraction($B$22,7)</f>
        <v>0.025383419050588076</v>
      </c>
      <c r="G12" t="s">
        <v>210</v>
      </c>
      <c r="H12" t="s">
        <v>218</v>
      </c>
      <c r="I12" s="145">
        <v>100000</v>
      </c>
      <c r="K12">
        <f t="shared" si="0"/>
        <v>4237.701178885037</v>
      </c>
      <c r="L12">
        <f t="shared" si="1"/>
        <v>8892.187114869073</v>
      </c>
      <c r="M12" s="152">
        <f t="shared" si="2"/>
        <v>13129.88829375411</v>
      </c>
      <c r="N12">
        <f t="shared" si="3"/>
        <v>0.01050219503222863</v>
      </c>
      <c r="O12">
        <f>MoleFraction($B$23,7)*100</f>
        <v>0.31397699427694276</v>
      </c>
    </row>
    <row r="13" spans="1:15" ht="12.75">
      <c r="A13" t="s">
        <v>207</v>
      </c>
      <c r="B13" s="144">
        <v>0.028408</v>
      </c>
      <c r="C13" s="144">
        <v>0.161</v>
      </c>
      <c r="D13" s="147">
        <f>MassFraction($B$21,8)</f>
        <v>0.0012153119410633357</v>
      </c>
      <c r="E13">
        <f>MassFraction($B$22,8)</f>
        <v>0.006164006777836922</v>
      </c>
      <c r="G13" t="s">
        <v>211</v>
      </c>
      <c r="H13" t="s">
        <v>219</v>
      </c>
      <c r="I13" s="145">
        <v>70</v>
      </c>
      <c r="K13">
        <f t="shared" si="0"/>
        <v>1093.6463403975665</v>
      </c>
      <c r="L13">
        <f t="shared" si="1"/>
        <v>2159.3427401017225</v>
      </c>
      <c r="M13" s="152">
        <f t="shared" si="2"/>
        <v>3252.9890804992892</v>
      </c>
      <c r="N13">
        <f t="shared" si="3"/>
        <v>0.0026019662160694243</v>
      </c>
      <c r="O13">
        <f>MoleFraction($B$23,8)*100</f>
        <v>0.0626660692959294</v>
      </c>
    </row>
    <row r="14" spans="1:15" ht="12.75">
      <c r="A14" t="s">
        <v>208</v>
      </c>
      <c r="B14" s="144">
        <v>0.040311</v>
      </c>
      <c r="C14" s="144">
        <v>0.205</v>
      </c>
      <c r="D14" s="147">
        <f>MassFraction($B$21,9)</f>
        <v>0.0017245296978387825</v>
      </c>
      <c r="E14">
        <f>MassFraction($B$22,9)</f>
        <v>0.007848580058736452</v>
      </c>
      <c r="G14" t="s">
        <v>212</v>
      </c>
      <c r="H14" t="s">
        <v>220</v>
      </c>
      <c r="I14" s="145">
        <v>900</v>
      </c>
      <c r="K14">
        <f t="shared" si="0"/>
        <v>1551.8860049199632</v>
      </c>
      <c r="L14">
        <f t="shared" si="1"/>
        <v>2749.473675284801</v>
      </c>
      <c r="M14" s="152">
        <f t="shared" si="2"/>
        <v>4301.359680204764</v>
      </c>
      <c r="N14">
        <f t="shared" si="3"/>
        <v>0.003440525711613567</v>
      </c>
      <c r="O14">
        <f>MoleFraction($B$23,9)*100</f>
        <v>0.08286203768782925</v>
      </c>
    </row>
    <row r="15" spans="1:15" ht="12.75">
      <c r="A15" t="s">
        <v>209</v>
      </c>
      <c r="B15" s="144">
        <v>0.062049</v>
      </c>
      <c r="C15" s="144">
        <v>0.294</v>
      </c>
      <c r="D15" s="147">
        <f>MassFraction($B$21,10)</f>
        <v>0.0031705602249245605</v>
      </c>
      <c r="E15">
        <f>MassFraction($B$22,10)</f>
        <v>0.013444314910737254</v>
      </c>
      <c r="G15" t="s">
        <v>64</v>
      </c>
      <c r="H15" t="s">
        <v>221</v>
      </c>
      <c r="I15" s="148">
        <f>Density($B$22,"TP","E",I13,I14)</f>
        <v>3.5031479002680146</v>
      </c>
      <c r="K15">
        <f t="shared" si="0"/>
        <v>2853.1535565798613</v>
      </c>
      <c r="L15">
        <f t="shared" si="1"/>
        <v>4709.742355009117</v>
      </c>
      <c r="M15" s="153">
        <f t="shared" si="2"/>
        <v>7562.895911588978</v>
      </c>
      <c r="N15">
        <f t="shared" si="3"/>
        <v>0.006049328531586626</v>
      </c>
      <c r="O15">
        <f>MoleFraction($B$23,10)*100</f>
        <v>0.1219786599169056</v>
      </c>
    </row>
    <row r="16" spans="7:13" ht="12.75">
      <c r="G16" t="s">
        <v>210</v>
      </c>
      <c r="H16" t="s">
        <v>222</v>
      </c>
      <c r="I16">
        <f>I15*I12</f>
        <v>350314.79002680146</v>
      </c>
      <c r="L16" s="134" t="s">
        <v>215</v>
      </c>
      <c r="M16" s="149">
        <f>SUM(M6:M15)</f>
        <v>1250204.1957382949</v>
      </c>
    </row>
    <row r="21" spans="1:2" ht="12.75">
      <c r="A21" t="s">
        <v>198</v>
      </c>
      <c r="B21" t="str">
        <f>FluidString($A$6:$A$15,B6:B15)</f>
        <v>CO2;0.220243;Nitrogen;2.192612;Methane;95.31076;Ethane;1.512332;Propane;0.447117;Isobutane;0.049524;Butane;0.136641;Isopentane;0.028408;Pentane;0.040311;Hexane;0.062049</v>
      </c>
    </row>
    <row r="22" spans="1:2" ht="12.75">
      <c r="A22" t="s">
        <v>199</v>
      </c>
      <c r="B22" t="str">
        <f>FluidString($A$6:$A$15,C6:C15)</f>
        <v>CO2;0.219;Nitrogen;2.66;Methane;87.0381;Ethane;5.6369;Propane;2.659;Isobutane;0.304;Butane;0.823;Isopentane;0.161;Pentane;0.205;Hexane;0.294</v>
      </c>
    </row>
    <row r="23" spans="1:2" ht="12.75">
      <c r="A23" t="s">
        <v>214</v>
      </c>
      <c r="B23" t="str">
        <f>FluidString($A$6:$A$15,N6:N15)&amp;" mass"</f>
        <v>CO2;5.57003570365416E-03;Nitrogen;3.72951839982949E-02;Methane;0.860224941602784;Ethane;4.46111640310468E-02;Propane;2.58488840681774E-02;Isobutane;3.85577510454441E-03;Butane;1.05021950322286E-02;Isopentane;2.60196621606942E-03;Pentane;3.44052571161357E-03;Hexane;6.04932853158663E-03 mass</v>
      </c>
    </row>
  </sheetData>
  <mergeCells count="1">
    <mergeCell ref="K5:M5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NIST, Boulder, Colorado, U.S.A.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REFPROP AddIns</dc:title>
  <dc:subject/>
  <dc:creator>Eric W. Lemmon</dc:creator>
  <cp:keywords/>
  <dc:description/>
  <cp:lastModifiedBy> </cp:lastModifiedBy>
  <cp:lastPrinted>2007-02-20T16:03:05Z</cp:lastPrinted>
  <dcterms:created xsi:type="dcterms:W3CDTF">2001-01-26T23:35:02Z</dcterms:created>
  <dcterms:modified xsi:type="dcterms:W3CDTF">2009-01-13T16:09:30Z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