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135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'Sheet1'!$A$1:$H$89</definedName>
  </definedNames>
  <calcPr fullCalcOnLoad="1"/>
</workbook>
</file>

<file path=xl/sharedStrings.xml><?xml version="1.0" encoding="utf-8"?>
<sst xmlns="http://schemas.openxmlformats.org/spreadsheetml/2006/main" count="148" uniqueCount="84">
  <si>
    <t>Calculation Worksheets for Guidelines</t>
  </si>
  <si>
    <t>Black Pepper Powder</t>
  </si>
  <si>
    <t>Amount of Black Pepper Powder (pounds)</t>
  </si>
  <si>
    <t>g / 100 mL of Black Pepper Powder</t>
  </si>
  <si>
    <t>Alcohol Content (upper end of range in item 10)</t>
  </si>
  <si>
    <t>Minimum Value Needed to Make Product Unfit</t>
  </si>
  <si>
    <t>Volume of Final Product        (gallons)</t>
  </si>
  <si>
    <t>Citric Acid</t>
  </si>
  <si>
    <t>Ethanol ≤ 30% v/v – acid must be ≥ [(0.1 × ethanol %) + 0.5] (g/100 mL)</t>
  </si>
  <si>
    <t>Ethanol &gt; 30% v/v – acid must be ≥ [0.1 × ethanol %] (g/100 mL)</t>
  </si>
  <si>
    <t>g / 100 mL of Citric Acid</t>
  </si>
  <si>
    <t>3.6 g/100 mL at 95% ethanol v/v</t>
  </si>
  <si>
    <t>Cocoa Nibs</t>
  </si>
  <si>
    <t>10.6 lbs/gal at 95% ethanol v/v</t>
  </si>
  <si>
    <t>lbs/gal Cocoa Nibs</t>
  </si>
  <si>
    <t>Essential Oils</t>
  </si>
  <si>
    <t>Amount of Essential Oil (pounds)</t>
  </si>
  <si>
    <t>% by weight of Essential Oil</t>
  </si>
  <si>
    <t>Most essential oils are unfit at 3%</t>
  </si>
  <si>
    <t xml:space="preserve">  See tutorial for more information on extracts</t>
  </si>
  <si>
    <t>Weight of Final Product        (pounds)</t>
  </si>
  <si>
    <t>Ethyl Acetate</t>
  </si>
  <si>
    <t>2.1% by volume at 95% v/v ethanol</t>
  </si>
  <si>
    <t>% by volume of Ethyl Acetate</t>
  </si>
  <si>
    <t>Amount of Cocoa Nibs           (pounds)</t>
  </si>
  <si>
    <t>Ethyl Maltol</t>
  </si>
  <si>
    <t>5.3% by weight at 95% v/v ethanol</t>
  </si>
  <si>
    <t>Amount of Ethyl Maltol          (pounds)</t>
  </si>
  <si>
    <t>% by weight of Ethyl Maltol</t>
  </si>
  <si>
    <t>Ethyl Vanillin</t>
  </si>
  <si>
    <t>1.3 av.oz./gal at 95% v/v ethanol</t>
  </si>
  <si>
    <t>Volume of Final Product       (gallons)</t>
  </si>
  <si>
    <t>av.oz. / gal of Ethyl Vanillin</t>
  </si>
  <si>
    <t>Fusel Oil</t>
  </si>
  <si>
    <t>1.6 g/100 mL at 95% v/v ethanol</t>
  </si>
  <si>
    <t>g / 100 mL of Fusel Oil</t>
  </si>
  <si>
    <t>Lactic Acid</t>
  </si>
  <si>
    <t>9.5% by volume at 95% v/v ethanol</t>
  </si>
  <si>
    <t>Amount of Lactic Acid        (gallons)</t>
  </si>
  <si>
    <t>% by volume of Lactic Acid</t>
  </si>
  <si>
    <t>Malic Acid</t>
  </si>
  <si>
    <t>g / 100 mL of Malic Acid</t>
  </si>
  <si>
    <t>Maltol</t>
  </si>
  <si>
    <t>Amount of Maltol          (pounds)</t>
  </si>
  <si>
    <t>% by weight of Maltol</t>
  </si>
  <si>
    <t>Ethanol &gt; 30% v/v – acid must be ≥ [0.14 × ethanol %] (g/100 mL)</t>
  </si>
  <si>
    <t>Ethanol ≤ 30% v/v – acid must be ≥ [(0.14 × ethanol %) + 0.5] (g/100 mL)</t>
  </si>
  <si>
    <t>Propylene Glycol</t>
  </si>
  <si>
    <t>Equal amounts by volume of ethanol and propylene glycol</t>
  </si>
  <si>
    <t>Amount of Propylene Glycol (pounds)</t>
  </si>
  <si>
    <t>% by volume of Propylene Glycol</t>
  </si>
  <si>
    <t>Quassia Powder</t>
  </si>
  <si>
    <t>20.8 ppm at 95% v/v ethanol</t>
  </si>
  <si>
    <t>Amount of Quassia Powder         (pounds)</t>
  </si>
  <si>
    <t>ppm of Quassia Powder</t>
  </si>
  <si>
    <t>Quinine</t>
  </si>
  <si>
    <t>950 ppm at 95% v/v ethanol</t>
  </si>
  <si>
    <t>ppm of Quinine</t>
  </si>
  <si>
    <t>Salt (sodium chloride)</t>
  </si>
  <si>
    <t>6.8 g/100 mL at 95% v/v ethanol</t>
  </si>
  <si>
    <t>Amount of Salt          (pounds)</t>
  </si>
  <si>
    <t>g / 100 mL of Salt</t>
  </si>
  <si>
    <t>Tannic Acid</t>
  </si>
  <si>
    <t>1.6% by weight at 95% v/v ethanol</t>
  </si>
  <si>
    <t>% by weight of Tannic Acid</t>
  </si>
  <si>
    <t>Triethyl Citrate</t>
  </si>
  <si>
    <t>2.5% by weight at 95% v/v ethanol</t>
  </si>
  <si>
    <t>Amount of Triethyl Citrate         (pounds)</t>
  </si>
  <si>
    <t>% by weight of Triethyl Citrate</t>
  </si>
  <si>
    <t>Vanillin</t>
  </si>
  <si>
    <t>3.2 av.oz./gal at 95% v/v ethanol</t>
  </si>
  <si>
    <t>Amount of Vanillin        (pounds)</t>
  </si>
  <si>
    <t>av.oz. / gal of Vanillin</t>
  </si>
  <si>
    <t>Amount of Ethyl Vanillin         (pounds)</t>
  </si>
  <si>
    <t>1% by weight at 95% v/v ethanol</t>
  </si>
  <si>
    <t>Amount of Flavor Chemical         (pounds)</t>
  </si>
  <si>
    <t>% by weight of Flavor Chemical</t>
  </si>
  <si>
    <t>Flavor Chemicals unfit at 1%</t>
  </si>
  <si>
    <t>Amount of Citric Acid           (pounds)</t>
  </si>
  <si>
    <t>Amount of Fusel Oil             (pounds)</t>
  </si>
  <si>
    <t>Amount of Mailc Acid            (pounds)</t>
  </si>
  <si>
    <t>Amount of Tannic Acid            (pounds)</t>
  </si>
  <si>
    <t>Amount of Ethyl Acetate        (pounds)</t>
  </si>
  <si>
    <t>Units:  pounds and gallons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</si>
</sst>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2" fontId="0" fillId="0" borderId="1" xfId="0" applyNumberForma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11</xdr:row>
      <xdr:rowOff>38100</xdr:rowOff>
    </xdr:from>
    <xdr:to>
      <xdr:col>1</xdr:col>
      <xdr:colOff>38100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6300" y="411480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14</xdr:row>
      <xdr:rowOff>38100</xdr:rowOff>
    </xdr:from>
    <xdr:to>
      <xdr:col>1</xdr:col>
      <xdr:colOff>47625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76300" y="5286375"/>
          <a:ext cx="6858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49</xdr:row>
      <xdr:rowOff>38100</xdr:rowOff>
    </xdr:from>
    <xdr:to>
      <xdr:col>1</xdr:col>
      <xdr:colOff>38100</xdr:colOff>
      <xdr:row>50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76300" y="20735925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  <xdr:twoCellAnchor>
    <xdr:from>
      <xdr:col>0</xdr:col>
      <xdr:colOff>876300</xdr:colOff>
      <xdr:row>52</xdr:row>
      <xdr:rowOff>38100</xdr:rowOff>
    </xdr:from>
    <xdr:to>
      <xdr:col>1</xdr:col>
      <xdr:colOff>47625</xdr:colOff>
      <xdr:row>53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76300" y="21926550"/>
          <a:ext cx="685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Ethanol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&gt;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30% v/v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">
      <selection activeCell="B6" sqref="B6"/>
    </sheetView>
  </sheetViews>
  <sheetFormatPr defaultColWidth="9.140625" defaultRowHeight="12.75"/>
  <cols>
    <col min="1" max="1" width="22.7109375" style="9" customWidth="1"/>
    <col min="2" max="3" width="14.7109375" style="4" customWidth="1"/>
    <col min="4" max="4" width="5.7109375" style="4" customWidth="1"/>
    <col min="5" max="7" width="15.7109375" style="4" customWidth="1"/>
    <col min="8" max="8" width="9.140625" style="4" customWidth="1"/>
  </cols>
  <sheetData>
    <row r="1" ht="20.25">
      <c r="A1" s="3" t="s">
        <v>0</v>
      </c>
    </row>
    <row r="2" ht="20.25">
      <c r="A2" s="3" t="s">
        <v>83</v>
      </c>
    </row>
    <row r="3" ht="19.5" customHeight="1">
      <c r="A3" s="5"/>
    </row>
    <row r="4" spans="1:3" ht="30" customHeight="1">
      <c r="A4" s="6" t="s">
        <v>1</v>
      </c>
      <c r="B4" s="7" t="s">
        <v>11</v>
      </c>
      <c r="C4" s="8"/>
    </row>
    <row r="5" spans="2:7" ht="49.5" customHeight="1">
      <c r="B5" s="10" t="s">
        <v>4</v>
      </c>
      <c r="C5" s="10" t="s">
        <v>5</v>
      </c>
      <c r="D5" s="11"/>
      <c r="E5" s="10" t="s">
        <v>2</v>
      </c>
      <c r="F5" s="10" t="s">
        <v>6</v>
      </c>
      <c r="G5" s="10" t="s">
        <v>3</v>
      </c>
    </row>
    <row r="6" spans="2:7" ht="30" customHeight="1">
      <c r="B6" s="20"/>
      <c r="C6" s="12">
        <f>IF(ISERROR(B6*3.6)/95,"-",(B6*3.6)/95)</f>
        <v>0</v>
      </c>
      <c r="D6" s="13"/>
      <c r="E6" s="20"/>
      <c r="F6" s="20"/>
      <c r="G6" s="12" t="str">
        <f>IF(ISERROR(((E6*453.5924)/(F6*3785.33))*100),"-",(((E6*453.5924)/(F6*3785.33))*100))</f>
        <v>-</v>
      </c>
    </row>
    <row r="7" spans="1:8" s="1" customFormat="1" ht="39.75" customHeight="1">
      <c r="A7" s="11"/>
      <c r="B7" s="4"/>
      <c r="C7" s="4"/>
      <c r="D7" s="4"/>
      <c r="E7" s="4"/>
      <c r="F7" s="4"/>
      <c r="G7" s="4"/>
      <c r="H7" s="11"/>
    </row>
    <row r="8" spans="1:8" s="2" customFormat="1" ht="24.75" customHeight="1">
      <c r="A8" s="14" t="s">
        <v>7</v>
      </c>
      <c r="B8" s="15" t="s">
        <v>8</v>
      </c>
      <c r="C8" s="4"/>
      <c r="D8" s="4"/>
      <c r="E8" s="4"/>
      <c r="F8" s="4"/>
      <c r="G8" s="13"/>
      <c r="H8" s="13"/>
    </row>
    <row r="9" spans="1:2" ht="24.75" customHeight="1">
      <c r="A9" s="11"/>
      <c r="B9" s="15" t="s">
        <v>9</v>
      </c>
    </row>
    <row r="11" spans="2:7" ht="49.5" customHeight="1">
      <c r="B11" s="10" t="s">
        <v>4</v>
      </c>
      <c r="C11" s="10" t="s">
        <v>5</v>
      </c>
      <c r="D11" s="11"/>
      <c r="E11" s="10" t="s">
        <v>78</v>
      </c>
      <c r="F11" s="10" t="s">
        <v>6</v>
      </c>
      <c r="G11" s="10" t="s">
        <v>10</v>
      </c>
    </row>
    <row r="12" spans="1:7" ht="30" customHeight="1">
      <c r="A12" s="16"/>
      <c r="B12" s="20"/>
      <c r="C12" s="12">
        <f>IF(ISERROR((0.1*B12)+0.5),"-",((0.1*B12)+0.5))</f>
        <v>0.5</v>
      </c>
      <c r="D12" s="13"/>
      <c r="E12" s="20"/>
      <c r="F12" s="20"/>
      <c r="G12" s="12" t="str">
        <f>IF(ISERROR(((E12*453.5924)/(F12*3785.33))*100),"-",(((E12*453.5924)/(F12*3785.33))*100))</f>
        <v>-</v>
      </c>
    </row>
    <row r="13" spans="1:8" s="1" customFormat="1" ht="12.75">
      <c r="A13" s="11"/>
      <c r="B13" s="4"/>
      <c r="C13" s="4"/>
      <c r="D13" s="4"/>
      <c r="E13" s="4"/>
      <c r="F13" s="4"/>
      <c r="G13" s="4"/>
      <c r="H13" s="11"/>
    </row>
    <row r="14" spans="1:8" s="2" customFormat="1" ht="49.5" customHeight="1">
      <c r="A14" s="11"/>
      <c r="B14" s="10" t="s">
        <v>4</v>
      </c>
      <c r="C14" s="10" t="s">
        <v>5</v>
      </c>
      <c r="D14" s="11"/>
      <c r="E14" s="10" t="s">
        <v>78</v>
      </c>
      <c r="F14" s="10" t="s">
        <v>6</v>
      </c>
      <c r="G14" s="10" t="s">
        <v>10</v>
      </c>
      <c r="H14" s="13"/>
    </row>
    <row r="15" spans="1:7" ht="30" customHeight="1">
      <c r="A15" s="16"/>
      <c r="B15" s="20"/>
      <c r="C15" s="12">
        <f>IF(ISERROR(B15*0.1),"-",(B15*0.1))</f>
        <v>0</v>
      </c>
      <c r="D15" s="13"/>
      <c r="E15" s="20"/>
      <c r="F15" s="20"/>
      <c r="G15" s="12" t="str">
        <f>IF(ISERROR(((E15*453.5924)/(F15*3785.33))*100),"-",(((E15*453.5924)/(F15*3785.33))*100))</f>
        <v>-</v>
      </c>
    </row>
    <row r="16" spans="1:8" s="1" customFormat="1" ht="39.75" customHeight="1">
      <c r="A16" s="11"/>
      <c r="B16" s="4"/>
      <c r="C16" s="17"/>
      <c r="D16" s="4"/>
      <c r="E16" s="4"/>
      <c r="F16" s="4"/>
      <c r="G16" s="4"/>
      <c r="H16" s="11"/>
    </row>
    <row r="17" spans="1:8" s="2" customFormat="1" ht="24.75" customHeight="1">
      <c r="A17" s="14" t="s">
        <v>12</v>
      </c>
      <c r="B17" s="15" t="s">
        <v>13</v>
      </c>
      <c r="C17" s="4"/>
      <c r="D17" s="4"/>
      <c r="E17" s="4"/>
      <c r="F17" s="4"/>
      <c r="G17" s="4"/>
      <c r="H17" s="13"/>
    </row>
    <row r="18" spans="2:7" ht="51">
      <c r="B18" s="10" t="s">
        <v>4</v>
      </c>
      <c r="C18" s="18" t="s">
        <v>5</v>
      </c>
      <c r="D18" s="11"/>
      <c r="E18" s="10" t="s">
        <v>24</v>
      </c>
      <c r="F18" s="10" t="s">
        <v>6</v>
      </c>
      <c r="G18" s="10" t="s">
        <v>14</v>
      </c>
    </row>
    <row r="19" spans="2:7" ht="30" customHeight="1">
      <c r="B19" s="20"/>
      <c r="C19" s="12">
        <f>IF(ISERROR(B19*10.6)/95,"-",(B19*10.6)/95)</f>
        <v>0</v>
      </c>
      <c r="D19" s="13"/>
      <c r="E19" s="20"/>
      <c r="F19" s="20"/>
      <c r="G19" s="12" t="str">
        <f>IF(ISERROR(E19/F19),"-",(E19*F19))</f>
        <v>-</v>
      </c>
    </row>
    <row r="20" spans="2:7" ht="39.75" customHeight="1">
      <c r="B20" s="21"/>
      <c r="C20" s="22"/>
      <c r="D20" s="13"/>
      <c r="E20" s="21"/>
      <c r="F20" s="21"/>
      <c r="G20" s="22"/>
    </row>
    <row r="21" spans="1:8" s="2" customFormat="1" ht="24.75" customHeight="1">
      <c r="A21" s="14" t="s">
        <v>15</v>
      </c>
      <c r="B21" s="15" t="s">
        <v>18</v>
      </c>
      <c r="C21" s="4"/>
      <c r="D21" s="4"/>
      <c r="E21" s="4"/>
      <c r="F21" s="13"/>
      <c r="G21" s="4"/>
      <c r="H21" s="13"/>
    </row>
    <row r="22" spans="1:8" s="2" customFormat="1" ht="15" customHeight="1">
      <c r="A22" s="14"/>
      <c r="B22" s="19" t="s">
        <v>19</v>
      </c>
      <c r="C22" s="4"/>
      <c r="D22" s="4"/>
      <c r="E22" s="4"/>
      <c r="F22" s="4"/>
      <c r="G22" s="4"/>
      <c r="H22" s="13"/>
    </row>
    <row r="23" spans="2:7" ht="51">
      <c r="B23" s="10" t="s">
        <v>4</v>
      </c>
      <c r="C23" s="10" t="s">
        <v>5</v>
      </c>
      <c r="D23" s="11"/>
      <c r="E23" s="10" t="s">
        <v>16</v>
      </c>
      <c r="F23" s="10" t="s">
        <v>20</v>
      </c>
      <c r="G23" s="10" t="s">
        <v>17</v>
      </c>
    </row>
    <row r="24" spans="2:7" ht="30" customHeight="1">
      <c r="B24" s="20"/>
      <c r="C24" s="12">
        <f>IF(ISERROR((B24*3)/95),"-",((B24*3)/95))</f>
        <v>0</v>
      </c>
      <c r="D24" s="13"/>
      <c r="E24" s="20"/>
      <c r="F24" s="20"/>
      <c r="G24" s="12" t="str">
        <f>IF(ISERROR((E24/F24)*100),"-",((E24/F24)*100))</f>
        <v>-</v>
      </c>
    </row>
    <row r="25" ht="39.75" customHeight="1"/>
    <row r="26" spans="1:6" ht="24.75" customHeight="1">
      <c r="A26" s="14" t="s">
        <v>21</v>
      </c>
      <c r="B26" s="15" t="s">
        <v>22</v>
      </c>
      <c r="F26" s="13"/>
    </row>
    <row r="27" spans="2:7" ht="51">
      <c r="B27" s="10" t="s">
        <v>4</v>
      </c>
      <c r="C27" s="10" t="s">
        <v>5</v>
      </c>
      <c r="D27" s="11"/>
      <c r="E27" s="10" t="s">
        <v>82</v>
      </c>
      <c r="F27" s="10" t="s">
        <v>6</v>
      </c>
      <c r="G27" s="10" t="s">
        <v>23</v>
      </c>
    </row>
    <row r="28" spans="2:7" ht="30" customHeight="1">
      <c r="B28" s="20"/>
      <c r="C28" s="12">
        <f>IF(ISERROR((B28*2.1)/95),"-",((B28*2.1)/95))</f>
        <v>0</v>
      </c>
      <c r="D28" s="13"/>
      <c r="E28" s="20"/>
      <c r="F28" s="20"/>
      <c r="G28" s="12" t="str">
        <f>IF(ISERROR(((E28/7.485828)/F28)*100),"-",(((E28/7.485828)/F28)*100))</f>
        <v>-</v>
      </c>
    </row>
    <row r="29" ht="39.75" customHeight="1"/>
    <row r="30" spans="1:6" ht="24.75" customHeight="1">
      <c r="A30" s="14" t="s">
        <v>25</v>
      </c>
      <c r="B30" s="15" t="s">
        <v>26</v>
      </c>
      <c r="F30" s="13"/>
    </row>
    <row r="31" spans="2:7" ht="51">
      <c r="B31" s="10" t="s">
        <v>4</v>
      </c>
      <c r="C31" s="10" t="s">
        <v>5</v>
      </c>
      <c r="D31" s="11"/>
      <c r="E31" s="10" t="s">
        <v>27</v>
      </c>
      <c r="F31" s="10" t="s">
        <v>20</v>
      </c>
      <c r="G31" s="10" t="s">
        <v>28</v>
      </c>
    </row>
    <row r="32" spans="2:7" ht="30" customHeight="1">
      <c r="B32" s="20"/>
      <c r="C32" s="12">
        <f>IF(ISERROR((B32*5.3)/95),"-",((B32*5.3)/95))</f>
        <v>0</v>
      </c>
      <c r="D32" s="13"/>
      <c r="E32" s="20"/>
      <c r="F32" s="20"/>
      <c r="G32" s="12" t="str">
        <f>IF(ISERROR((E32/F32)*100),"-",((E32/F32)*100))</f>
        <v>-</v>
      </c>
    </row>
    <row r="33" ht="39.75" customHeight="1"/>
    <row r="34" spans="1:6" ht="24.75" customHeight="1">
      <c r="A34" s="14" t="s">
        <v>29</v>
      </c>
      <c r="B34" s="15" t="s">
        <v>30</v>
      </c>
      <c r="F34" s="13"/>
    </row>
    <row r="35" spans="2:7" ht="51">
      <c r="B35" s="10" t="s">
        <v>4</v>
      </c>
      <c r="C35" s="10" t="s">
        <v>5</v>
      </c>
      <c r="D35" s="11"/>
      <c r="E35" s="10" t="s">
        <v>73</v>
      </c>
      <c r="F35" s="10" t="s">
        <v>31</v>
      </c>
      <c r="G35" s="10" t="s">
        <v>32</v>
      </c>
    </row>
    <row r="36" spans="2:7" ht="30" customHeight="1">
      <c r="B36" s="20"/>
      <c r="C36" s="12">
        <f>IF(ISERROR((B36*1.3)/95),"-",((B36*1.3)/95))</f>
        <v>0</v>
      </c>
      <c r="D36" s="13"/>
      <c r="E36" s="20"/>
      <c r="F36" s="20"/>
      <c r="G36" s="12" t="str">
        <f>IF(ISERROR((E36*16)/F36),"-",((E36*16)/F36))</f>
        <v>-</v>
      </c>
    </row>
    <row r="37" ht="39.75" customHeight="1"/>
    <row r="38" spans="1:6" ht="24.75" customHeight="1">
      <c r="A38" s="14" t="s">
        <v>33</v>
      </c>
      <c r="B38" s="15" t="s">
        <v>34</v>
      </c>
      <c r="F38" s="13"/>
    </row>
    <row r="39" spans="2:7" ht="51">
      <c r="B39" s="10" t="s">
        <v>4</v>
      </c>
      <c r="C39" s="10" t="s">
        <v>5</v>
      </c>
      <c r="D39" s="11"/>
      <c r="E39" s="10" t="s">
        <v>79</v>
      </c>
      <c r="F39" s="10" t="s">
        <v>6</v>
      </c>
      <c r="G39" s="10" t="s">
        <v>35</v>
      </c>
    </row>
    <row r="40" spans="2:7" ht="30" customHeight="1">
      <c r="B40" s="20"/>
      <c r="C40" s="12">
        <f>IF(ISERROR((B40*1.6)/95),"-",((B40*1.6)/95))</f>
        <v>0</v>
      </c>
      <c r="D40" s="13"/>
      <c r="E40" s="20"/>
      <c r="F40" s="20"/>
      <c r="G40" s="12" t="str">
        <f>IF(ISERROR(((E40*453.5924)/(F40*3785.33))*100),"-",(((E40*453.5924)/(F40*3785.33))*100))</f>
        <v>-</v>
      </c>
    </row>
    <row r="41" ht="39.75" customHeight="1"/>
    <row r="42" spans="1:6" ht="24.75" customHeight="1">
      <c r="A42" s="14" t="s">
        <v>36</v>
      </c>
      <c r="B42" s="15" t="s">
        <v>37</v>
      </c>
      <c r="F42" s="13"/>
    </row>
    <row r="43" spans="2:7" ht="51">
      <c r="B43" s="10" t="s">
        <v>4</v>
      </c>
      <c r="C43" s="10" t="s">
        <v>5</v>
      </c>
      <c r="D43" s="11"/>
      <c r="E43" s="10" t="s">
        <v>38</v>
      </c>
      <c r="F43" s="10" t="s">
        <v>6</v>
      </c>
      <c r="G43" s="10" t="s">
        <v>39</v>
      </c>
    </row>
    <row r="44" spans="2:7" ht="30" customHeight="1">
      <c r="B44" s="20"/>
      <c r="C44" s="12">
        <f>IF(ISERROR((B44*9.5)/95),"-",((B44*9.5)/95))</f>
        <v>0</v>
      </c>
      <c r="D44" s="13"/>
      <c r="E44" s="20"/>
      <c r="F44" s="20"/>
      <c r="G44" s="12" t="str">
        <f>IF(ISERROR((E44/F44)*100),"-",((E44/F44)*100))</f>
        <v>-</v>
      </c>
    </row>
    <row r="45" ht="39.75" customHeight="1"/>
    <row r="46" spans="1:7" ht="24.75" customHeight="1">
      <c r="A46" s="14" t="s">
        <v>40</v>
      </c>
      <c r="B46" s="15" t="s">
        <v>46</v>
      </c>
      <c r="G46" s="13"/>
    </row>
    <row r="47" spans="1:2" ht="24.75" customHeight="1">
      <c r="A47" s="11"/>
      <c r="B47" s="15" t="s">
        <v>45</v>
      </c>
    </row>
    <row r="49" spans="2:7" ht="51">
      <c r="B49" s="10" t="s">
        <v>4</v>
      </c>
      <c r="C49" s="10" t="s">
        <v>5</v>
      </c>
      <c r="D49" s="11"/>
      <c r="E49" s="10" t="s">
        <v>80</v>
      </c>
      <c r="F49" s="10" t="s">
        <v>6</v>
      </c>
      <c r="G49" s="10" t="s">
        <v>41</v>
      </c>
    </row>
    <row r="50" spans="1:7" ht="30" customHeight="1">
      <c r="A50" s="16"/>
      <c r="B50" s="20"/>
      <c r="C50" s="12">
        <f>IF(ISERROR((0.14*B50)+0.5),"-",((0.14*B50)+0.5))</f>
        <v>0.5</v>
      </c>
      <c r="D50" s="13"/>
      <c r="E50" s="20"/>
      <c r="F50" s="20"/>
      <c r="G50" s="12" t="str">
        <f>IF(ISERROR(((E50*453.5924)/(F50*3785.33))*100),"-",(((E50*453.5924)/(F50*3785.33))*100))</f>
        <v>-</v>
      </c>
    </row>
    <row r="51" ht="12.75">
      <c r="A51" s="11"/>
    </row>
    <row r="52" spans="1:7" ht="51">
      <c r="A52" s="11"/>
      <c r="B52" s="10" t="s">
        <v>4</v>
      </c>
      <c r="C52" s="10" t="s">
        <v>5</v>
      </c>
      <c r="D52" s="11"/>
      <c r="E52" s="10" t="s">
        <v>80</v>
      </c>
      <c r="F52" s="10" t="s">
        <v>6</v>
      </c>
      <c r="G52" s="10" t="s">
        <v>41</v>
      </c>
    </row>
    <row r="53" spans="1:7" ht="30" customHeight="1">
      <c r="A53" s="16"/>
      <c r="B53" s="20"/>
      <c r="C53" s="12">
        <f>IF(ISERROR(B53*0.14),"-",(B53*0.14))</f>
        <v>0</v>
      </c>
      <c r="D53" s="13"/>
      <c r="E53" s="20"/>
      <c r="F53" s="20"/>
      <c r="G53" s="12" t="str">
        <f>IF(ISERROR(((E53*453.5924)/(F53*3785.33))*100),"-",(((E53*453.5924)/(F53*3785.33))*100))</f>
        <v>-</v>
      </c>
    </row>
    <row r="54" ht="39.75" customHeight="1"/>
    <row r="55" spans="1:6" ht="24.75" customHeight="1">
      <c r="A55" s="14" t="s">
        <v>42</v>
      </c>
      <c r="B55" s="15" t="s">
        <v>26</v>
      </c>
      <c r="F55" s="13"/>
    </row>
    <row r="56" spans="2:7" ht="51">
      <c r="B56" s="10" t="s">
        <v>4</v>
      </c>
      <c r="C56" s="10" t="s">
        <v>5</v>
      </c>
      <c r="D56" s="11"/>
      <c r="E56" s="10" t="s">
        <v>43</v>
      </c>
      <c r="F56" s="10" t="s">
        <v>20</v>
      </c>
      <c r="G56" s="10" t="s">
        <v>44</v>
      </c>
    </row>
    <row r="57" spans="2:7" ht="30" customHeight="1">
      <c r="B57" s="20"/>
      <c r="C57" s="12">
        <f>IF(ISERROR((B57*5.3)/95),"-",((B57*5.3)/95))</f>
        <v>0</v>
      </c>
      <c r="D57" s="13"/>
      <c r="E57" s="20"/>
      <c r="F57" s="20"/>
      <c r="G57" s="12" t="str">
        <f>IF(ISERROR((E57/F57)*100),"-",((E57/F57)*100))</f>
        <v>-</v>
      </c>
    </row>
    <row r="58" ht="39.75" customHeight="1"/>
    <row r="59" spans="1:6" ht="24.75" customHeight="1">
      <c r="A59" s="14" t="s">
        <v>47</v>
      </c>
      <c r="B59" s="15" t="s">
        <v>48</v>
      </c>
      <c r="F59" s="13"/>
    </row>
    <row r="60" spans="2:7" ht="51">
      <c r="B60" s="10" t="s">
        <v>4</v>
      </c>
      <c r="C60" s="10" t="s">
        <v>5</v>
      </c>
      <c r="D60" s="11"/>
      <c r="E60" s="10" t="s">
        <v>49</v>
      </c>
      <c r="F60" s="10" t="s">
        <v>31</v>
      </c>
      <c r="G60" s="10" t="s">
        <v>50</v>
      </c>
    </row>
    <row r="61" spans="2:7" ht="30" customHeight="1">
      <c r="B61" s="20"/>
      <c r="C61" s="12">
        <f>IF(ISERROR(B61),"-",(B61))</f>
        <v>0</v>
      </c>
      <c r="D61" s="13"/>
      <c r="E61" s="20"/>
      <c r="F61" s="20"/>
      <c r="G61" s="12" t="str">
        <f>IF(ISERROR(((E61/8.63)/F61)*100),"-",(((E61/8.63)/F61)*100))</f>
        <v>-</v>
      </c>
    </row>
    <row r="62" ht="39.75" customHeight="1"/>
    <row r="63" spans="1:6" ht="24.75" customHeight="1">
      <c r="A63" s="14" t="s">
        <v>51</v>
      </c>
      <c r="B63" s="15" t="s">
        <v>52</v>
      </c>
      <c r="F63" s="13"/>
    </row>
    <row r="64" spans="2:7" ht="51">
      <c r="B64" s="10" t="s">
        <v>4</v>
      </c>
      <c r="C64" s="10" t="s">
        <v>5</v>
      </c>
      <c r="D64" s="11"/>
      <c r="E64" s="10" t="s">
        <v>53</v>
      </c>
      <c r="F64" s="10" t="s">
        <v>20</v>
      </c>
      <c r="G64" s="10" t="s">
        <v>54</v>
      </c>
    </row>
    <row r="65" spans="2:7" ht="30" customHeight="1">
      <c r="B65" s="20"/>
      <c r="C65" s="12">
        <f>IF(ISERROR((B65*20.8)/95),"-",((B65*20.8)/95))</f>
        <v>0</v>
      </c>
      <c r="D65" s="13"/>
      <c r="E65" s="20"/>
      <c r="F65" s="20"/>
      <c r="G65" s="12" t="str">
        <f>IF(ISERROR((E65/F65)*1000000),"-",((E65/F65)*1000000))</f>
        <v>-</v>
      </c>
    </row>
    <row r="66" ht="39.75" customHeight="1"/>
    <row r="67" spans="1:6" ht="24.75" customHeight="1">
      <c r="A67" s="14" t="s">
        <v>55</v>
      </c>
      <c r="B67" s="15" t="s">
        <v>56</v>
      </c>
      <c r="F67" s="13"/>
    </row>
    <row r="68" spans="2:7" ht="51">
      <c r="B68" s="10" t="s">
        <v>4</v>
      </c>
      <c r="C68" s="10" t="s">
        <v>5</v>
      </c>
      <c r="D68" s="11"/>
      <c r="E68" s="10" t="s">
        <v>53</v>
      </c>
      <c r="F68" s="10" t="s">
        <v>20</v>
      </c>
      <c r="G68" s="10" t="s">
        <v>57</v>
      </c>
    </row>
    <row r="69" spans="2:7" ht="30" customHeight="1">
      <c r="B69" s="20"/>
      <c r="C69" s="12">
        <f>IF(ISERROR((B69*950)/95),"-",((B69*950)/95))</f>
        <v>0</v>
      </c>
      <c r="D69" s="13"/>
      <c r="E69" s="20"/>
      <c r="F69" s="20"/>
      <c r="G69" s="12" t="str">
        <f>IF(ISERROR((E69/F69)*1000000),"-",((E69/F69)*1000000))</f>
        <v>-</v>
      </c>
    </row>
    <row r="70" ht="39.75" customHeight="1"/>
    <row r="71" spans="1:6" ht="30" customHeight="1">
      <c r="A71" s="14" t="s">
        <v>58</v>
      </c>
      <c r="B71" s="15" t="s">
        <v>59</v>
      </c>
      <c r="F71" s="13"/>
    </row>
    <row r="72" spans="2:7" ht="51">
      <c r="B72" s="10" t="s">
        <v>4</v>
      </c>
      <c r="C72" s="10" t="s">
        <v>5</v>
      </c>
      <c r="D72" s="11"/>
      <c r="E72" s="10" t="s">
        <v>60</v>
      </c>
      <c r="F72" s="10" t="s">
        <v>6</v>
      </c>
      <c r="G72" s="10" t="s">
        <v>61</v>
      </c>
    </row>
    <row r="73" spans="2:7" ht="30" customHeight="1">
      <c r="B73" s="20"/>
      <c r="C73" s="12">
        <f>IF(ISERROR((B73*6.8)/95),"-",((B73*6.8)/95))</f>
        <v>0</v>
      </c>
      <c r="D73" s="13"/>
      <c r="E73" s="20"/>
      <c r="F73" s="20"/>
      <c r="G73" s="12" t="str">
        <f>IF(ISERROR(((E73*453.5924)/(F73*3785.33))*100),"-",(((E73*453.5924)/(F73*3785.33))*100))</f>
        <v>-</v>
      </c>
    </row>
    <row r="74" ht="39.75" customHeight="1"/>
    <row r="75" spans="1:6" ht="24.75" customHeight="1">
      <c r="A75" s="14" t="s">
        <v>62</v>
      </c>
      <c r="B75" s="15" t="s">
        <v>63</v>
      </c>
      <c r="F75" s="13"/>
    </row>
    <row r="76" spans="2:7" ht="51">
      <c r="B76" s="10" t="s">
        <v>4</v>
      </c>
      <c r="C76" s="10" t="s">
        <v>5</v>
      </c>
      <c r="D76" s="11"/>
      <c r="E76" s="10" t="s">
        <v>81</v>
      </c>
      <c r="F76" s="10" t="s">
        <v>20</v>
      </c>
      <c r="G76" s="10" t="s">
        <v>64</v>
      </c>
    </row>
    <row r="77" spans="2:7" ht="30" customHeight="1">
      <c r="B77" s="20"/>
      <c r="C77" s="12">
        <f>IF(ISERROR((B77*1.6)/95),"-",((B77*1.6)/95))</f>
        <v>0</v>
      </c>
      <c r="D77" s="13"/>
      <c r="E77" s="20"/>
      <c r="F77" s="20"/>
      <c r="G77" s="12" t="str">
        <f>IF(ISERROR((E77/F77)*100),"-",((E77/F77)*100))</f>
        <v>-</v>
      </c>
    </row>
    <row r="78" ht="39.75" customHeight="1"/>
    <row r="79" spans="1:6" ht="24.75" customHeight="1">
      <c r="A79" s="14" t="s">
        <v>65</v>
      </c>
      <c r="B79" s="15" t="s">
        <v>66</v>
      </c>
      <c r="F79" s="13"/>
    </row>
    <row r="80" spans="2:7" ht="51">
      <c r="B80" s="10" t="s">
        <v>4</v>
      </c>
      <c r="C80" s="10" t="s">
        <v>5</v>
      </c>
      <c r="D80" s="11"/>
      <c r="E80" s="10" t="s">
        <v>67</v>
      </c>
      <c r="F80" s="10" t="s">
        <v>20</v>
      </c>
      <c r="G80" s="10" t="s">
        <v>68</v>
      </c>
    </row>
    <row r="81" spans="2:7" ht="30" customHeight="1">
      <c r="B81" s="20"/>
      <c r="C81" s="12">
        <f>IF(ISERROR((B81*2.5)/95),"-",((B81*2.5)/95))</f>
        <v>0</v>
      </c>
      <c r="D81" s="13"/>
      <c r="E81" s="20"/>
      <c r="F81" s="20"/>
      <c r="G81" s="12" t="str">
        <f>IF(ISERROR((E81/F81)*100),"-",((E81/F81)*100))</f>
        <v>-</v>
      </c>
    </row>
    <row r="82" ht="39.75" customHeight="1"/>
    <row r="83" spans="1:6" ht="24.75" customHeight="1">
      <c r="A83" s="14" t="s">
        <v>69</v>
      </c>
      <c r="B83" s="15" t="s">
        <v>70</v>
      </c>
      <c r="F83" s="13"/>
    </row>
    <row r="84" spans="2:7" ht="51">
      <c r="B84" s="10" t="s">
        <v>4</v>
      </c>
      <c r="C84" s="10" t="s">
        <v>5</v>
      </c>
      <c r="D84" s="11"/>
      <c r="E84" s="10" t="s">
        <v>71</v>
      </c>
      <c r="F84" s="10" t="s">
        <v>31</v>
      </c>
      <c r="G84" s="10" t="s">
        <v>72</v>
      </c>
    </row>
    <row r="85" spans="2:7" ht="30" customHeight="1">
      <c r="B85" s="20"/>
      <c r="C85" s="12">
        <f>IF(ISERROR((B85*3.2)/95),"-",((B85*3.2)/95))</f>
        <v>0</v>
      </c>
      <c r="D85" s="13"/>
      <c r="E85" s="20"/>
      <c r="F85" s="20"/>
      <c r="G85" s="12" t="str">
        <f>IF(ISERROR((E85*16)/F85),"-",((E85*16)/F85))</f>
        <v>-</v>
      </c>
    </row>
    <row r="86" ht="39.75" customHeight="1"/>
    <row r="87" spans="1:2" ht="30" customHeight="1">
      <c r="A87" s="14" t="s">
        <v>77</v>
      </c>
      <c r="B87" s="15" t="s">
        <v>74</v>
      </c>
    </row>
    <row r="88" spans="2:7" ht="51">
      <c r="B88" s="10" t="s">
        <v>4</v>
      </c>
      <c r="C88" s="10" t="s">
        <v>5</v>
      </c>
      <c r="E88" s="10" t="s">
        <v>75</v>
      </c>
      <c r="F88" s="10" t="s">
        <v>20</v>
      </c>
      <c r="G88" s="10" t="s">
        <v>76</v>
      </c>
    </row>
    <row r="89" spans="2:7" ht="30" customHeight="1">
      <c r="B89" s="20"/>
      <c r="C89" s="12">
        <f>(B89/95)</f>
        <v>0</v>
      </c>
      <c r="E89" s="20"/>
      <c r="F89" s="20"/>
      <c r="G89" s="12" t="str">
        <f>IF(ISERROR((E89/F89)*100),"-",((E89/F89)*100))</f>
        <v>-</v>
      </c>
    </row>
  </sheetData>
  <sheetProtection password="862B" sheet="1" objects="1" scenarios="1"/>
  <printOptions/>
  <pageMargins left="0.55" right="0.75" top="1" bottom="1" header="0.5" footer="0.5"/>
  <pageSetup horizontalDpi="600" verticalDpi="600" orientation="landscape" scale="99" r:id="rId2"/>
  <rowBreaks count="6" manualBreakCount="6">
    <brk id="16" max="7" man="1"/>
    <brk id="29" max="7" man="1"/>
    <brk id="41" max="7" man="1"/>
    <brk id="54" max="7" man="1"/>
    <brk id="66" max="7" man="1"/>
    <brk id="78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TTB</dc:creator>
  <cp:keywords/>
  <dc:description/>
  <cp:lastModifiedBy>TTB</cp:lastModifiedBy>
  <cp:lastPrinted>2007-08-31T15:17:53Z</cp:lastPrinted>
  <dcterms:created xsi:type="dcterms:W3CDTF">2007-08-03T02:34:29Z</dcterms:created>
  <dcterms:modified xsi:type="dcterms:W3CDTF">2007-08-31T15:18:18Z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