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360" windowHeight="9000" activeTab="0"/>
  </bookViews>
  <sheets>
    <sheet name="Sealed Bid" sheetId="1" r:id="rId1"/>
    <sheet name="MATOC (price only)" sheetId="2" r:id="rId2"/>
    <sheet name="MATOC (evaluation factors)" sheetId="3" r:id="rId3"/>
    <sheet name="Negotiated" sheetId="4" r:id="rId4"/>
    <sheet name="8(a)" sheetId="5" r:id="rId5"/>
  </sheets>
  <definedNames>
    <definedName name="Arrives" localSheetId="4">'8(a)'!$D$24</definedName>
    <definedName name="Arrives" localSheetId="2">'MATOC (evaluation factors)'!$D$24</definedName>
    <definedName name="Arrives" localSheetId="1">'MATOC (price only)'!$D$21</definedName>
    <definedName name="Arrives" localSheetId="3">'Negotiated'!$D$27</definedName>
    <definedName name="Arrives">'Sealed Bid'!$D$21</definedName>
    <definedName name="Christmas">'Sealed Bid'!$H$34:$J$40</definedName>
    <definedName name="Holidays" localSheetId="4">'8(a)'!$B$38:$B$59</definedName>
    <definedName name="Holidays" localSheetId="2">'MATOC (evaluation factors)'!$B$38:$B$59</definedName>
    <definedName name="Holidays" localSheetId="1">'MATOC (price only)'!$B$35:$B$56</definedName>
    <definedName name="Holidays" localSheetId="3">'Negotiated'!$B$39:$B$60</definedName>
    <definedName name="Holidays">'Sealed Bid'!$B$33:$B$54</definedName>
    <definedName name="_xlnm.Print_Area" localSheetId="4">'8(a)'!$B$2:$G$35</definedName>
    <definedName name="_xlnm.Print_Area" localSheetId="2">'MATOC (evaluation factors)'!$B$2:$G$35</definedName>
    <definedName name="_xlnm.Print_Area" localSheetId="1">'MATOC (price only)'!$B$2:$G$32</definedName>
    <definedName name="_xlnm.Print_Area" localSheetId="3">'Negotiated'!$B$2:$G$36</definedName>
    <definedName name="_xlnm.Print_Area" localSheetId="0">'Sealed Bid'!$B$2:$G$30</definedName>
    <definedName name="Year" localSheetId="4">'8(a)'!$B$37</definedName>
    <definedName name="Year" localSheetId="2">'MATOC (evaluation factors)'!$B$37</definedName>
    <definedName name="Year" localSheetId="1">'MATOC (price only)'!$B$34</definedName>
    <definedName name="Year" localSheetId="3">'Negotiated'!$B$38</definedName>
    <definedName name="Year">'Sealed Bid'!$B$32</definedName>
  </definedNames>
  <calcPr fullCalcOnLoad="1"/>
</workbook>
</file>

<file path=xl/sharedStrings.xml><?xml version="1.0" encoding="utf-8"?>
<sst xmlns="http://schemas.openxmlformats.org/spreadsheetml/2006/main" count="208" uniqueCount="76">
  <si>
    <t>Award Date</t>
  </si>
  <si>
    <t>Bid Opening Date</t>
  </si>
  <si>
    <t>Ad Date</t>
  </si>
  <si>
    <t>Arrives in PS&amp;E</t>
  </si>
  <si>
    <t>Notice to Proceed Date</t>
  </si>
  <si>
    <t>Arrives in Contracts Date</t>
  </si>
  <si>
    <t>Proposal Receipt Date</t>
  </si>
  <si>
    <t>Sealed Bid</t>
  </si>
  <si>
    <t>PS&amp;E to Notice to Proceed Calculation</t>
  </si>
  <si>
    <t>End of Negotiation Period Date</t>
  </si>
  <si>
    <t>End of Evaluation Period Date</t>
  </si>
  <si>
    <t>8(a) Sole Source</t>
  </si>
  <si>
    <t>Negotiated (Best Value or IDIQ)</t>
  </si>
  <si>
    <t>Calendar days between Bid opening and award</t>
  </si>
  <si>
    <t>Calendar days between Ad date and bid opening</t>
  </si>
  <si>
    <t>Calendar days between Arrives in contracts and on ad</t>
  </si>
  <si>
    <t>Calendar days between PS&amp;E and contracts</t>
  </si>
  <si>
    <t>Please Note:</t>
  </si>
  <si>
    <t xml:space="preserve">1. The ad date must be Mon through Fri. </t>
  </si>
  <si>
    <t>3. The award date must be Mon through Fri.</t>
  </si>
  <si>
    <t>Calendar days between negotiation and award</t>
  </si>
  <si>
    <t>Calendar days between Ad date and Proposal Receipt</t>
  </si>
  <si>
    <t>MATOC Task Order with no evaluation factors (price only)</t>
  </si>
  <si>
    <t xml:space="preserve">    (could be less depending on size/complexity of project)</t>
  </si>
  <si>
    <t>MATOC Task Order with evaluation factors</t>
  </si>
  <si>
    <t>Calendar days between evaluation and award</t>
  </si>
  <si>
    <t>Provide a set of plans and specifications for each contract holder to Contracts at PIH stage.  See Contracts for clarification.</t>
  </si>
  <si>
    <t>Provide a set of plans and specifications to Contracts at PIH stage.  See Contracts for clarification.</t>
  </si>
  <si>
    <t xml:space="preserve">   (Assumes no price negotiations are required)</t>
  </si>
  <si>
    <t>New Years Day</t>
  </si>
  <si>
    <t>Martin Luther King Day</t>
  </si>
  <si>
    <t>President's Day</t>
  </si>
  <si>
    <t>Memorial Day</t>
  </si>
  <si>
    <t>Independence Day</t>
  </si>
  <si>
    <t>Labor Day</t>
  </si>
  <si>
    <t>Columbus Day</t>
  </si>
  <si>
    <t>Veteran's Day</t>
  </si>
  <si>
    <t>Thanksgiving</t>
  </si>
  <si>
    <t>Christmas</t>
  </si>
  <si>
    <t>Sun</t>
  </si>
  <si>
    <t>Mon</t>
  </si>
  <si>
    <t>Christmas on</t>
  </si>
  <si>
    <t>Days Added</t>
  </si>
  <si>
    <t>Tues</t>
  </si>
  <si>
    <t>Holiday period</t>
  </si>
  <si>
    <t>Wed</t>
  </si>
  <si>
    <t>Thur</t>
  </si>
  <si>
    <t>Wed 12/24 to Sun 1/4</t>
  </si>
  <si>
    <t>Fri</t>
  </si>
  <si>
    <t>Thur 12/24 to Sun 1/3</t>
  </si>
  <si>
    <t>Sat</t>
  </si>
  <si>
    <t>Fri 12/24 to Sun 1/2</t>
  </si>
  <si>
    <t>Sat 12/21 to Wed 1/1</t>
  </si>
  <si>
    <t>Sat 12/22 to Tues 1/1</t>
  </si>
  <si>
    <t>Sat 12/23 to Mon 1/1</t>
  </si>
  <si>
    <t>Sat 12/24 to Mon 1/2</t>
  </si>
  <si>
    <t xml:space="preserve">It is also preferred to not have a bid opening date between Thanksgiving and the first week of January.  </t>
  </si>
  <si>
    <t xml:space="preserve">2. The bid opening date must be Tue through Fri and cannot be a holiday or the day after a holiday.  </t>
  </si>
  <si>
    <t xml:space="preserve"> &lt;-- Enter Date here</t>
  </si>
  <si>
    <t>^- Adds days</t>
  </si>
  <si>
    <t>^- Weekends/Holiday/Monday check</t>
  </si>
  <si>
    <t>Code</t>
  </si>
  <si>
    <t>Thanksgiving - first week Jan</t>
  </si>
  <si>
    <t>Assumed dates excluded</t>
  </si>
  <si>
    <t xml:space="preserve">2. The proposal receipt date must be Tue through Fri and cannot be a holiday or the day after a holiday.  </t>
  </si>
  <si>
    <t xml:space="preserve">It is also preferred to not have a proposal receipt date between Thanksgiving and the first week of January.  </t>
  </si>
  <si>
    <t>Calendar days between proposal reciept and award</t>
  </si>
  <si>
    <t>Calendar days between proposal receipt and evaluation end</t>
  </si>
  <si>
    <t>Calendar days between proposal receipt and negotiation</t>
  </si>
  <si>
    <t>Calendar days between receipt of proposals and evaluation</t>
  </si>
  <si>
    <t>Calendar days between evaluation and negotiation end</t>
  </si>
  <si>
    <t xml:space="preserve"> &lt;-- Enter Yes or No here</t>
  </si>
  <si>
    <t>Is this project in Montana?</t>
  </si>
  <si>
    <t>No</t>
  </si>
  <si>
    <t>Yes</t>
  </si>
  <si>
    <t>&lt;&lt;Project number&gt;&gt;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</si>
</sst>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w\w\w\ mm/dd/yy"/>
    <numFmt numFmtId="166" formatCode="ddd\ mm/dd/yy"/>
    <numFmt numFmtId="167" formatCode="\(ddd\)"/>
    <numFmt numFmtId="168" formatCode="General\ &quot;Holidays&quot;"/>
    <numFmt numFmtId="169" formatCode="ddd\ m/d/yyyy"/>
    <numFmt numFmtId="170" formatCode="\-mmm"/>
    <numFmt numFmtId="171" formatCode="d"/>
    <numFmt numFmtId="172" formatCode="&quot;for &quot;@"/>
  </numFmts>
  <fonts count="1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1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1"/>
      </bottom>
    </border>
    <border>
      <left style="thin">
        <color indexed="48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8"/>
      </right>
      <top style="thin">
        <color indexed="41"/>
      </top>
      <bottom style="thin">
        <color indexed="41"/>
      </bottom>
    </border>
    <border>
      <left style="thin">
        <color indexed="48"/>
      </left>
      <right>
        <color indexed="63"/>
      </right>
      <top style="thin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1"/>
      </top>
      <bottom style="thin">
        <color indexed="48"/>
      </bottom>
    </border>
    <border>
      <left style="medium"/>
      <right style="medium"/>
      <top style="medium"/>
      <bottom style="medium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2" borderId="0" xfId="0" applyAlignment="1">
      <alignment/>
    </xf>
    <xf numFmtId="0" fontId="0" fillId="2" borderId="0" xfId="0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0" fontId="0" fillId="2" borderId="0" xfId="0" applyAlignment="1" applyProtection="1">
      <alignment/>
      <protection/>
    </xf>
    <xf numFmtId="0" fontId="1" fillId="2" borderId="0" xfId="0" applyFont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 horizontal="left"/>
      <protection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left" indent="3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Alignment="1" applyProtection="1">
      <alignment horizontal="left" indent="1"/>
      <protection/>
    </xf>
    <xf numFmtId="0" fontId="0" fillId="0" borderId="0" xfId="0" applyFill="1" applyAlignment="1" applyProtection="1">
      <alignment horizontal="left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4" fontId="0" fillId="2" borderId="0" xfId="0" applyNumberFormat="1" applyAlignment="1" applyProtection="1">
      <alignment/>
      <protection/>
    </xf>
    <xf numFmtId="169" fontId="0" fillId="4" borderId="3" xfId="0" applyNumberFormat="1" applyFill="1" applyBorder="1" applyAlignment="1" applyProtection="1">
      <alignment horizontal="center"/>
      <protection/>
    </xf>
    <xf numFmtId="0" fontId="12" fillId="2" borderId="0" xfId="0" applyFont="1" applyAlignment="1" applyProtection="1">
      <alignment/>
      <protection/>
    </xf>
    <xf numFmtId="169" fontId="0" fillId="2" borderId="0" xfId="0" applyNumberFormat="1" applyAlignment="1" applyProtection="1" quotePrefix="1">
      <alignment/>
      <protection/>
    </xf>
    <xf numFmtId="169" fontId="0" fillId="0" borderId="0" xfId="0" applyNumberFormat="1" applyFill="1" applyAlignment="1" applyProtection="1">
      <alignment horizontal="center"/>
      <protection/>
    </xf>
    <xf numFmtId="169" fontId="0" fillId="2" borderId="0" xfId="0" applyNumberFormat="1" applyAlignment="1" applyProtection="1">
      <alignment/>
      <protection/>
    </xf>
    <xf numFmtId="169" fontId="12" fillId="2" borderId="4" xfId="0" applyNumberFormat="1" applyFont="1" applyBorder="1" applyAlignment="1" applyProtection="1">
      <alignment horizontal="center"/>
      <protection/>
    </xf>
    <xf numFmtId="169" fontId="12" fillId="2" borderId="5" xfId="0" applyNumberFormat="1" applyFont="1" applyBorder="1" applyAlignment="1" applyProtection="1">
      <alignment horizontal="center"/>
      <protection/>
    </xf>
    <xf numFmtId="0" fontId="12" fillId="2" borderId="6" xfId="0" applyFont="1" applyBorder="1" applyAlignment="1" applyProtection="1">
      <alignment/>
      <protection/>
    </xf>
    <xf numFmtId="169" fontId="0" fillId="0" borderId="0" xfId="0" applyNumberFormat="1" applyFill="1" applyAlignment="1" applyProtection="1" quotePrefix="1">
      <alignment horizontal="center"/>
      <protection/>
    </xf>
    <xf numFmtId="169" fontId="12" fillId="2" borderId="0" xfId="0" applyNumberFormat="1" applyFont="1" applyAlignment="1" applyProtection="1">
      <alignment horizontal="center"/>
      <protection/>
    </xf>
    <xf numFmtId="169" fontId="12" fillId="2" borderId="0" xfId="0" applyNumberFormat="1" applyFont="1" applyAlignment="1" applyProtection="1" quotePrefix="1">
      <alignment horizontal="center"/>
      <protection/>
    </xf>
    <xf numFmtId="0" fontId="12" fillId="2" borderId="0" xfId="0" applyFont="1" applyAlignment="1" applyProtection="1">
      <alignment horizontal="center"/>
      <protection/>
    </xf>
    <xf numFmtId="0" fontId="12" fillId="2" borderId="0" xfId="0" applyFont="1" applyAlignment="1" applyProtection="1">
      <alignment horizontal="left" indent="2"/>
      <protection/>
    </xf>
    <xf numFmtId="0" fontId="0" fillId="2" borderId="0" xfId="0" applyAlignment="1" applyProtection="1" quotePrefix="1">
      <alignment/>
      <protection/>
    </xf>
    <xf numFmtId="16" fontId="0" fillId="2" borderId="0" xfId="0" applyNumberFormat="1" applyAlignment="1" applyProtection="1">
      <alignment/>
      <protection/>
    </xf>
    <xf numFmtId="168" fontId="6" fillId="5" borderId="7" xfId="0" applyNumberFormat="1" applyFont="1" applyFill="1" applyBorder="1" applyAlignment="1" applyProtection="1">
      <alignment horizontal="centerContinuous"/>
      <protection/>
    </xf>
    <xf numFmtId="0" fontId="7" fillId="6" borderId="8" xfId="0" applyFont="1" applyFill="1" applyBorder="1" applyAlignment="1" applyProtection="1">
      <alignment horizontal="centerContinuous"/>
      <protection/>
    </xf>
    <xf numFmtId="0" fontId="6" fillId="5" borderId="9" xfId="0" applyFont="1" applyFill="1" applyBorder="1" applyAlignment="1" applyProtection="1">
      <alignment horizontal="centerContinuous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2" borderId="0" xfId="0" applyFont="1" applyAlignment="1" applyProtection="1">
      <alignment horizontal="right"/>
      <protection/>
    </xf>
    <xf numFmtId="0" fontId="11" fillId="2" borderId="0" xfId="0" applyFont="1" applyAlignment="1" applyProtection="1">
      <alignment horizontal="center"/>
      <protection/>
    </xf>
    <xf numFmtId="14" fontId="7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11" fillId="2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indent="3"/>
      <protection/>
    </xf>
    <xf numFmtId="14" fontId="0" fillId="0" borderId="1" xfId="0" applyNumberFormat="1" applyFill="1" applyBorder="1" applyAlignment="1" applyProtection="1">
      <alignment/>
      <protection/>
    </xf>
    <xf numFmtId="169" fontId="0" fillId="4" borderId="19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wrapText="1" indent="1"/>
      <protection/>
    </xf>
    <xf numFmtId="0" fontId="2" fillId="0" borderId="0" xfId="0" applyFont="1" applyFill="1" applyAlignment="1" applyProtection="1">
      <alignment horizontal="left" vertical="top" wrapText="1" indent="1"/>
      <protection/>
    </xf>
    <xf numFmtId="0" fontId="0" fillId="0" borderId="0" xfId="0" applyFill="1" applyAlignment="1" applyProtection="1">
      <alignment horizontal="left" vertical="top" wrapText="1" indent="1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indent="1"/>
      <protection/>
    </xf>
    <xf numFmtId="172" fontId="1" fillId="0" borderId="0" xfId="0" applyNumberFormat="1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808080"/>
      </font>
      <border/>
    </dxf>
    <dxf>
      <fill>
        <patternFill>
          <bgColor rgb="FFFFCC99"/>
        </patternFill>
      </fill>
      <border/>
    </dxf>
    <dxf>
      <font>
        <b/>
        <i val="0"/>
        <color rgb="FFFF0000"/>
      </font>
      <border/>
    </dxf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showGridLines="0" showRowColHeaders="0" tabSelected="1" workbookViewId="0" topLeftCell="A1">
      <selection activeCell="B4" sqref="B4:G4"/>
    </sheetView>
  </sheetViews>
  <sheetFormatPr defaultColWidth="9.7109375" defaultRowHeight="12.75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6384" width="9.7109375" style="3" customWidth="1"/>
  </cols>
  <sheetData>
    <row r="2" spans="2:7" ht="23.25">
      <c r="B2" s="67" t="s">
        <v>7</v>
      </c>
      <c r="C2" s="67"/>
      <c r="D2" s="67"/>
      <c r="E2" s="67"/>
      <c r="F2" s="67"/>
      <c r="G2" s="67"/>
    </row>
    <row r="3" spans="2:8" ht="23.25">
      <c r="B3" s="67" t="s">
        <v>8</v>
      </c>
      <c r="C3" s="67"/>
      <c r="D3" s="67"/>
      <c r="E3" s="67"/>
      <c r="F3" s="67"/>
      <c r="G3" s="67"/>
      <c r="H3" s="4"/>
    </row>
    <row r="4" spans="2:8" ht="23.25">
      <c r="B4" s="69" t="s">
        <v>75</v>
      </c>
      <c r="C4" s="69"/>
      <c r="D4" s="69"/>
      <c r="E4" s="69"/>
      <c r="F4" s="69"/>
      <c r="G4" s="69"/>
      <c r="H4" s="4"/>
    </row>
    <row r="5" spans="2:10" ht="12.75">
      <c r="B5" s="12"/>
      <c r="C5" s="12"/>
      <c r="D5" s="13"/>
      <c r="E5" s="13"/>
      <c r="F5" s="13"/>
      <c r="G5" s="27">
        <f>IF(D6&gt;MAX(Holidays),"Warning! Last date beyond last calculated holiday.","")</f>
      </c>
      <c r="J5" s="28"/>
    </row>
    <row r="6" spans="2:8" ht="13.5" thickBot="1">
      <c r="B6" s="14" t="s">
        <v>4</v>
      </c>
      <c r="C6" s="23"/>
      <c r="D6" s="29">
        <f>WORKDAY(D9+F6,IF(OR(WEEKDAY(D9+F6,2)&gt;5,ISNUMBER(MATCH(D9+F6,Holidays,0))),1,0),Holidays)</f>
        <v>39150</v>
      </c>
      <c r="E6" s="13"/>
      <c r="F6" s="16">
        <f>IF(D22="Yes",4,3)*7</f>
        <v>21</v>
      </c>
      <c r="G6" s="13" t="str">
        <f>"Calendar days between award and NTP"&amp;IF(D22="Yes"," (Montana)","")</f>
        <v>Calendar days between award and NTP</v>
      </c>
      <c r="H6" s="30">
        <f>IF(D22="Yes",4,3)*7</f>
        <v>21</v>
      </c>
    </row>
    <row r="7" spans="2:7" ht="12.75">
      <c r="B7" s="8"/>
      <c r="C7" s="24"/>
      <c r="D7" s="2"/>
      <c r="E7" s="10"/>
      <c r="F7" s="17">
        <f>IF(F6&lt;&gt;H6,"Standard "&amp;H6&amp;" days"&amp;IF($D$22="Yes"," for Montana","")&amp;" has been changed.  ","")&amp;IF(D6-D9&lt;&gt;F6,"("&amp;D6-D9&amp;" days used)","")</f>
      </c>
      <c r="G7" s="10"/>
    </row>
    <row r="8" spans="2:10" ht="12.75">
      <c r="B8" s="12"/>
      <c r="C8" s="12"/>
      <c r="D8" s="25"/>
      <c r="E8" s="13"/>
      <c r="F8" s="13"/>
      <c r="G8" s="21"/>
      <c r="J8" s="31"/>
    </row>
    <row r="9" spans="2:8" ht="12.75">
      <c r="B9" s="14" t="s">
        <v>0</v>
      </c>
      <c r="C9" s="12"/>
      <c r="D9" s="32">
        <f>WORKDAY(D12+F9,IF(OR(WEEKDAY(D12+F9,2)&gt;5,ISNUMBER(MATCH(D12+F9,Holidays,0))),1,0),Holidays)</f>
        <v>39129</v>
      </c>
      <c r="E9" s="15"/>
      <c r="F9" s="16">
        <v>30</v>
      </c>
      <c r="G9" s="13" t="s">
        <v>13</v>
      </c>
      <c r="H9" s="30">
        <v>30</v>
      </c>
    </row>
    <row r="10" spans="2:10" ht="12.75">
      <c r="B10" s="8"/>
      <c r="C10" s="8"/>
      <c r="D10" s="26"/>
      <c r="E10" s="10"/>
      <c r="F10" s="17">
        <f>IF(F9&lt;&gt;H9,"Standard "&amp;H9&amp;" days has been changed.  ","")&amp;IF(D9-D12&lt;&gt;F9,"("&amp;D9-D12&amp;" days used)","")</f>
      </c>
      <c r="G10" s="10"/>
      <c r="J10" s="33"/>
    </row>
    <row r="11" spans="2:11" ht="12.75">
      <c r="B11" s="12"/>
      <c r="C11" s="12"/>
      <c r="D11" s="25"/>
      <c r="E11" s="13"/>
      <c r="F11" s="13"/>
      <c r="G11" s="21"/>
      <c r="I11" s="34">
        <f>INDEX(Holidays,MATCH(DATE(YEAR(D12),12,1),Holidays))</f>
        <v>39408</v>
      </c>
      <c r="J11" s="35">
        <f>WORKDAY(DATE(YEAR(D12),12,31),VLOOKUP(WEEKDAY(DATE(YEAR(D12),12,25)),Christmas,3,0),Holidays)-1</f>
        <v>39448</v>
      </c>
      <c r="K11" s="36" t="s">
        <v>62</v>
      </c>
    </row>
    <row r="12" spans="2:10" ht="12.75">
      <c r="B12" s="14" t="s">
        <v>1</v>
      </c>
      <c r="C12" s="12"/>
      <c r="D12" s="37">
        <f>WORKDAY(J12,IF(J12-INDEX(Holidays,MATCH(J12,Holidays))&lt;2,1,0),Holidays)</f>
        <v>39099</v>
      </c>
      <c r="E12" s="15"/>
      <c r="F12" s="16">
        <v>30</v>
      </c>
      <c r="G12" s="13" t="s">
        <v>14</v>
      </c>
      <c r="H12" s="30">
        <v>30</v>
      </c>
      <c r="I12" s="38">
        <f>D15+F12+IF(WORKDAY(DATE(YEAR(D15),12,24),-1,Holidays)-D15&lt;F12,VLOOKUP(WEEKDAY(DATE(YEAR(D15),12,25)),Christmas,2,0),0)</f>
        <v>39097</v>
      </c>
      <c r="J12" s="39">
        <f>WORKDAY(I12,IF(AND(WEEKDAY(I12,2)=4,ISNUMBER(MATCH(I12,Holidays,0))),3,IF(OR(AND(WEEKDAY(I12,2)=5,ISNUMBER(MATCH(I12,Holidays,0))),WEEKDAY(I12,2)&gt;5),2,IF(OR(WEEKDAY(I12,2)=1,ISNUMBER(MATCH(I12,Holidays,0))),1,0))),Holidays)</f>
        <v>39098</v>
      </c>
    </row>
    <row r="13" spans="2:10" ht="12.75">
      <c r="B13" s="8"/>
      <c r="C13" s="8"/>
      <c r="D13" s="26"/>
      <c r="E13" s="11"/>
      <c r="F13" s="17" t="str">
        <f>IF(F12&lt;&gt;H12,"Standard "&amp;H12&amp;" days has been changed.  ","")&amp;IF(D12-D15&lt;&gt;F12,"("&amp;D12-D15&amp;" days used)","")</f>
        <v>(42 days used)</v>
      </c>
      <c r="G13" s="10"/>
      <c r="I13" s="40" t="s">
        <v>59</v>
      </c>
      <c r="J13" s="41" t="s">
        <v>60</v>
      </c>
    </row>
    <row r="14" spans="2:7" ht="12.75">
      <c r="B14" s="12"/>
      <c r="C14" s="12"/>
      <c r="D14" s="25"/>
      <c r="E14" s="13"/>
      <c r="F14" s="13"/>
      <c r="G14" s="21"/>
    </row>
    <row r="15" spans="2:10" ht="12.75">
      <c r="B15" s="14" t="s">
        <v>2</v>
      </c>
      <c r="C15" s="12"/>
      <c r="D15" s="32">
        <f>WORKDAY(D18+F15,IF(OR(WEEKDAY(D18+F15,2)&gt;5,ISNUMBER(MATCH(D18+F15,Holidays,0))),1,0),Holidays)</f>
        <v>39057</v>
      </c>
      <c r="E15" s="15"/>
      <c r="F15" s="16">
        <f>2*7</f>
        <v>14</v>
      </c>
      <c r="G15" s="13" t="s">
        <v>15</v>
      </c>
      <c r="H15" s="30">
        <f>2*7</f>
        <v>14</v>
      </c>
      <c r="J15" s="42"/>
    </row>
    <row r="16" spans="2:7" ht="12.75">
      <c r="B16" s="8"/>
      <c r="C16" s="8"/>
      <c r="D16" s="26"/>
      <c r="E16" s="11"/>
      <c r="F16" s="17">
        <f>IF(F15&lt;&gt;H15,"Standard "&amp;H15&amp;" days has been changed.  ","")&amp;IF(D15-D18&lt;&gt;F15,"("&amp;D15-D18&amp;" days used)","")</f>
      </c>
      <c r="G16" s="10"/>
    </row>
    <row r="17" spans="2:7" ht="12.75">
      <c r="B17" s="12"/>
      <c r="C17" s="12"/>
      <c r="D17" s="25"/>
      <c r="E17" s="15"/>
      <c r="F17" s="15"/>
      <c r="G17" s="21"/>
    </row>
    <row r="18" spans="2:8" ht="12.75">
      <c r="B18" s="14" t="s">
        <v>5</v>
      </c>
      <c r="C18" s="12"/>
      <c r="D18" s="32">
        <f>WORKDAY(Arrives+F18,IF(OR(WEEKDAY(Arrives+F18,2)&gt;5,ISNUMBER(MATCH(Arrives+F18,Holidays,0))),1,0),Holidays)</f>
        <v>39043</v>
      </c>
      <c r="E18" s="15"/>
      <c r="F18" s="16">
        <f>2*7</f>
        <v>14</v>
      </c>
      <c r="G18" s="13" t="s">
        <v>16</v>
      </c>
      <c r="H18" s="30">
        <f>2*7</f>
        <v>14</v>
      </c>
    </row>
    <row r="19" spans="2:7" ht="12.75">
      <c r="B19" s="8"/>
      <c r="C19" s="8"/>
      <c r="D19" s="26"/>
      <c r="E19" s="11"/>
      <c r="F19" s="17">
        <f>IF(F18&lt;&gt;H18,"Standard "&amp;H18&amp;" days has been changed.  ","")&amp;IF(D18-D21&lt;&gt;F18,"("&amp;D18-D21&amp;" days used)","")</f>
      </c>
      <c r="G19" s="10"/>
    </row>
    <row r="20" spans="2:7" ht="12.75">
      <c r="B20" s="12"/>
      <c r="C20" s="12"/>
      <c r="D20" s="25"/>
      <c r="E20" s="15"/>
      <c r="F20" s="15"/>
      <c r="G20" s="21"/>
    </row>
    <row r="21" spans="2:7" ht="16.5" thickBot="1">
      <c r="B21" s="14" t="s">
        <v>3</v>
      </c>
      <c r="C21" s="7">
        <f>Arrives</f>
        <v>39029</v>
      </c>
      <c r="D21" s="6">
        <v>39029</v>
      </c>
      <c r="E21" s="22" t="s">
        <v>58</v>
      </c>
      <c r="F21" s="5"/>
      <c r="G21" s="5"/>
    </row>
    <row r="22" spans="2:7" ht="16.5" thickBot="1">
      <c r="B22" s="14" t="s">
        <v>72</v>
      </c>
      <c r="C22" s="7"/>
      <c r="D22" s="6" t="s">
        <v>73</v>
      </c>
      <c r="E22" s="22" t="s">
        <v>71</v>
      </c>
      <c r="F22" s="5"/>
      <c r="G22" s="5"/>
    </row>
    <row r="23" spans="2:7" ht="12.75">
      <c r="B23" s="8"/>
      <c r="C23" s="9"/>
      <c r="D23" s="10"/>
      <c r="E23" s="11"/>
      <c r="F23" s="11"/>
      <c r="G23" s="10"/>
    </row>
    <row r="24" spans="2:7" ht="12.75">
      <c r="B24" s="14"/>
      <c r="C24" s="12"/>
      <c r="D24" s="13"/>
      <c r="E24" s="13"/>
      <c r="F24" s="60"/>
      <c r="G24" s="13"/>
    </row>
    <row r="25" spans="2:7" ht="15.75">
      <c r="B25" s="18" t="s">
        <v>17</v>
      </c>
      <c r="C25" s="13"/>
      <c r="D25" s="13"/>
      <c r="E25" s="13"/>
      <c r="F25" s="13"/>
      <c r="G25" s="13"/>
    </row>
    <row r="26" spans="2:7" ht="12.75" customHeight="1">
      <c r="B26" s="68" t="s">
        <v>18</v>
      </c>
      <c r="C26" s="68"/>
      <c r="D26" s="68"/>
      <c r="E26" s="68"/>
      <c r="F26" s="68"/>
      <c r="G26" s="68"/>
    </row>
    <row r="27" spans="2:7" ht="12.75">
      <c r="B27" s="64" t="s">
        <v>57</v>
      </c>
      <c r="C27" s="68"/>
      <c r="D27" s="68"/>
      <c r="E27" s="68"/>
      <c r="F27" s="68"/>
      <c r="G27" s="68"/>
    </row>
    <row r="28" spans="2:9" ht="12.75" customHeight="1">
      <c r="B28" s="64" t="s">
        <v>56</v>
      </c>
      <c r="C28" s="64"/>
      <c r="D28" s="64"/>
      <c r="E28" s="64"/>
      <c r="F28" s="64"/>
      <c r="G28" s="64"/>
      <c r="I28" s="43"/>
    </row>
    <row r="29" spans="2:9" ht="25.5" customHeight="1">
      <c r="B29" s="65" t="str">
        <f>"If the advertisement period includes the Christmas/New Year Holiday period, 7 to 14 days will need to be added to the advertisement period"&amp;IF(YEAR(D12)&lt;&gt;YEAR(D15)," ("&amp;D12-D15-F12&amp;" days were added for holiday period)","")&amp;"."</f>
        <v>If the advertisement period includes the Christmas/New Year Holiday period, 7 to 14 days will need to be added to the advertisement period (12 days were added for holiday period).</v>
      </c>
      <c r="C29" s="66"/>
      <c r="D29" s="66"/>
      <c r="E29" s="66"/>
      <c r="F29" s="66"/>
      <c r="G29" s="66"/>
      <c r="I29" s="43"/>
    </row>
    <row r="30" spans="2:7" ht="12.75">
      <c r="B30" s="19" t="s">
        <v>19</v>
      </c>
      <c r="C30" s="20"/>
      <c r="D30" s="20"/>
      <c r="E30" s="20"/>
      <c r="F30" s="20"/>
      <c r="G30" s="20"/>
    </row>
    <row r="32" spans="2:4" ht="16.5" hidden="1">
      <c r="B32" s="44">
        <f>YEAR(Arrives)</f>
        <v>2006</v>
      </c>
      <c r="C32" s="45"/>
      <c r="D32" s="46"/>
    </row>
    <row r="33" spans="2:11" ht="15" hidden="1">
      <c r="B33" s="47">
        <f>DATE(Year,1,1)+IF(WEEKDAY(DATE(Year,1,1),2)&lt;6,0,IF(WEEKDAY(DATE(Year,1,1),2)=6,-1,1))</f>
        <v>38719</v>
      </c>
      <c r="C33" s="48" t="s">
        <v>29</v>
      </c>
      <c r="D33" s="49"/>
      <c r="G33" s="50" t="s">
        <v>41</v>
      </c>
      <c r="H33" s="51" t="s">
        <v>61</v>
      </c>
      <c r="I33" s="51" t="s">
        <v>42</v>
      </c>
      <c r="J33" s="51" t="s">
        <v>44</v>
      </c>
      <c r="K33" s="59" t="s">
        <v>63</v>
      </c>
    </row>
    <row r="34" spans="2:11" ht="15" hidden="1">
      <c r="B34" s="52">
        <f>DATE(Year,1,21)-WEEKDAY(DATE(Year,1,21),3)</f>
        <v>38733</v>
      </c>
      <c r="C34" s="53" t="s">
        <v>30</v>
      </c>
      <c r="D34" s="54"/>
      <c r="G34" s="1" t="s">
        <v>39</v>
      </c>
      <c r="H34" s="55">
        <v>1</v>
      </c>
      <c r="I34" s="55">
        <v>10</v>
      </c>
      <c r="J34" s="55">
        <v>1</v>
      </c>
      <c r="K34" s="3" t="s">
        <v>55</v>
      </c>
    </row>
    <row r="35" spans="2:11" ht="15" hidden="1">
      <c r="B35" s="52">
        <f>DATE(Year,2,21)-WEEKDAY(DATE(Year,2,21),3)</f>
        <v>38768</v>
      </c>
      <c r="C35" s="53" t="s">
        <v>31</v>
      </c>
      <c r="D35" s="54"/>
      <c r="G35" s="1" t="s">
        <v>40</v>
      </c>
      <c r="H35" s="55">
        <v>2</v>
      </c>
      <c r="I35" s="55">
        <v>10</v>
      </c>
      <c r="J35" s="55">
        <v>1</v>
      </c>
      <c r="K35" s="3" t="s">
        <v>54</v>
      </c>
    </row>
    <row r="36" spans="2:11" ht="15" hidden="1">
      <c r="B36" s="52">
        <f>DATE(Year,5,31)-WEEKDAY(DATE(Year,5,31),3)</f>
        <v>38866</v>
      </c>
      <c r="C36" s="53" t="s">
        <v>32</v>
      </c>
      <c r="D36" s="54"/>
      <c r="G36" s="1" t="s">
        <v>43</v>
      </c>
      <c r="H36" s="55">
        <v>3</v>
      </c>
      <c r="I36" s="55">
        <v>11</v>
      </c>
      <c r="J36" s="55">
        <v>1</v>
      </c>
      <c r="K36" s="3" t="s">
        <v>53</v>
      </c>
    </row>
    <row r="37" spans="2:11" ht="15" hidden="1">
      <c r="B37" s="52">
        <f>DATE(Year,7,4)+IF(WEEKDAY(DATE(Year,7,4),2)&lt;6,0,IF(WEEKDAY(DATE(Year,7,4),2)=6,-1,1))</f>
        <v>38902</v>
      </c>
      <c r="C37" s="53" t="s">
        <v>33</v>
      </c>
      <c r="D37" s="54"/>
      <c r="G37" s="1" t="s">
        <v>45</v>
      </c>
      <c r="H37" s="55">
        <v>4</v>
      </c>
      <c r="I37" s="55">
        <v>12</v>
      </c>
      <c r="J37" s="55">
        <v>3</v>
      </c>
      <c r="K37" s="3" t="s">
        <v>52</v>
      </c>
    </row>
    <row r="38" spans="2:11" ht="15" hidden="1">
      <c r="B38" s="52">
        <f>DATE(Year,9,7)-WEEKDAY(DATE(Year,9,7),3)</f>
        <v>38964</v>
      </c>
      <c r="C38" s="53" t="s">
        <v>34</v>
      </c>
      <c r="D38" s="54"/>
      <c r="G38" s="1" t="s">
        <v>46</v>
      </c>
      <c r="H38" s="55">
        <v>5</v>
      </c>
      <c r="I38" s="55">
        <v>12</v>
      </c>
      <c r="J38" s="55">
        <v>2</v>
      </c>
      <c r="K38" s="3" t="s">
        <v>47</v>
      </c>
    </row>
    <row r="39" spans="2:11" ht="15" hidden="1">
      <c r="B39" s="52">
        <f>DATE(Year,10,14)-WEEKDAY(DATE(Year,10,14),3)</f>
        <v>38999</v>
      </c>
      <c r="C39" s="53" t="s">
        <v>35</v>
      </c>
      <c r="D39" s="54"/>
      <c r="G39" s="1" t="s">
        <v>48</v>
      </c>
      <c r="H39" s="55">
        <v>6</v>
      </c>
      <c r="I39" s="55">
        <v>11</v>
      </c>
      <c r="J39" s="55">
        <v>1</v>
      </c>
      <c r="K39" s="3" t="s">
        <v>49</v>
      </c>
    </row>
    <row r="40" spans="2:11" ht="15" hidden="1">
      <c r="B40" s="52">
        <f>DATE(Year,11,11)+IF(WEEKDAY(DATE(Year,11,11),2)&lt;6,0,IF(WEEKDAY(DATE(Year,11,11),2)=6,-1,1))</f>
        <v>39031</v>
      </c>
      <c r="C40" s="53" t="s">
        <v>36</v>
      </c>
      <c r="D40" s="54"/>
      <c r="G40" s="1" t="s">
        <v>50</v>
      </c>
      <c r="H40" s="55">
        <v>7</v>
      </c>
      <c r="I40" s="55">
        <v>10</v>
      </c>
      <c r="J40" s="55">
        <v>1</v>
      </c>
      <c r="K40" s="3" t="s">
        <v>51</v>
      </c>
    </row>
    <row r="41" spans="2:4" ht="15" hidden="1">
      <c r="B41" s="52">
        <f>DATE(Year,11,28)-WEEKDAY(DATE(Year,11,25),3)</f>
        <v>39044</v>
      </c>
      <c r="C41" s="53" t="s">
        <v>37</v>
      </c>
      <c r="D41" s="54"/>
    </row>
    <row r="42" spans="2:4" ht="15" hidden="1">
      <c r="B42" s="52">
        <f>DATE(Year,12,25)+IF(WEEKDAY(DATE(Year,12,25),2)&lt;6,0,IF(WEEKDAY(DATE(Year,12,25),2)=6,-1,1))</f>
        <v>39076</v>
      </c>
      <c r="C42" s="53" t="s">
        <v>38</v>
      </c>
      <c r="D42" s="54"/>
    </row>
    <row r="43" spans="2:4" ht="15" hidden="1">
      <c r="B43" s="52">
        <f>DATE(Year+1,1,1)+IF(WEEKDAY(DATE(Year+1,1,1),2)&lt;6,0,IF(WEEKDAY(DATE(Year+1,1,1),2)=6,-1,1))</f>
        <v>39083</v>
      </c>
      <c r="C43" s="53" t="str">
        <f>C33&amp;" "&amp;(Year+1)</f>
        <v>New Years Day 2007</v>
      </c>
      <c r="D43" s="54"/>
    </row>
    <row r="44" spans="2:4" ht="15" hidden="1">
      <c r="B44" s="52">
        <f>DATE(Year+1,1,21)-WEEKDAY(DATE(Year+1,1,21),3)</f>
        <v>39097</v>
      </c>
      <c r="C44" s="53" t="str">
        <f aca="true" t="shared" si="0" ref="C44:C52">C34&amp;" "&amp;(Year+1)</f>
        <v>Martin Luther King Day 2007</v>
      </c>
      <c r="D44" s="54"/>
    </row>
    <row r="45" spans="2:4" ht="15" hidden="1">
      <c r="B45" s="52">
        <f>DATE(Year+1,2,21)-WEEKDAY(DATE(Year+1,2,21),3)</f>
        <v>39132</v>
      </c>
      <c r="C45" s="53" t="str">
        <f t="shared" si="0"/>
        <v>President's Day 2007</v>
      </c>
      <c r="D45" s="54"/>
    </row>
    <row r="46" spans="2:4" ht="15" hidden="1">
      <c r="B46" s="52">
        <f>DATE(Year+1,5,31)-WEEKDAY(DATE(Year+1,5,31),3)</f>
        <v>39230</v>
      </c>
      <c r="C46" s="53" t="str">
        <f t="shared" si="0"/>
        <v>Memorial Day 2007</v>
      </c>
      <c r="D46" s="54"/>
    </row>
    <row r="47" spans="2:4" ht="15" hidden="1">
      <c r="B47" s="52">
        <f>DATE(Year+1,7,4)+IF(WEEKDAY(DATE(Year+1,7,4),2)&lt;6,0,IF(WEEKDAY(DATE(Year+1,7,4),2)=6,-1,1))</f>
        <v>39267</v>
      </c>
      <c r="C47" s="53" t="str">
        <f t="shared" si="0"/>
        <v>Independence Day 2007</v>
      </c>
      <c r="D47" s="54"/>
    </row>
    <row r="48" spans="2:4" ht="15" hidden="1">
      <c r="B48" s="52">
        <f>DATE(Year+1,9,7)-WEEKDAY(DATE(Year+1,9,7),3)</f>
        <v>39328</v>
      </c>
      <c r="C48" s="53" t="str">
        <f t="shared" si="0"/>
        <v>Labor Day 2007</v>
      </c>
      <c r="D48" s="54"/>
    </row>
    <row r="49" spans="2:4" ht="15" hidden="1">
      <c r="B49" s="52">
        <f>DATE(Year+1,10,14)-WEEKDAY(DATE(Year+1,10,14),3)</f>
        <v>39363</v>
      </c>
      <c r="C49" s="53" t="str">
        <f t="shared" si="0"/>
        <v>Columbus Day 2007</v>
      </c>
      <c r="D49" s="54"/>
    </row>
    <row r="50" spans="2:4" ht="15" hidden="1">
      <c r="B50" s="52">
        <f>DATE(Year+1,11,11)+IF(WEEKDAY(DATE(Year+1,11,11),2)&lt;6,0,IF(WEEKDAY(DATE(Year+1,11,11),2)=6,-1,1))</f>
        <v>39398</v>
      </c>
      <c r="C50" s="53" t="str">
        <f t="shared" si="0"/>
        <v>Veteran's Day 2007</v>
      </c>
      <c r="D50" s="54"/>
    </row>
    <row r="51" spans="2:4" ht="15" hidden="1">
      <c r="B51" s="52">
        <f>DATE(Year+1,11,28)-WEEKDAY(DATE(Year+1,11,25),3)</f>
        <v>39408</v>
      </c>
      <c r="C51" s="53" t="str">
        <f t="shared" si="0"/>
        <v>Thanksgiving 2007</v>
      </c>
      <c r="D51" s="54"/>
    </row>
    <row r="52" spans="2:4" ht="15" hidden="1">
      <c r="B52" s="52">
        <f>DATE(Year+1,12,25)+IF(WEEKDAY(DATE(Year+1,12,25),2)&lt;6,0,IF(WEEKDAY(DATE(Year+1,12,25),2)=6,-1,1))</f>
        <v>39441</v>
      </c>
      <c r="C52" s="53" t="str">
        <f t="shared" si="0"/>
        <v>Christmas 2007</v>
      </c>
      <c r="D52" s="54"/>
    </row>
    <row r="53" spans="2:4" ht="15" hidden="1">
      <c r="B53" s="52">
        <f>DATE(Year+2,1,1)+IF(WEEKDAY(DATE(Year+2,1,1),2)&lt;6,0,IF(WEEKDAY(DATE(Year+2,1,1),2)=6,-1,1))</f>
        <v>39448</v>
      </c>
      <c r="C53" s="53" t="str">
        <f>C33&amp;" "&amp;(Year+2)</f>
        <v>New Years Day 2008</v>
      </c>
      <c r="D53" s="54"/>
    </row>
    <row r="54" spans="2:4" ht="15" hidden="1">
      <c r="B54" s="56">
        <f>DATE(Year+2,1,21)-WEEKDAY(DATE(Year+2,1,21),3)</f>
        <v>39468</v>
      </c>
      <c r="C54" s="57" t="str">
        <f>C34&amp;" "&amp;(Year+2)</f>
        <v>Martin Luther King Day 2008</v>
      </c>
      <c r="D54" s="58"/>
    </row>
  </sheetData>
  <sheetProtection sheet="1" objects="1" scenarios="1" selectLockedCells="1"/>
  <mergeCells count="7">
    <mergeCell ref="B28:G28"/>
    <mergeCell ref="B29:G29"/>
    <mergeCell ref="B3:G3"/>
    <mergeCell ref="B2:G2"/>
    <mergeCell ref="B26:G26"/>
    <mergeCell ref="B27:G27"/>
    <mergeCell ref="B4:G4"/>
  </mergeCells>
  <conditionalFormatting sqref="B33:B54">
    <cfRule type="cellIs" priority="1" dxfId="0" operator="lessThan" stopIfTrue="1">
      <formula>TODAY()</formula>
    </cfRule>
  </conditionalFormatting>
  <conditionalFormatting sqref="C33:C54">
    <cfRule type="expression" priority="2" dxfId="0" stopIfTrue="1">
      <formula>B33&lt;TODAY()</formula>
    </cfRule>
  </conditionalFormatting>
  <conditionalFormatting sqref="D12 J8">
    <cfRule type="cellIs" priority="3" dxfId="1" operator="between" stopIfTrue="1">
      <formula>$I$11</formula>
      <formula>$J$11</formula>
    </cfRule>
  </conditionalFormatting>
  <conditionalFormatting sqref="F10 F13 F16 F19 F7">
    <cfRule type="expression" priority="4" dxfId="2" stopIfTrue="1">
      <formula>F6&lt;&gt;H6</formula>
    </cfRule>
    <cfRule type="expression" priority="5" dxfId="3" stopIfTrue="1">
      <formula>D6-D9&lt;&gt;F6</formula>
    </cfRule>
  </conditionalFormatting>
  <conditionalFormatting sqref="F24">
    <cfRule type="expression" priority="6" dxfId="2" stopIfTrue="1">
      <formula>F23&lt;&gt;H23</formula>
    </cfRule>
    <cfRule type="expression" priority="7" dxfId="3" stopIfTrue="1">
      <formula>D19-D23&lt;&gt;F23</formula>
    </cfRule>
  </conditionalFormatting>
  <conditionalFormatting sqref="B28:G28">
    <cfRule type="expression" priority="8" dxfId="1" stopIfTrue="1">
      <formula>AND($D$12&gt;=$I$11,$D$12&lt;=$J$11)</formula>
    </cfRule>
  </conditionalFormatting>
  <dataValidations count="1">
    <dataValidation type="list" allowBlank="1" showInputMessage="1" showErrorMessage="1" sqref="D22">
      <formula1>"Yes, No"</formula1>
    </dataValidation>
  </dataValidations>
  <printOptions horizontalCentered="1"/>
  <pageMargins left="0.75" right="0.75" top="0.75" bottom="0.75" header="0.5" footer="0.5"/>
  <pageSetup horizontalDpi="300" verticalDpi="30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showGridLines="0" showRowColHeaders="0" workbookViewId="0" topLeftCell="A1">
      <selection activeCell="B4" sqref="B4:G4"/>
    </sheetView>
  </sheetViews>
  <sheetFormatPr defaultColWidth="9.7109375" defaultRowHeight="12.75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 customWidth="1"/>
    <col min="14" max="16384" width="9.7109375" style="3" customWidth="1"/>
  </cols>
  <sheetData>
    <row r="2" spans="2:7" ht="23.25">
      <c r="B2" s="67" t="s">
        <v>22</v>
      </c>
      <c r="C2" s="67"/>
      <c r="D2" s="67"/>
      <c r="E2" s="67"/>
      <c r="F2" s="67"/>
      <c r="G2" s="67"/>
    </row>
    <row r="3" spans="2:8" ht="23.25">
      <c r="B3" s="67" t="s">
        <v>8</v>
      </c>
      <c r="C3" s="67"/>
      <c r="D3" s="67"/>
      <c r="E3" s="67"/>
      <c r="F3" s="67"/>
      <c r="G3" s="67"/>
      <c r="H3" s="4"/>
    </row>
    <row r="4" spans="2:8" ht="23.25">
      <c r="B4" s="69" t="s">
        <v>75</v>
      </c>
      <c r="C4" s="69"/>
      <c r="D4" s="69"/>
      <c r="E4" s="69"/>
      <c r="F4" s="69"/>
      <c r="G4" s="69"/>
      <c r="H4" s="4"/>
    </row>
    <row r="5" spans="2:10" ht="12.75">
      <c r="B5" s="12"/>
      <c r="C5" s="12"/>
      <c r="D5" s="12"/>
      <c r="E5" s="13"/>
      <c r="F5" s="13"/>
      <c r="G5" s="27">
        <f>IF(D6&gt;MAX(Holidays),"Warning! Last date beyond last calculated holiday.","")</f>
      </c>
      <c r="J5" s="28"/>
    </row>
    <row r="6" spans="2:8" ht="13.5" thickBot="1">
      <c r="B6" s="14" t="s">
        <v>4</v>
      </c>
      <c r="C6" s="23"/>
      <c r="D6" s="29">
        <f>WORKDAY(D9+F6,IF(OR(WEEKDAY(D9+F6,2)&gt;5,ISNUMBER(MATCH(D9+F6,Holidays,0))),1,0),Holidays)</f>
        <v>39146</v>
      </c>
      <c r="E6" s="13"/>
      <c r="F6" s="16">
        <f>IF(D22="Yes",4*7,3*7)</f>
        <v>28</v>
      </c>
      <c r="G6" s="13" t="str">
        <f>"Calendar days between award and NTP"&amp;IF(D22="Yes"," (Montana)","")</f>
        <v>Calendar days between award and NTP (Montana)</v>
      </c>
      <c r="H6" s="30">
        <f>IF(D22="Yes",4*7,3*7)</f>
        <v>28</v>
      </c>
    </row>
    <row r="7" spans="2:7" ht="12.75">
      <c r="B7" s="8"/>
      <c r="C7" s="24"/>
      <c r="D7" s="2"/>
      <c r="E7" s="10"/>
      <c r="F7" s="17">
        <f>IF(F6&lt;&gt;H6,"Standard "&amp;H6&amp;" days"&amp;IF($D$22="Yes"," for Montana","")&amp;" has been changed.  ","")&amp;IF(D6-D9&lt;&gt;F6,"("&amp;D6-D9&amp;" days used)","")</f>
      </c>
      <c r="G7" s="10"/>
    </row>
    <row r="8" spans="2:10" ht="12.75">
      <c r="B8" s="12"/>
      <c r="C8" s="12"/>
      <c r="D8" s="25"/>
      <c r="E8" s="13"/>
      <c r="F8" s="16">
        <v>18</v>
      </c>
      <c r="G8" s="13" t="s">
        <v>66</v>
      </c>
      <c r="J8" s="31"/>
    </row>
    <row r="9" spans="2:8" ht="12.75">
      <c r="B9" s="14" t="s">
        <v>0</v>
      </c>
      <c r="C9" s="12"/>
      <c r="D9" s="32">
        <f>WORKDAY(D12+F8,IF(OR(WEEKDAY(D12+F8,2)&gt;5,ISNUMBER(MATCH(D12+F8,Holidays,0))),1,0),Holidays)</f>
        <v>39118</v>
      </c>
      <c r="E9" s="15"/>
      <c r="F9" s="13"/>
      <c r="G9" s="13" t="s">
        <v>28</v>
      </c>
      <c r="H9" s="30">
        <v>18</v>
      </c>
    </row>
    <row r="10" spans="2:10" ht="12.75">
      <c r="B10" s="8"/>
      <c r="C10" s="8"/>
      <c r="D10" s="26"/>
      <c r="E10" s="10"/>
      <c r="F10" s="17" t="str">
        <f>IF(F8&lt;&gt;H9,"Standard "&amp;H9&amp;" days has been changed.  ","")&amp;IF(D9-D12&lt;&gt;F8,"("&amp;D9-D12&amp;" days used)","")</f>
        <v>(19 days used)</v>
      </c>
      <c r="G10" s="10"/>
      <c r="J10" s="33"/>
    </row>
    <row r="11" spans="2:11" ht="12.75">
      <c r="B11" s="12"/>
      <c r="C11" s="12"/>
      <c r="D11" s="25"/>
      <c r="E11" s="13"/>
      <c r="F11" s="16">
        <v>30</v>
      </c>
      <c r="G11" s="13" t="s">
        <v>21</v>
      </c>
      <c r="I11" s="34">
        <f>INDEX(Holidays,MATCH(DATE(YEAR(D12),12,1),Holidays))</f>
        <v>39408</v>
      </c>
      <c r="J11" s="35">
        <f>WORKDAY(DATE(YEAR(D12),12,31),VLOOKUP(WEEKDAY(DATE(YEAR(D12),12,25)),Christmas,3,0),Holidays)-1</f>
        <v>39448</v>
      </c>
      <c r="K11" s="36" t="s">
        <v>62</v>
      </c>
    </row>
    <row r="12" spans="2:10" ht="12.75">
      <c r="B12" s="14" t="s">
        <v>6</v>
      </c>
      <c r="C12" s="12"/>
      <c r="D12" s="37">
        <f>WORKDAY(J12,IF(J12-INDEX(Holidays,MATCH(J12,Holidays))&lt;2,1,0),Holidays)</f>
        <v>39099</v>
      </c>
      <c r="E12" s="15"/>
      <c r="F12" s="13"/>
      <c r="G12" s="13" t="s">
        <v>23</v>
      </c>
      <c r="H12" s="30">
        <v>30</v>
      </c>
      <c r="I12" s="38">
        <f>D15+F11+IF(WORKDAY(DATE(YEAR(D15),12,24),-1,Holidays)-D15&lt;F11,VLOOKUP(WEEKDAY(DATE(YEAR(D15),12,25)),Christmas,2,0),0)</f>
        <v>39095</v>
      </c>
      <c r="J12" s="39">
        <f>WORKDAY(I12,IF(AND(WEEKDAY(I12,2)=4,ISNUMBER(MATCH(I12,Holidays,0))),3,IF(OR(AND(WEEKDAY(I12,2)=5,ISNUMBER(MATCH(I12,Holidays,0))),WEEKDAY(I12,2)&gt;5),2,IF(OR(WEEKDAY(I12,2)=1,ISNUMBER(MATCH(I12,Holidays,0))),1,0))),Holidays)</f>
        <v>39099</v>
      </c>
    </row>
    <row r="13" spans="2:10" ht="12.75">
      <c r="B13" s="8"/>
      <c r="C13" s="8"/>
      <c r="D13" s="26"/>
      <c r="E13" s="11"/>
      <c r="F13" s="17" t="str">
        <f>IF(F11&lt;&gt;H12,"Standard "&amp;H12&amp;" days has been changed.  ","")&amp;IF(D12-D15&lt;&gt;F11,"("&amp;D12-D15&amp;" days used)","")</f>
        <v>(44 days used)</v>
      </c>
      <c r="G13" s="10"/>
      <c r="I13" s="40" t="s">
        <v>59</v>
      </c>
      <c r="J13" s="41" t="s">
        <v>60</v>
      </c>
    </row>
    <row r="14" spans="2:7" ht="12.75">
      <c r="B14" s="12"/>
      <c r="C14" s="12"/>
      <c r="D14" s="25"/>
      <c r="E14" s="13"/>
      <c r="F14" s="13"/>
      <c r="G14" s="21"/>
    </row>
    <row r="15" spans="2:10" ht="12.75">
      <c r="B15" s="14" t="s">
        <v>2</v>
      </c>
      <c r="C15" s="12"/>
      <c r="D15" s="32">
        <f>WORKDAY(D18+F15,IF(OR(WEEKDAY(D18+F15,2)&gt;5,ISNUMBER(MATCH(D18+F15,Holidays,0))),1,0),Holidays)</f>
        <v>39055</v>
      </c>
      <c r="E15" s="15"/>
      <c r="F15" s="16">
        <v>10</v>
      </c>
      <c r="G15" s="13" t="s">
        <v>15</v>
      </c>
      <c r="H15" s="30">
        <v>10</v>
      </c>
      <c r="J15" s="42"/>
    </row>
    <row r="16" spans="2:7" ht="12.75">
      <c r="B16" s="8"/>
      <c r="C16" s="8"/>
      <c r="D16" s="26"/>
      <c r="E16" s="11"/>
      <c r="F16" s="17" t="str">
        <f>IF(F15&lt;&gt;H15,"Standard "&amp;H15&amp;" days has been changed.  ","")&amp;IF(D15-D18&lt;&gt;F15,"("&amp;D15-D18&amp;" days used)","")</f>
        <v>(12 days used)</v>
      </c>
      <c r="G16" s="10"/>
    </row>
    <row r="17" spans="2:7" ht="12.75">
      <c r="B17" s="12"/>
      <c r="C17" s="12"/>
      <c r="D17" s="25"/>
      <c r="E17" s="15"/>
      <c r="F17" s="15"/>
      <c r="G17" s="21"/>
    </row>
    <row r="18" spans="2:8" ht="12.75">
      <c r="B18" s="14" t="s">
        <v>5</v>
      </c>
      <c r="C18" s="12"/>
      <c r="D18" s="32">
        <f>WORKDAY(Arrives+F18,IF(OR(WEEKDAY(Arrives+F18,2)&gt;5,ISNUMBER(MATCH(Arrives+F18,Holidays,0))),1,0),Holidays)</f>
        <v>39043</v>
      </c>
      <c r="E18" s="15"/>
      <c r="F18" s="16">
        <f>2*7</f>
        <v>14</v>
      </c>
      <c r="G18" s="13" t="s">
        <v>16</v>
      </c>
      <c r="H18" s="30">
        <f>2*7</f>
        <v>14</v>
      </c>
    </row>
    <row r="19" spans="2:7" ht="12.75">
      <c r="B19" s="8"/>
      <c r="C19" s="8"/>
      <c r="D19" s="26"/>
      <c r="E19" s="11"/>
      <c r="F19" s="17">
        <f>IF(F18&lt;&gt;H18,"Standard "&amp;H18&amp;" days has been changed.  ","")&amp;IF(D18-D21&lt;&gt;F18,"("&amp;D18-D21&amp;" days used)","")</f>
      </c>
      <c r="G19" s="10"/>
    </row>
    <row r="20" spans="2:7" ht="12.75">
      <c r="B20" s="12"/>
      <c r="C20" s="12"/>
      <c r="D20" s="25"/>
      <c r="E20" s="15"/>
      <c r="F20" s="15"/>
      <c r="G20" s="21"/>
    </row>
    <row r="21" spans="2:7" ht="16.5" thickBot="1">
      <c r="B21" s="14" t="s">
        <v>3</v>
      </c>
      <c r="C21" s="7">
        <f>Arrives</f>
        <v>39029</v>
      </c>
      <c r="D21" s="6">
        <v>39029</v>
      </c>
      <c r="E21" s="22" t="s">
        <v>58</v>
      </c>
      <c r="F21" s="5"/>
      <c r="G21" s="5"/>
    </row>
    <row r="22" spans="2:7" ht="16.5" thickBot="1">
      <c r="B22" s="14" t="s">
        <v>72</v>
      </c>
      <c r="C22" s="7"/>
      <c r="D22" s="6" t="s">
        <v>74</v>
      </c>
      <c r="E22" s="22" t="s">
        <v>71</v>
      </c>
      <c r="F22" s="5"/>
      <c r="G22" s="5"/>
    </row>
    <row r="23" spans="2:7" ht="12.75">
      <c r="B23" s="8"/>
      <c r="C23" s="9"/>
      <c r="D23" s="10"/>
      <c r="E23" s="11"/>
      <c r="F23" s="11"/>
      <c r="G23" s="10"/>
    </row>
    <row r="24" spans="2:7" ht="12.75">
      <c r="B24" s="13"/>
      <c r="C24" s="13"/>
      <c r="D24" s="13"/>
      <c r="E24" s="15"/>
      <c r="F24" s="15"/>
      <c r="G24" s="13"/>
    </row>
    <row r="25" spans="2:7" ht="12.75">
      <c r="B25" s="14" t="s">
        <v>26</v>
      </c>
      <c r="C25" s="13"/>
      <c r="D25" s="13"/>
      <c r="E25" s="15"/>
      <c r="F25" s="15"/>
      <c r="G25" s="13"/>
    </row>
    <row r="26" spans="2:7" ht="12.75">
      <c r="B26" s="14"/>
      <c r="C26" s="13"/>
      <c r="D26" s="13"/>
      <c r="E26" s="15"/>
      <c r="F26" s="15"/>
      <c r="G26" s="13"/>
    </row>
    <row r="27" spans="2:7" ht="15.75">
      <c r="B27" s="18" t="s">
        <v>17</v>
      </c>
      <c r="C27" s="13"/>
      <c r="D27" s="13"/>
      <c r="E27" s="13"/>
      <c r="F27" s="13"/>
      <c r="G27" s="13"/>
    </row>
    <row r="28" spans="2:7" ht="12.75" customHeight="1">
      <c r="B28" s="68" t="s">
        <v>18</v>
      </c>
      <c r="C28" s="68"/>
      <c r="D28" s="68"/>
      <c r="E28" s="68"/>
      <c r="F28" s="68"/>
      <c r="G28" s="68"/>
    </row>
    <row r="29" spans="2:7" ht="12.75">
      <c r="B29" s="64" t="s">
        <v>64</v>
      </c>
      <c r="C29" s="68"/>
      <c r="D29" s="68"/>
      <c r="E29" s="68"/>
      <c r="F29" s="68"/>
      <c r="G29" s="68"/>
    </row>
    <row r="30" spans="2:9" ht="12.75" customHeight="1">
      <c r="B30" s="64" t="s">
        <v>65</v>
      </c>
      <c r="C30" s="64"/>
      <c r="D30" s="64"/>
      <c r="E30" s="64"/>
      <c r="F30" s="64"/>
      <c r="G30" s="64"/>
      <c r="I30" s="43"/>
    </row>
    <row r="31" spans="2:9" ht="25.5" customHeight="1">
      <c r="B31" s="65" t="str">
        <f>"If the advertisement period includes the Christmas/New Year Holiday period, 7 to 14 days will need to be added to the advertisement period"&amp;IF(YEAR(D12)&lt;&gt;YEAR(D15)," ("&amp;D12-D15-F11&amp;" days were added for holiday period)","")&amp;"."</f>
        <v>If the advertisement period includes the Christmas/New Year Holiday period, 7 to 14 days will need to be added to the advertisement period (14 days were added for holiday period).</v>
      </c>
      <c r="C31" s="66"/>
      <c r="D31" s="66"/>
      <c r="E31" s="66"/>
      <c r="F31" s="66"/>
      <c r="G31" s="66"/>
      <c r="I31" s="43"/>
    </row>
    <row r="32" spans="2:7" ht="12.75">
      <c r="B32" s="19" t="s">
        <v>19</v>
      </c>
      <c r="C32" s="20"/>
      <c r="D32" s="20"/>
      <c r="E32" s="20"/>
      <c r="F32" s="20"/>
      <c r="G32" s="20"/>
    </row>
    <row r="34" spans="2:4" ht="16.5" hidden="1">
      <c r="B34" s="44">
        <f>YEAR(Arrives)</f>
        <v>2006</v>
      </c>
      <c r="C34" s="45"/>
      <c r="D34" s="46"/>
    </row>
    <row r="35" spans="2:11" ht="15" hidden="1">
      <c r="B35" s="47">
        <f>DATE(Year,1,1)+IF(WEEKDAY(DATE(Year,1,1),2)&lt;6,0,IF(WEEKDAY(DATE(Year,1,1),2)=6,-1,1))</f>
        <v>38719</v>
      </c>
      <c r="C35" s="48" t="s">
        <v>29</v>
      </c>
      <c r="D35" s="49"/>
      <c r="G35"/>
      <c r="H35"/>
      <c r="I35"/>
      <c r="J35"/>
      <c r="K35"/>
    </row>
    <row r="36" spans="2:11" ht="15" hidden="1">
      <c r="B36" s="52">
        <f>DATE(Year,1,21)-WEEKDAY(DATE(Year,1,21),3)</f>
        <v>38733</v>
      </c>
      <c r="C36" s="53" t="s">
        <v>30</v>
      </c>
      <c r="D36" s="54"/>
      <c r="G36"/>
      <c r="H36"/>
      <c r="I36"/>
      <c r="J36"/>
      <c r="K36"/>
    </row>
    <row r="37" spans="2:11" ht="15" hidden="1">
      <c r="B37" s="52">
        <f>DATE(Year,2,21)-WEEKDAY(DATE(Year,2,21),3)</f>
        <v>38768</v>
      </c>
      <c r="C37" s="53" t="s">
        <v>31</v>
      </c>
      <c r="D37" s="54"/>
      <c r="G37"/>
      <c r="H37"/>
      <c r="I37"/>
      <c r="J37"/>
      <c r="K37"/>
    </row>
    <row r="38" spans="2:11" ht="15" hidden="1">
      <c r="B38" s="52">
        <f>DATE(Year,5,31)-WEEKDAY(DATE(Year,5,31),3)</f>
        <v>38866</v>
      </c>
      <c r="C38" s="53" t="s">
        <v>32</v>
      </c>
      <c r="D38" s="54"/>
      <c r="G38"/>
      <c r="H38"/>
      <c r="I38"/>
      <c r="J38"/>
      <c r="K38"/>
    </row>
    <row r="39" spans="2:11" ht="15" hidden="1">
      <c r="B39" s="52">
        <f>DATE(Year,7,4)+IF(WEEKDAY(DATE(Year,7,4),2)&lt;6,0,IF(WEEKDAY(DATE(Year,7,4),2)=6,-1,1))</f>
        <v>38902</v>
      </c>
      <c r="C39" s="53" t="s">
        <v>33</v>
      </c>
      <c r="D39" s="54"/>
      <c r="G39"/>
      <c r="H39"/>
      <c r="I39"/>
      <c r="J39"/>
      <c r="K39"/>
    </row>
    <row r="40" spans="2:11" ht="15" hidden="1">
      <c r="B40" s="52">
        <f>DATE(Year,9,7)-WEEKDAY(DATE(Year,9,7),3)</f>
        <v>38964</v>
      </c>
      <c r="C40" s="53" t="s">
        <v>34</v>
      </c>
      <c r="D40" s="54"/>
      <c r="G40"/>
      <c r="H40"/>
      <c r="I40"/>
      <c r="J40"/>
      <c r="K40"/>
    </row>
    <row r="41" spans="2:11" ht="15" hidden="1">
      <c r="B41" s="52">
        <f>DATE(Year,10,14)-WEEKDAY(DATE(Year,10,14),3)</f>
        <v>38999</v>
      </c>
      <c r="C41" s="53" t="s">
        <v>35</v>
      </c>
      <c r="D41" s="54"/>
      <c r="G41"/>
      <c r="H41"/>
      <c r="I41"/>
      <c r="J41"/>
      <c r="K41"/>
    </row>
    <row r="42" spans="2:11" ht="15" hidden="1">
      <c r="B42" s="52">
        <f>DATE(Year,11,11)+IF(WEEKDAY(DATE(Year,11,11),2)&lt;6,0,IF(WEEKDAY(DATE(Year,11,11),2)=6,-1,1))</f>
        <v>39031</v>
      </c>
      <c r="C42" s="53" t="s">
        <v>36</v>
      </c>
      <c r="D42" s="54"/>
      <c r="G42"/>
      <c r="H42"/>
      <c r="I42"/>
      <c r="J42"/>
      <c r="K42"/>
    </row>
    <row r="43" spans="2:11" ht="15" hidden="1">
      <c r="B43" s="52">
        <f>DATE(Year,11,28)-WEEKDAY(DATE(Year,11,25),3)</f>
        <v>39044</v>
      </c>
      <c r="C43" s="53" t="s">
        <v>37</v>
      </c>
      <c r="D43" s="54"/>
      <c r="G43"/>
      <c r="H43"/>
      <c r="I43"/>
      <c r="J43"/>
      <c r="K43"/>
    </row>
    <row r="44" spans="2:4" ht="15" hidden="1">
      <c r="B44" s="52">
        <f>DATE(Year,12,25)+IF(WEEKDAY(DATE(Year,12,25),2)&lt;6,0,IF(WEEKDAY(DATE(Year,12,25),2)=6,-1,1))</f>
        <v>39076</v>
      </c>
      <c r="C44" s="53" t="s">
        <v>38</v>
      </c>
      <c r="D44" s="54"/>
    </row>
    <row r="45" spans="2:4" ht="15" hidden="1">
      <c r="B45" s="52">
        <f>DATE(Year+1,1,1)+IF(WEEKDAY(DATE(Year+1,1,1),2)&lt;6,0,IF(WEEKDAY(DATE(Year+1,1,1),2)=6,-1,1))</f>
        <v>39083</v>
      </c>
      <c r="C45" s="53" t="str">
        <f aca="true" t="shared" si="0" ref="C45:C54">C35&amp;" "&amp;(Year+1)</f>
        <v>New Years Day 2007</v>
      </c>
      <c r="D45" s="54"/>
    </row>
    <row r="46" spans="2:4" ht="15" hidden="1">
      <c r="B46" s="52">
        <f>DATE(Year+1,1,21)-WEEKDAY(DATE(Year+1,1,21),3)</f>
        <v>39097</v>
      </c>
      <c r="C46" s="53" t="str">
        <f t="shared" si="0"/>
        <v>Martin Luther King Day 2007</v>
      </c>
      <c r="D46" s="54"/>
    </row>
    <row r="47" spans="2:4" ht="15" hidden="1">
      <c r="B47" s="52">
        <f>DATE(Year+1,2,21)-WEEKDAY(DATE(Year+1,2,21),3)</f>
        <v>39132</v>
      </c>
      <c r="C47" s="53" t="str">
        <f t="shared" si="0"/>
        <v>President's Day 2007</v>
      </c>
      <c r="D47" s="54"/>
    </row>
    <row r="48" spans="2:4" ht="15" hidden="1">
      <c r="B48" s="52">
        <f>DATE(Year+1,5,31)-WEEKDAY(DATE(Year+1,5,31),3)</f>
        <v>39230</v>
      </c>
      <c r="C48" s="53" t="str">
        <f t="shared" si="0"/>
        <v>Memorial Day 2007</v>
      </c>
      <c r="D48" s="54"/>
    </row>
    <row r="49" spans="2:4" ht="15" hidden="1">
      <c r="B49" s="52">
        <f>DATE(Year+1,7,4)+IF(WEEKDAY(DATE(Year+1,7,4),2)&lt;6,0,IF(WEEKDAY(DATE(Year+1,7,4),2)=6,-1,1))</f>
        <v>39267</v>
      </c>
      <c r="C49" s="53" t="str">
        <f t="shared" si="0"/>
        <v>Independence Day 2007</v>
      </c>
      <c r="D49" s="54"/>
    </row>
    <row r="50" spans="2:4" ht="15" hidden="1">
      <c r="B50" s="52">
        <f>DATE(Year+1,9,7)-WEEKDAY(DATE(Year+1,9,7),3)</f>
        <v>39328</v>
      </c>
      <c r="C50" s="53" t="str">
        <f t="shared" si="0"/>
        <v>Labor Day 2007</v>
      </c>
      <c r="D50" s="54"/>
    </row>
    <row r="51" spans="2:4" ht="15" hidden="1">
      <c r="B51" s="52">
        <f>DATE(Year+1,10,14)-WEEKDAY(DATE(Year+1,10,14),3)</f>
        <v>39363</v>
      </c>
      <c r="C51" s="53" t="str">
        <f t="shared" si="0"/>
        <v>Columbus Day 2007</v>
      </c>
      <c r="D51" s="54"/>
    </row>
    <row r="52" spans="2:4" ht="15" hidden="1">
      <c r="B52" s="52">
        <f>DATE(Year+1,11,11)+IF(WEEKDAY(DATE(Year+1,11,11),2)&lt;6,0,IF(WEEKDAY(DATE(Year+1,11,11),2)=6,-1,1))</f>
        <v>39398</v>
      </c>
      <c r="C52" s="53" t="str">
        <f t="shared" si="0"/>
        <v>Veteran's Day 2007</v>
      </c>
      <c r="D52" s="54"/>
    </row>
    <row r="53" spans="2:4" ht="15" hidden="1">
      <c r="B53" s="52">
        <f>DATE(Year+1,11,28)-WEEKDAY(DATE(Year+1,11,25),3)</f>
        <v>39408</v>
      </c>
      <c r="C53" s="53" t="str">
        <f t="shared" si="0"/>
        <v>Thanksgiving 2007</v>
      </c>
      <c r="D53" s="54"/>
    </row>
    <row r="54" spans="2:4" ht="15" hidden="1">
      <c r="B54" s="52">
        <f>DATE(Year+1,12,25)+IF(WEEKDAY(DATE(Year+1,12,25),2)&lt;6,0,IF(WEEKDAY(DATE(Year+1,12,25),2)=6,-1,1))</f>
        <v>39441</v>
      </c>
      <c r="C54" s="53" t="str">
        <f t="shared" si="0"/>
        <v>Christmas 2007</v>
      </c>
      <c r="D54" s="54"/>
    </row>
    <row r="55" spans="2:4" ht="15" hidden="1">
      <c r="B55" s="52">
        <f>DATE(Year+2,1,1)+IF(WEEKDAY(DATE(Year+2,1,1),2)&lt;6,0,IF(WEEKDAY(DATE(Year+2,1,1),2)=6,-1,1))</f>
        <v>39448</v>
      </c>
      <c r="C55" s="53" t="str">
        <f>C35&amp;" "&amp;(Year+2)</f>
        <v>New Years Day 2008</v>
      </c>
      <c r="D55" s="54"/>
    </row>
    <row r="56" spans="2:4" ht="15" hidden="1">
      <c r="B56" s="56">
        <f>DATE(Year+2,1,21)-WEEKDAY(DATE(Year+2,1,21),3)</f>
        <v>39468</v>
      </c>
      <c r="C56" s="57" t="str">
        <f>C36&amp;" "&amp;(Year+2)</f>
        <v>Martin Luther King Day 2008</v>
      </c>
      <c r="D56" s="58"/>
    </row>
  </sheetData>
  <sheetProtection sheet="1" objects="1" scenarios="1" selectLockedCells="1"/>
  <mergeCells count="7">
    <mergeCell ref="B30:G30"/>
    <mergeCell ref="B31:G31"/>
    <mergeCell ref="B3:G3"/>
    <mergeCell ref="B2:G2"/>
    <mergeCell ref="B28:G28"/>
    <mergeCell ref="B29:G29"/>
    <mergeCell ref="B4:G4"/>
  </mergeCells>
  <conditionalFormatting sqref="B35:B56">
    <cfRule type="cellIs" priority="1" dxfId="0" operator="lessThan" stopIfTrue="1">
      <formula>TODAY()</formula>
    </cfRule>
  </conditionalFormatting>
  <conditionalFormatting sqref="C35:C56">
    <cfRule type="expression" priority="2" dxfId="0" stopIfTrue="1">
      <formula>B35&lt;TODAY()</formula>
    </cfRule>
  </conditionalFormatting>
  <conditionalFormatting sqref="D12 J8">
    <cfRule type="cellIs" priority="3" dxfId="1" operator="between" stopIfTrue="1">
      <formula>$I$11</formula>
      <formula>$J$11</formula>
    </cfRule>
  </conditionalFormatting>
  <conditionalFormatting sqref="F19 F16 F7">
    <cfRule type="expression" priority="4" dxfId="2" stopIfTrue="1">
      <formula>F6&lt;&gt;H6</formula>
    </cfRule>
    <cfRule type="expression" priority="5" dxfId="3" stopIfTrue="1">
      <formula>D6-D9&lt;&gt;F6</formula>
    </cfRule>
  </conditionalFormatting>
  <conditionalFormatting sqref="B30:G30">
    <cfRule type="expression" priority="6" dxfId="1" stopIfTrue="1">
      <formula>AND($D$12&gt;=$I$11,$D$12&lt;=$J$11)</formula>
    </cfRule>
  </conditionalFormatting>
  <conditionalFormatting sqref="F13 F10">
    <cfRule type="expression" priority="7" dxfId="2" stopIfTrue="1">
      <formula>F8&lt;&gt;H9</formula>
    </cfRule>
    <cfRule type="expression" priority="8" dxfId="3" stopIfTrue="1">
      <formula>D9-D12&lt;&gt;F8</formula>
    </cfRule>
  </conditionalFormatting>
  <dataValidations count="1">
    <dataValidation type="list" allowBlank="1" showInputMessage="1" showErrorMessage="1" sqref="D22">
      <formula1>"Yes, No"</formula1>
    </dataValidation>
  </dataValidations>
  <printOptions horizontalCentered="1"/>
  <pageMargins left="0.75" right="0.75" top="0.75" bottom="0.75" header="0.5" footer="0.5"/>
  <pageSetup horizontalDpi="300" verticalDpi="300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59"/>
  <sheetViews>
    <sheetView showGridLines="0" showRowColHeaders="0" workbookViewId="0" topLeftCell="A1">
      <selection activeCell="B4" sqref="B4:G4"/>
    </sheetView>
  </sheetViews>
  <sheetFormatPr defaultColWidth="9.7109375" defaultRowHeight="12.75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 customWidth="1"/>
    <col min="14" max="16384" width="9.7109375" style="3" customWidth="1"/>
  </cols>
  <sheetData>
    <row r="2" spans="2:7" ht="23.25">
      <c r="B2" s="67" t="s">
        <v>24</v>
      </c>
      <c r="C2" s="67"/>
      <c r="D2" s="67"/>
      <c r="E2" s="67"/>
      <c r="F2" s="67"/>
      <c r="G2" s="67"/>
    </row>
    <row r="3" spans="2:8" ht="23.25">
      <c r="B3" s="67" t="s">
        <v>8</v>
      </c>
      <c r="C3" s="67"/>
      <c r="D3" s="67"/>
      <c r="E3" s="67"/>
      <c r="F3" s="67"/>
      <c r="G3" s="67"/>
      <c r="H3" s="4"/>
    </row>
    <row r="4" spans="2:8" ht="23.25">
      <c r="B4" s="69" t="s">
        <v>75</v>
      </c>
      <c r="C4" s="69"/>
      <c r="D4" s="69"/>
      <c r="E4" s="69"/>
      <c r="F4" s="69"/>
      <c r="G4" s="69"/>
      <c r="H4" s="4"/>
    </row>
    <row r="5" spans="2:10" ht="12.75">
      <c r="B5" s="12"/>
      <c r="C5" s="13"/>
      <c r="D5" s="13"/>
      <c r="E5" s="13"/>
      <c r="F5" s="13"/>
      <c r="G5" s="27">
        <f>IF(D6&gt;MAX(Holidays),"Warning! Last date beyond last calculated holiday.","")</f>
      </c>
      <c r="J5" s="28"/>
    </row>
    <row r="6" spans="2:8" ht="13.5" thickBot="1">
      <c r="B6" s="14" t="s">
        <v>4</v>
      </c>
      <c r="C6" s="23"/>
      <c r="D6" s="29">
        <f>WORKDAY(D9+F6,IF(OR(WEEKDAY(D9+F6,2)&gt;5,ISNUMBER(MATCH(D9+F6,Holidays,0))),1,0),Holidays)</f>
        <v>39167</v>
      </c>
      <c r="E6" s="13"/>
      <c r="F6" s="16">
        <f>IF(D25="Yes",4,3)*7</f>
        <v>28</v>
      </c>
      <c r="G6" s="13" t="str">
        <f>"Calendar days between award and NTP"&amp;IF(D25="Yes"," (Montana)","")</f>
        <v>Calendar days between award and NTP (Montana)</v>
      </c>
      <c r="H6" s="30">
        <f>IF(D25="Yes",4,3)*7</f>
        <v>28</v>
      </c>
    </row>
    <row r="7" spans="2:7" ht="12.75">
      <c r="B7" s="8"/>
      <c r="C7" s="24"/>
      <c r="D7" s="2"/>
      <c r="E7" s="10"/>
      <c r="F7" s="17">
        <f>IF(F6&lt;&gt;H6,"Standard "&amp;H6&amp;" days"&amp;IF($D$25="Yes"," for Montana","")&amp;" has been changed.  ","")&amp;IF(D6-D9&lt;&gt;F6,"("&amp;D6-D9&amp;" days used)","")</f>
      </c>
      <c r="G7" s="10"/>
    </row>
    <row r="8" spans="2:10" ht="12.75">
      <c r="B8" s="12"/>
      <c r="C8" s="12"/>
      <c r="D8" s="25"/>
      <c r="E8" s="13"/>
      <c r="F8" s="16">
        <v>18</v>
      </c>
      <c r="G8" s="13" t="s">
        <v>25</v>
      </c>
      <c r="J8" s="31"/>
    </row>
    <row r="9" spans="2:8" ht="12.75">
      <c r="B9" s="14" t="s">
        <v>0</v>
      </c>
      <c r="C9" s="12"/>
      <c r="D9" s="32">
        <f>WORKDAY(D12+F8,IF(OR(WEEKDAY(D12+F8,2)&gt;5,ISNUMBER(MATCH(D12+F8,Holidays,0))),1,0),Holidays)</f>
        <v>39139</v>
      </c>
      <c r="E9" s="15"/>
      <c r="F9" s="21"/>
      <c r="G9" s="13" t="s">
        <v>28</v>
      </c>
      <c r="H9" s="30">
        <v>18</v>
      </c>
    </row>
    <row r="10" spans="2:10" ht="12.75">
      <c r="B10" s="8"/>
      <c r="C10" s="8"/>
      <c r="D10" s="26"/>
      <c r="E10" s="10"/>
      <c r="F10" s="17" t="str">
        <f>IF(F8&lt;&gt;H9,"Standard "&amp;H9&amp;" days has been changed.  ","")&amp;IF(D9-D12&lt;&gt;F8,"("&amp;D9-D12&amp;" days used)","")</f>
        <v>(19 days used)</v>
      </c>
      <c r="G10" s="10"/>
      <c r="J10" s="33"/>
    </row>
    <row r="11" spans="2:10" ht="12.75">
      <c r="B11" s="12"/>
      <c r="C11" s="12"/>
      <c r="D11" s="25"/>
      <c r="E11" s="13"/>
      <c r="F11" s="60"/>
      <c r="G11" s="13"/>
      <c r="J11" s="33"/>
    </row>
    <row r="12" spans="2:10" ht="12.75">
      <c r="B12" s="14" t="s">
        <v>10</v>
      </c>
      <c r="C12" s="12"/>
      <c r="D12" s="32">
        <f>WORKDAY(D15+F12,IF(OR(WEEKDAY(D15+F12,2)&gt;5,ISNUMBER(MATCH(D15+F12,Holidays,0))),1,0),Holidays)</f>
        <v>39120</v>
      </c>
      <c r="E12" s="13"/>
      <c r="F12" s="16">
        <v>21</v>
      </c>
      <c r="G12" s="13" t="s">
        <v>67</v>
      </c>
      <c r="H12" s="30">
        <f>3*7</f>
        <v>21</v>
      </c>
      <c r="J12" s="33"/>
    </row>
    <row r="13" spans="2:10" ht="12.75">
      <c r="B13" s="8"/>
      <c r="C13" s="8"/>
      <c r="D13" s="26"/>
      <c r="E13" s="11"/>
      <c r="F13" s="17">
        <f>IF(F12&lt;&gt;H12,"Standard "&amp;H12&amp;" days has been changed.  ","")&amp;IF(D12-D15&lt;&gt;F12,"("&amp;D12-D15&amp;" days used)","")</f>
      </c>
      <c r="G13" s="10"/>
      <c r="J13" s="33"/>
    </row>
    <row r="14" spans="2:11" ht="12.75">
      <c r="B14" s="12"/>
      <c r="C14" s="12"/>
      <c r="D14" s="25"/>
      <c r="E14" s="13"/>
      <c r="F14" s="60"/>
      <c r="G14" s="13"/>
      <c r="I14" s="34">
        <f>INDEX(Holidays,MATCH(DATE(YEAR(D15),12,1),Holidays))</f>
        <v>39408</v>
      </c>
      <c r="J14" s="35">
        <f>WORKDAY(DATE(YEAR(D15),12,31),VLOOKUP(WEEKDAY(DATE(YEAR(D15),12,25)),Christmas,3,0),Holidays)-1</f>
        <v>39448</v>
      </c>
      <c r="K14" s="36" t="s">
        <v>62</v>
      </c>
    </row>
    <row r="15" spans="2:10" ht="12.75">
      <c r="B15" s="14" t="s">
        <v>6</v>
      </c>
      <c r="C15" s="12"/>
      <c r="D15" s="37">
        <f>WORKDAY(J15,IF(J15-INDEX(Holidays,MATCH(J15,Holidays))&lt;2,1,0),Holidays)</f>
        <v>39099</v>
      </c>
      <c r="E15" s="15"/>
      <c r="F15" s="16">
        <v>30</v>
      </c>
      <c r="G15" s="13" t="s">
        <v>21</v>
      </c>
      <c r="H15" s="30">
        <v>30</v>
      </c>
      <c r="I15" s="38">
        <f>D18+F15+IF(WORKDAY(DATE(YEAR(D18),12,24),-1,Holidays)-D18&lt;F15,VLOOKUP(WEEKDAY(DATE(YEAR(D18),12,25)),Christmas,2,0),0)</f>
        <v>39095</v>
      </c>
      <c r="J15" s="39">
        <f>WORKDAY(I15,IF(AND(WEEKDAY(I15,2)=4,ISNUMBER(MATCH(I15,Holidays,0))),3,IF(OR(AND(WEEKDAY(I15,2)=5,ISNUMBER(MATCH(I15,Holidays,0))),WEEKDAY(I15,2)&gt;5),2,IF(OR(WEEKDAY(I15,2)=1,ISNUMBER(MATCH(I15,Holidays,0))),1,0))),Holidays)</f>
        <v>39099</v>
      </c>
    </row>
    <row r="16" spans="2:10" ht="12.75">
      <c r="B16" s="8"/>
      <c r="C16" s="8"/>
      <c r="D16" s="26"/>
      <c r="E16" s="11"/>
      <c r="F16" s="17" t="str">
        <f>IF(F15&lt;&gt;H15,"Standard "&amp;H15&amp;" days has been changed.  ","")&amp;IF(D15-D18&lt;&gt;F15,"("&amp;D15-D18&amp;" days used)","")</f>
        <v>(44 days used)</v>
      </c>
      <c r="G16" s="10"/>
      <c r="I16" s="40" t="s">
        <v>59</v>
      </c>
      <c r="J16" s="41" t="s">
        <v>60</v>
      </c>
    </row>
    <row r="17" spans="2:7" ht="12.75">
      <c r="B17" s="12"/>
      <c r="C17" s="12"/>
      <c r="D17" s="25"/>
      <c r="E17" s="13"/>
      <c r="F17" s="13"/>
      <c r="G17" s="21"/>
    </row>
    <row r="18" spans="2:10" ht="12.75">
      <c r="B18" s="14" t="s">
        <v>2</v>
      </c>
      <c r="C18" s="12"/>
      <c r="D18" s="32">
        <f>WORKDAY(D21+F18,IF(OR(WEEKDAY(D21+F18,2)&gt;5,ISNUMBER(MATCH(D21+F18,Holidays,0))),1,0),Holidays)</f>
        <v>39055</v>
      </c>
      <c r="E18" s="15"/>
      <c r="F18" s="16">
        <v>10</v>
      </c>
      <c r="G18" s="13" t="s">
        <v>15</v>
      </c>
      <c r="H18" s="30">
        <v>10</v>
      </c>
      <c r="J18" s="42"/>
    </row>
    <row r="19" spans="2:7" ht="12.75">
      <c r="B19" s="8"/>
      <c r="C19" s="8"/>
      <c r="D19" s="26"/>
      <c r="E19" s="11"/>
      <c r="F19" s="17" t="str">
        <f>IF(F18&lt;&gt;H18,"Standard "&amp;H18&amp;" days has been changed.  ","")&amp;IF(D18-D21&lt;&gt;F18,"("&amp;D18-D21&amp;" days used)","")</f>
        <v>(12 days used)</v>
      </c>
      <c r="G19" s="10"/>
    </row>
    <row r="20" spans="2:7" ht="12.75">
      <c r="B20" s="12"/>
      <c r="C20" s="12"/>
      <c r="D20" s="25"/>
      <c r="E20" s="15"/>
      <c r="F20" s="15"/>
      <c r="G20" s="21"/>
    </row>
    <row r="21" spans="2:8" ht="12.75">
      <c r="B21" s="14" t="s">
        <v>5</v>
      </c>
      <c r="C21" s="12"/>
      <c r="D21" s="32">
        <f>WORKDAY(Arrives+F21,IF(OR(WEEKDAY(Arrives+F21,2)&gt;5,ISNUMBER(MATCH(Arrives+F21,Holidays,0))),1,0),Holidays)</f>
        <v>39043</v>
      </c>
      <c r="E21" s="15"/>
      <c r="F21" s="16">
        <f>2*7</f>
        <v>14</v>
      </c>
      <c r="G21" s="13" t="s">
        <v>16</v>
      </c>
      <c r="H21" s="30">
        <f>2*7</f>
        <v>14</v>
      </c>
    </row>
    <row r="22" spans="2:7" ht="12.75">
      <c r="B22" s="8"/>
      <c r="C22" s="8"/>
      <c r="D22" s="26"/>
      <c r="E22" s="11"/>
      <c r="F22" s="17">
        <f>IF(F21&lt;&gt;H21,"Standard "&amp;H21&amp;" days has been changed.  ","")&amp;IF(D21-D24&lt;&gt;F21,"("&amp;D21-D24&amp;" days used)","")</f>
      </c>
      <c r="G22" s="10"/>
    </row>
    <row r="23" spans="2:7" ht="12.75">
      <c r="B23" s="12"/>
      <c r="C23" s="12"/>
      <c r="D23" s="25"/>
      <c r="E23" s="15"/>
      <c r="F23" s="15"/>
      <c r="G23" s="21"/>
    </row>
    <row r="24" spans="2:7" ht="16.5" thickBot="1">
      <c r="B24" s="14" t="s">
        <v>3</v>
      </c>
      <c r="C24" s="7">
        <f>Arrives</f>
        <v>39029</v>
      </c>
      <c r="D24" s="6">
        <v>39029</v>
      </c>
      <c r="E24" s="22" t="s">
        <v>58</v>
      </c>
      <c r="F24" s="5"/>
      <c r="G24" s="5"/>
    </row>
    <row r="25" spans="2:7" ht="16.5" thickBot="1">
      <c r="B25" s="14" t="s">
        <v>72</v>
      </c>
      <c r="C25" s="7"/>
      <c r="D25" s="6" t="s">
        <v>74</v>
      </c>
      <c r="E25" s="22" t="s">
        <v>71</v>
      </c>
      <c r="F25" s="5"/>
      <c r="G25" s="5"/>
    </row>
    <row r="26" spans="2:7" ht="12.75">
      <c r="B26" s="8"/>
      <c r="C26" s="9"/>
      <c r="D26" s="10"/>
      <c r="E26" s="11"/>
      <c r="F26" s="11"/>
      <c r="G26" s="10"/>
    </row>
    <row r="27" spans="2:7" ht="12.75">
      <c r="B27" s="13"/>
      <c r="C27" s="13"/>
      <c r="D27" s="13"/>
      <c r="E27" s="15"/>
      <c r="F27" s="15"/>
      <c r="G27" s="13"/>
    </row>
    <row r="28" spans="2:7" ht="12.75">
      <c r="B28" s="14" t="s">
        <v>26</v>
      </c>
      <c r="C28" s="13"/>
      <c r="D28" s="13"/>
      <c r="E28" s="15"/>
      <c r="F28" s="15"/>
      <c r="G28" s="13"/>
    </row>
    <row r="29" spans="2:7" ht="12.75">
      <c r="B29" s="13"/>
      <c r="C29" s="13"/>
      <c r="D29" s="13"/>
      <c r="E29" s="15"/>
      <c r="F29" s="15"/>
      <c r="G29" s="13"/>
    </row>
    <row r="30" spans="2:7" ht="15.75">
      <c r="B30" s="18" t="s">
        <v>17</v>
      </c>
      <c r="C30" s="13"/>
      <c r="D30" s="13"/>
      <c r="E30" s="13"/>
      <c r="F30" s="13"/>
      <c r="G30" s="13"/>
    </row>
    <row r="31" spans="2:7" ht="12.75" customHeight="1">
      <c r="B31" s="68" t="s">
        <v>18</v>
      </c>
      <c r="C31" s="68"/>
      <c r="D31" s="68"/>
      <c r="E31" s="68"/>
      <c r="F31" s="68"/>
      <c r="G31" s="68"/>
    </row>
    <row r="32" spans="2:7" ht="12.75">
      <c r="B32" s="64" t="s">
        <v>64</v>
      </c>
      <c r="C32" s="68"/>
      <c r="D32" s="68"/>
      <c r="E32" s="68"/>
      <c r="F32" s="68"/>
      <c r="G32" s="68"/>
    </row>
    <row r="33" spans="2:9" ht="12.75" customHeight="1">
      <c r="B33" s="64" t="s">
        <v>65</v>
      </c>
      <c r="C33" s="64"/>
      <c r="D33" s="64"/>
      <c r="E33" s="64"/>
      <c r="F33" s="64"/>
      <c r="G33" s="64"/>
      <c r="I33" s="43"/>
    </row>
    <row r="34" spans="2:9" ht="25.5" customHeight="1">
      <c r="B34" s="65" t="str">
        <f>"If the advertisement period includes the Christmas/New Year Holiday period, 7 to 14 days will need to be added to the advertisement period"&amp;IF(YEAR(D15)&lt;&gt;YEAR(D18)," ("&amp;D15-D18-F15&amp;" days were added for holiday period)","")&amp;"."</f>
        <v>If the advertisement period includes the Christmas/New Year Holiday period, 7 to 14 days will need to be added to the advertisement period (14 days were added for holiday period).</v>
      </c>
      <c r="C34" s="66"/>
      <c r="D34" s="66"/>
      <c r="E34" s="66"/>
      <c r="F34" s="66"/>
      <c r="G34" s="66"/>
      <c r="I34" s="43"/>
    </row>
    <row r="35" spans="2:7" ht="12.75">
      <c r="B35" s="19" t="s">
        <v>19</v>
      </c>
      <c r="C35" s="20"/>
      <c r="D35" s="20"/>
      <c r="E35" s="20"/>
      <c r="F35" s="20"/>
      <c r="G35" s="20"/>
    </row>
    <row r="37" spans="2:4" ht="16.5" hidden="1">
      <c r="B37" s="44">
        <f>YEAR(Arrives)</f>
        <v>2006</v>
      </c>
      <c r="C37" s="45"/>
      <c r="D37" s="46"/>
    </row>
    <row r="38" spans="2:11" ht="15" hidden="1">
      <c r="B38" s="47">
        <f>DATE(Year,1,1)+IF(WEEKDAY(DATE(Year,1,1),2)&lt;6,0,IF(WEEKDAY(DATE(Year,1,1),2)=6,-1,1))</f>
        <v>38719</v>
      </c>
      <c r="C38" s="48" t="s">
        <v>29</v>
      </c>
      <c r="D38" s="49"/>
      <c r="G38"/>
      <c r="H38"/>
      <c r="I38"/>
      <c r="J38"/>
      <c r="K38"/>
    </row>
    <row r="39" spans="2:11" ht="15" hidden="1">
      <c r="B39" s="52">
        <f>DATE(Year,1,21)-WEEKDAY(DATE(Year,1,21),3)</f>
        <v>38733</v>
      </c>
      <c r="C39" s="53" t="s">
        <v>30</v>
      </c>
      <c r="D39" s="54"/>
      <c r="G39"/>
      <c r="H39"/>
      <c r="I39"/>
      <c r="J39"/>
      <c r="K39"/>
    </row>
    <row r="40" spans="2:11" ht="15" hidden="1">
      <c r="B40" s="52">
        <f>DATE(Year,2,21)-WEEKDAY(DATE(Year,2,21),3)</f>
        <v>38768</v>
      </c>
      <c r="C40" s="53" t="s">
        <v>31</v>
      </c>
      <c r="D40" s="54"/>
      <c r="G40"/>
      <c r="H40"/>
      <c r="I40"/>
      <c r="J40"/>
      <c r="K40"/>
    </row>
    <row r="41" spans="2:11" ht="15" hidden="1">
      <c r="B41" s="52">
        <f>DATE(Year,5,31)-WEEKDAY(DATE(Year,5,31),3)</f>
        <v>38866</v>
      </c>
      <c r="C41" s="53" t="s">
        <v>32</v>
      </c>
      <c r="D41" s="54"/>
      <c r="G41"/>
      <c r="H41"/>
      <c r="I41"/>
      <c r="J41"/>
      <c r="K41"/>
    </row>
    <row r="42" spans="2:11" ht="15" hidden="1">
      <c r="B42" s="52">
        <f>DATE(Year,7,4)+IF(WEEKDAY(DATE(Year,7,4),2)&lt;6,0,IF(WEEKDAY(DATE(Year,7,4),2)=6,-1,1))</f>
        <v>38902</v>
      </c>
      <c r="C42" s="53" t="s">
        <v>33</v>
      </c>
      <c r="D42" s="54"/>
      <c r="G42"/>
      <c r="H42"/>
      <c r="I42"/>
      <c r="J42"/>
      <c r="K42"/>
    </row>
    <row r="43" spans="2:11" ht="15" hidden="1">
      <c r="B43" s="52">
        <f>DATE(Year,9,7)-WEEKDAY(DATE(Year,9,7),3)</f>
        <v>38964</v>
      </c>
      <c r="C43" s="53" t="s">
        <v>34</v>
      </c>
      <c r="D43" s="54"/>
      <c r="G43"/>
      <c r="H43"/>
      <c r="I43"/>
      <c r="J43"/>
      <c r="K43"/>
    </row>
    <row r="44" spans="2:11" ht="15" hidden="1">
      <c r="B44" s="52">
        <f>DATE(Year,10,14)-WEEKDAY(DATE(Year,10,14),3)</f>
        <v>38999</v>
      </c>
      <c r="C44" s="53" t="s">
        <v>35</v>
      </c>
      <c r="D44" s="54"/>
      <c r="G44"/>
      <c r="H44"/>
      <c r="I44"/>
      <c r="J44"/>
      <c r="K44"/>
    </row>
    <row r="45" spans="2:11" ht="15" hidden="1">
      <c r="B45" s="52">
        <f>DATE(Year,11,11)+IF(WEEKDAY(DATE(Year,11,11),2)&lt;6,0,IF(WEEKDAY(DATE(Year,11,11),2)=6,-1,1))</f>
        <v>39031</v>
      </c>
      <c r="C45" s="53" t="s">
        <v>36</v>
      </c>
      <c r="D45" s="54"/>
      <c r="G45"/>
      <c r="H45"/>
      <c r="I45"/>
      <c r="J45"/>
      <c r="K45"/>
    </row>
    <row r="46" spans="2:11" ht="15" hidden="1">
      <c r="B46" s="52">
        <f>DATE(Year,11,28)-WEEKDAY(DATE(Year,11,25),3)</f>
        <v>39044</v>
      </c>
      <c r="C46" s="53" t="s">
        <v>37</v>
      </c>
      <c r="D46" s="54"/>
      <c r="G46"/>
      <c r="H46"/>
      <c r="I46"/>
      <c r="J46"/>
      <c r="K46"/>
    </row>
    <row r="47" spans="2:4" ht="15" hidden="1">
      <c r="B47" s="52">
        <f>DATE(Year,12,25)+IF(WEEKDAY(DATE(Year,12,25),2)&lt;6,0,IF(WEEKDAY(DATE(Year,12,25),2)=6,-1,1))</f>
        <v>39076</v>
      </c>
      <c r="C47" s="53" t="s">
        <v>38</v>
      </c>
      <c r="D47" s="54"/>
    </row>
    <row r="48" spans="2:4" ht="15" hidden="1">
      <c r="B48" s="52">
        <f>DATE(Year+1,1,1)+IF(WEEKDAY(DATE(Year+1,1,1),2)&lt;6,0,IF(WEEKDAY(DATE(Year+1,1,1),2)=6,-1,1))</f>
        <v>39083</v>
      </c>
      <c r="C48" s="53" t="str">
        <f aca="true" t="shared" si="0" ref="C48:C57">C38&amp;" "&amp;(Year+1)</f>
        <v>New Years Day 2007</v>
      </c>
      <c r="D48" s="54"/>
    </row>
    <row r="49" spans="2:4" ht="15" hidden="1">
      <c r="B49" s="52">
        <f>DATE(Year+1,1,21)-WEEKDAY(DATE(Year+1,1,21),3)</f>
        <v>39097</v>
      </c>
      <c r="C49" s="53" t="str">
        <f t="shared" si="0"/>
        <v>Martin Luther King Day 2007</v>
      </c>
      <c r="D49" s="54"/>
    </row>
    <row r="50" spans="2:4" ht="15" hidden="1">
      <c r="B50" s="52">
        <f>DATE(Year+1,2,21)-WEEKDAY(DATE(Year+1,2,21),3)</f>
        <v>39132</v>
      </c>
      <c r="C50" s="53" t="str">
        <f t="shared" si="0"/>
        <v>President's Day 2007</v>
      </c>
      <c r="D50" s="54"/>
    </row>
    <row r="51" spans="2:4" ht="15" hidden="1">
      <c r="B51" s="52">
        <f>DATE(Year+1,5,31)-WEEKDAY(DATE(Year+1,5,31),3)</f>
        <v>39230</v>
      </c>
      <c r="C51" s="53" t="str">
        <f t="shared" si="0"/>
        <v>Memorial Day 2007</v>
      </c>
      <c r="D51" s="54"/>
    </row>
    <row r="52" spans="2:4" ht="15" hidden="1">
      <c r="B52" s="52">
        <f>DATE(Year+1,7,4)+IF(WEEKDAY(DATE(Year+1,7,4),2)&lt;6,0,IF(WEEKDAY(DATE(Year+1,7,4),2)=6,-1,1))</f>
        <v>39267</v>
      </c>
      <c r="C52" s="53" t="str">
        <f t="shared" si="0"/>
        <v>Independence Day 2007</v>
      </c>
      <c r="D52" s="54"/>
    </row>
    <row r="53" spans="2:4" ht="15" hidden="1">
      <c r="B53" s="52">
        <f>DATE(Year+1,9,7)-WEEKDAY(DATE(Year+1,9,7),3)</f>
        <v>39328</v>
      </c>
      <c r="C53" s="53" t="str">
        <f t="shared" si="0"/>
        <v>Labor Day 2007</v>
      </c>
      <c r="D53" s="54"/>
    </row>
    <row r="54" spans="2:4" ht="15" hidden="1">
      <c r="B54" s="52">
        <f>DATE(Year+1,10,14)-WEEKDAY(DATE(Year+1,10,14),3)</f>
        <v>39363</v>
      </c>
      <c r="C54" s="53" t="str">
        <f t="shared" si="0"/>
        <v>Columbus Day 2007</v>
      </c>
      <c r="D54" s="54"/>
    </row>
    <row r="55" spans="2:4" ht="15" hidden="1">
      <c r="B55" s="52">
        <f>DATE(Year+1,11,11)+IF(WEEKDAY(DATE(Year+1,11,11),2)&lt;6,0,IF(WEEKDAY(DATE(Year+1,11,11),2)=6,-1,1))</f>
        <v>39398</v>
      </c>
      <c r="C55" s="53" t="str">
        <f t="shared" si="0"/>
        <v>Veteran's Day 2007</v>
      </c>
      <c r="D55" s="54"/>
    </row>
    <row r="56" spans="2:4" ht="15" hidden="1">
      <c r="B56" s="52">
        <f>DATE(Year+1,11,28)-WEEKDAY(DATE(Year+1,11,25),3)</f>
        <v>39408</v>
      </c>
      <c r="C56" s="53" t="str">
        <f t="shared" si="0"/>
        <v>Thanksgiving 2007</v>
      </c>
      <c r="D56" s="54"/>
    </row>
    <row r="57" spans="2:4" ht="15" hidden="1">
      <c r="B57" s="52">
        <f>DATE(Year+1,12,25)+IF(WEEKDAY(DATE(Year+1,12,25),2)&lt;6,0,IF(WEEKDAY(DATE(Year+1,12,25),2)=6,-1,1))</f>
        <v>39441</v>
      </c>
      <c r="C57" s="53" t="str">
        <f t="shared" si="0"/>
        <v>Christmas 2007</v>
      </c>
      <c r="D57" s="54"/>
    </row>
    <row r="58" spans="2:4" ht="15" hidden="1">
      <c r="B58" s="52">
        <f>DATE(Year+2,1,1)+IF(WEEKDAY(DATE(Year+2,1,1),2)&lt;6,0,IF(WEEKDAY(DATE(Year+2,1,1),2)=6,-1,1))</f>
        <v>39448</v>
      </c>
      <c r="C58" s="53" t="str">
        <f>C38&amp;" "&amp;(Year+2)</f>
        <v>New Years Day 2008</v>
      </c>
      <c r="D58" s="54"/>
    </row>
    <row r="59" spans="2:4" ht="15" hidden="1">
      <c r="B59" s="56">
        <f>DATE(Year+2,1,21)-WEEKDAY(DATE(Year+2,1,21),3)</f>
        <v>39468</v>
      </c>
      <c r="C59" s="57" t="str">
        <f>C39&amp;" "&amp;(Year+2)</f>
        <v>Martin Luther King Day 2008</v>
      </c>
      <c r="D59" s="58"/>
    </row>
  </sheetData>
  <sheetProtection sheet="1" objects="1" scenarios="1" selectLockedCells="1"/>
  <mergeCells count="7">
    <mergeCell ref="B33:G33"/>
    <mergeCell ref="B34:G34"/>
    <mergeCell ref="B3:G3"/>
    <mergeCell ref="B2:G2"/>
    <mergeCell ref="B31:G31"/>
    <mergeCell ref="B32:G32"/>
    <mergeCell ref="B4:G4"/>
  </mergeCells>
  <conditionalFormatting sqref="B38:B59">
    <cfRule type="cellIs" priority="1" dxfId="0" operator="lessThan" stopIfTrue="1">
      <formula>TODAY()</formula>
    </cfRule>
  </conditionalFormatting>
  <conditionalFormatting sqref="C38:C59">
    <cfRule type="expression" priority="2" dxfId="0" stopIfTrue="1">
      <formula>B38&lt;TODAY()</formula>
    </cfRule>
  </conditionalFormatting>
  <conditionalFormatting sqref="D15 J8">
    <cfRule type="cellIs" priority="3" dxfId="1" operator="between" stopIfTrue="1">
      <formula>$I$14</formula>
      <formula>$J$14</formula>
    </cfRule>
  </conditionalFormatting>
  <conditionalFormatting sqref="F16 F19 F13 F22 F7">
    <cfRule type="expression" priority="4" dxfId="2" stopIfTrue="1">
      <formula>F6&lt;&gt;H6</formula>
    </cfRule>
    <cfRule type="expression" priority="5" dxfId="3" stopIfTrue="1">
      <formula>D6-D9&lt;&gt;F6</formula>
    </cfRule>
  </conditionalFormatting>
  <conditionalFormatting sqref="B33:G33">
    <cfRule type="expression" priority="6" dxfId="1" stopIfTrue="1">
      <formula>AND($D$15&gt;=$I$14,$D$15&lt;=$J$14)</formula>
    </cfRule>
  </conditionalFormatting>
  <conditionalFormatting sqref="F14 F11">
    <cfRule type="expression" priority="7" dxfId="2" stopIfTrue="1">
      <formula>F9&lt;&gt;H10</formula>
    </cfRule>
    <cfRule type="expression" priority="8" dxfId="3" stopIfTrue="1">
      <formula>D10-D16&lt;&gt;F9</formula>
    </cfRule>
  </conditionalFormatting>
  <conditionalFormatting sqref="F10">
    <cfRule type="expression" priority="9" dxfId="2" stopIfTrue="1">
      <formula>F8&lt;&gt;H9</formula>
    </cfRule>
    <cfRule type="expression" priority="10" dxfId="3" stopIfTrue="1">
      <formula>D9-D12&lt;&gt;F8</formula>
    </cfRule>
  </conditionalFormatting>
  <dataValidations count="1">
    <dataValidation type="list" allowBlank="1" showInputMessage="1" showErrorMessage="1" sqref="D25">
      <formula1>"Yes, No"</formula1>
    </dataValidation>
  </dataValidations>
  <printOptions horizontalCentered="1"/>
  <pageMargins left="0.75" right="0.75" top="0.75" bottom="0.75" header="0.5" footer="0.5"/>
  <pageSetup horizontalDpi="300" verticalDpi="300" orientation="landscape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showGridLines="0" showRowColHeaders="0" workbookViewId="0" topLeftCell="A1">
      <selection activeCell="B4" sqref="B4:G4"/>
    </sheetView>
  </sheetViews>
  <sheetFormatPr defaultColWidth="9.7109375" defaultRowHeight="12.75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 customWidth="1"/>
    <col min="14" max="16384" width="9.7109375" style="3" customWidth="1"/>
  </cols>
  <sheetData>
    <row r="2" spans="2:7" ht="23.25">
      <c r="B2" s="67" t="s">
        <v>12</v>
      </c>
      <c r="C2" s="67"/>
      <c r="D2" s="67"/>
      <c r="E2" s="67"/>
      <c r="F2" s="67"/>
      <c r="G2" s="67"/>
    </row>
    <row r="3" spans="2:8" ht="23.25">
      <c r="B3" s="67" t="s">
        <v>8</v>
      </c>
      <c r="C3" s="67"/>
      <c r="D3" s="67"/>
      <c r="E3" s="67"/>
      <c r="F3" s="67"/>
      <c r="G3" s="67"/>
      <c r="H3" s="4"/>
    </row>
    <row r="4" spans="2:8" ht="23.25">
      <c r="B4" s="69" t="s">
        <v>75</v>
      </c>
      <c r="C4" s="69"/>
      <c r="D4" s="69"/>
      <c r="E4" s="69"/>
      <c r="F4" s="69"/>
      <c r="G4" s="69"/>
      <c r="H4" s="4"/>
    </row>
    <row r="5" spans="2:10" ht="13.5" thickBot="1">
      <c r="B5" s="12"/>
      <c r="C5" s="13"/>
      <c r="D5" s="13"/>
      <c r="E5" s="13"/>
      <c r="F5" s="13"/>
      <c r="G5" s="27">
        <f>IF(D6&gt;MAX(Holidays),"Warning! Last date beyond last calculated holiday.","")</f>
      </c>
      <c r="J5" s="28"/>
    </row>
    <row r="6" spans="2:8" ht="13.5" thickBot="1">
      <c r="B6" s="14" t="s">
        <v>4</v>
      </c>
      <c r="C6" s="23"/>
      <c r="D6" s="62">
        <f>WORKDAY(D9+F6,IF(OR(WEEKDAY(D9+F6,2)&gt;5,ISNUMBER(MATCH(D9+F6,Holidays,0))),1,0),Holidays)</f>
        <v>39202</v>
      </c>
      <c r="E6" s="13"/>
      <c r="F6" s="16">
        <f>IF(D28="Yes",4,3)*7</f>
        <v>21</v>
      </c>
      <c r="G6" s="13" t="str">
        <f>"Calendar days between award and NTP"&amp;IF(D28="Yes"," (Montana)","")</f>
        <v>Calendar days between award and NTP</v>
      </c>
      <c r="H6" s="30">
        <f>IF(D28="Yes",4,3)*7</f>
        <v>21</v>
      </c>
    </row>
    <row r="7" spans="2:7" ht="12.75">
      <c r="B7" s="8"/>
      <c r="C7" s="24"/>
      <c r="D7" s="2"/>
      <c r="E7" s="10"/>
      <c r="F7" s="17">
        <f>IF(F6&lt;&gt;H6,"Standard "&amp;H6&amp;" days"&amp;IF($D$28="Yes"," for Montana","")&amp;" has been changed.  ","")&amp;IF(D6-D9&lt;&gt;F6,"("&amp;D6-D9&amp;" days used)","")</f>
      </c>
      <c r="G7" s="10"/>
    </row>
    <row r="8" spans="2:10" ht="12.75">
      <c r="B8" s="12"/>
      <c r="C8" s="12"/>
      <c r="D8" s="25"/>
      <c r="E8" s="13"/>
      <c r="F8" s="60"/>
      <c r="G8" s="13"/>
      <c r="J8" s="31"/>
    </row>
    <row r="9" spans="2:8" ht="12.75">
      <c r="B9" s="14" t="s">
        <v>0</v>
      </c>
      <c r="C9" s="12"/>
      <c r="D9" s="32">
        <f>WORKDAY(D12+F9,IF(OR(WEEKDAY(D12+F9,2)&gt;5,ISNUMBER(MATCH(D12+F9,Holidays,0))),1,0),Holidays)</f>
        <v>39181</v>
      </c>
      <c r="E9" s="15"/>
      <c r="F9" s="16">
        <v>30</v>
      </c>
      <c r="G9" s="13" t="s">
        <v>20</v>
      </c>
      <c r="H9" s="30">
        <v>30</v>
      </c>
    </row>
    <row r="10" spans="2:10" ht="12.75">
      <c r="B10" s="8"/>
      <c r="C10" s="8"/>
      <c r="D10" s="26"/>
      <c r="E10" s="10"/>
      <c r="F10" s="17" t="str">
        <f>IF(F9&lt;&gt;H9,"Standard "&amp;H9&amp;" days has been changed.  ","")&amp;IF(D9-D12&lt;&gt;F9,"("&amp;D9-D12&amp;" days used)","")</f>
        <v>(31 days used)</v>
      </c>
      <c r="G10" s="10"/>
      <c r="J10" s="33"/>
    </row>
    <row r="11" spans="2:10" ht="12.75">
      <c r="B11" s="12"/>
      <c r="C11" s="12"/>
      <c r="D11" s="25"/>
      <c r="E11" s="13"/>
      <c r="F11" s="60"/>
      <c r="G11" s="13"/>
      <c r="J11" s="33"/>
    </row>
    <row r="12" spans="2:10" ht="12.75">
      <c r="B12" s="14" t="s">
        <v>9</v>
      </c>
      <c r="C12" s="12"/>
      <c r="D12" s="32">
        <f>WORKDAY(D15+F12,IF(OR(WEEKDAY(D15+F12,2)&gt;5,ISNUMBER(MATCH(D15+F12,Holidays,0))),1,0),Holidays)</f>
        <v>39150</v>
      </c>
      <c r="E12" s="13"/>
      <c r="F12" s="16">
        <v>30</v>
      </c>
      <c r="G12" s="13" t="s">
        <v>70</v>
      </c>
      <c r="H12" s="30">
        <v>30</v>
      </c>
      <c r="J12" s="33"/>
    </row>
    <row r="13" spans="2:10" ht="12.75">
      <c r="B13" s="8"/>
      <c r="C13" s="8"/>
      <c r="D13" s="26"/>
      <c r="E13" s="11"/>
      <c r="F13" s="17">
        <f>IF(F12&lt;&gt;H12,"Standard "&amp;H12&amp;" days has been changed.  ","")&amp;IF(D12-D15&lt;&gt;F12,"("&amp;D12-D15&amp;" days used)","")</f>
      </c>
      <c r="G13" s="10"/>
      <c r="J13" s="33"/>
    </row>
    <row r="14" spans="2:10" ht="12.75">
      <c r="B14" s="12"/>
      <c r="C14" s="12"/>
      <c r="D14" s="25"/>
      <c r="E14" s="15"/>
      <c r="F14" s="60"/>
      <c r="G14" s="13"/>
      <c r="J14" s="33"/>
    </row>
    <row r="15" spans="2:10" ht="12.75">
      <c r="B15" s="14" t="s">
        <v>10</v>
      </c>
      <c r="C15" s="12"/>
      <c r="D15" s="32">
        <f>WORKDAY(D18+F15,IF(OR(WEEKDAY(D18+F15,2)&gt;5,ISNUMBER(MATCH(D18+F15,Holidays,0))),1,0),Holidays)</f>
        <v>39120</v>
      </c>
      <c r="E15" s="15"/>
      <c r="F15" s="16">
        <v>21</v>
      </c>
      <c r="G15" s="13" t="s">
        <v>69</v>
      </c>
      <c r="H15" s="30">
        <f>3*7</f>
        <v>21</v>
      </c>
      <c r="J15" s="33"/>
    </row>
    <row r="16" spans="2:10" ht="12.75">
      <c r="B16" s="8"/>
      <c r="C16" s="8"/>
      <c r="D16" s="26"/>
      <c r="E16" s="11"/>
      <c r="F16" s="17">
        <f>IF(F15&lt;&gt;H15,"Standard "&amp;H15&amp;" days has been changed.  ","")&amp;IF(D15-D18&lt;&gt;F15,"("&amp;D15-D18&amp;" days used)","")</f>
      </c>
      <c r="G16" s="10"/>
      <c r="J16" s="33"/>
    </row>
    <row r="17" spans="2:11" ht="12.75">
      <c r="B17" s="12"/>
      <c r="C17" s="12"/>
      <c r="D17" s="25"/>
      <c r="E17" s="13"/>
      <c r="F17" s="60"/>
      <c r="G17" s="13"/>
      <c r="I17" s="34">
        <f>INDEX(Holidays,MATCH(DATE(YEAR(D18),12,1),Holidays))</f>
        <v>39408</v>
      </c>
      <c r="J17" s="35">
        <f>WORKDAY(DATE(YEAR(D18),12,31),VLOOKUP(WEEKDAY(DATE(YEAR(D18),12,25)),Christmas,3,0),Holidays)-1</f>
        <v>39448</v>
      </c>
      <c r="K17" s="36" t="s">
        <v>62</v>
      </c>
    </row>
    <row r="18" spans="2:10" ht="12.75">
      <c r="B18" s="14" t="s">
        <v>6</v>
      </c>
      <c r="C18" s="12"/>
      <c r="D18" s="37">
        <f>WORKDAY(J18,IF(J18-INDEX(Holidays,MATCH(J18,Holidays))&lt;2,1,0),Holidays)</f>
        <v>39099</v>
      </c>
      <c r="E18" s="15"/>
      <c r="F18" s="16">
        <v>30</v>
      </c>
      <c r="G18" s="13" t="s">
        <v>21</v>
      </c>
      <c r="H18" s="30">
        <v>30</v>
      </c>
      <c r="I18" s="38">
        <f>D21+F18+IF(WORKDAY(DATE(YEAR(D21),12,24),-1,Holidays)-D21&lt;F18,VLOOKUP(WEEKDAY(DATE(YEAR(D21),12,25)),Christmas,2,0),0)</f>
        <v>39097</v>
      </c>
      <c r="J18" s="39">
        <f>WORKDAY(I18,IF(AND(WEEKDAY(I18,2)=4,ISNUMBER(MATCH(I18,Holidays,0))),3,IF(OR(AND(WEEKDAY(I18,2)=5,ISNUMBER(MATCH(I18,Holidays,0))),WEEKDAY(I18,2)&gt;5),2,IF(OR(WEEKDAY(I18,2)=1,ISNUMBER(MATCH(I18,Holidays,0))),1,0))),Holidays)</f>
        <v>39098</v>
      </c>
    </row>
    <row r="19" spans="2:10" ht="12.75">
      <c r="B19" s="8"/>
      <c r="C19" s="8"/>
      <c r="D19" s="26"/>
      <c r="E19" s="11"/>
      <c r="F19" s="17" t="str">
        <f>IF(F18&lt;&gt;H18,"Standard "&amp;H18&amp;" days has been changed.  ","")&amp;IF(D18-D21&lt;&gt;F18,"("&amp;D18-D21&amp;" days used)","")</f>
        <v>(42 days used)</v>
      </c>
      <c r="G19" s="10"/>
      <c r="I19" s="40" t="s">
        <v>59</v>
      </c>
      <c r="J19" s="41" t="s">
        <v>60</v>
      </c>
    </row>
    <row r="20" spans="2:7" ht="12.75">
      <c r="B20" s="12"/>
      <c r="C20" s="12"/>
      <c r="D20" s="25"/>
      <c r="E20" s="13"/>
      <c r="F20" s="13"/>
      <c r="G20" s="21"/>
    </row>
    <row r="21" spans="2:10" ht="12.75">
      <c r="B21" s="14" t="s">
        <v>2</v>
      </c>
      <c r="C21" s="12"/>
      <c r="D21" s="32">
        <f>WORKDAY(D24+F21,IF(OR(WEEKDAY(D24+F21,2)&gt;5,ISNUMBER(MATCH(D24+F21,Holidays,0))),1,0),Holidays)</f>
        <v>39057</v>
      </c>
      <c r="E21" s="15"/>
      <c r="F21" s="16">
        <v>14</v>
      </c>
      <c r="G21" s="13" t="s">
        <v>15</v>
      </c>
      <c r="H21" s="30">
        <f>2*7</f>
        <v>14</v>
      </c>
      <c r="J21" s="42"/>
    </row>
    <row r="22" spans="2:7" ht="12.75">
      <c r="B22" s="8"/>
      <c r="C22" s="8"/>
      <c r="D22" s="26"/>
      <c r="E22" s="11"/>
      <c r="F22" s="17">
        <f>IF(F21&lt;&gt;H21,"Standard "&amp;H21&amp;" days has been changed.  ","")&amp;IF(D21-D24&lt;&gt;F21,"("&amp;D21-D24&amp;" days used)","")</f>
      </c>
      <c r="G22" s="10"/>
    </row>
    <row r="23" spans="2:7" ht="12.75">
      <c r="B23" s="12"/>
      <c r="C23" s="12"/>
      <c r="D23" s="25"/>
      <c r="E23" s="15"/>
      <c r="F23" s="15"/>
      <c r="G23" s="21"/>
    </row>
    <row r="24" spans="2:8" ht="12.75">
      <c r="B24" s="14" t="s">
        <v>5</v>
      </c>
      <c r="C24" s="12"/>
      <c r="D24" s="32">
        <f>WORKDAY(Arrives+F24,IF(OR(WEEKDAY(Arrives+F24,2)&gt;5,ISNUMBER(MATCH(Arrives+F24,Holidays,0))),1,0),Holidays)</f>
        <v>39043</v>
      </c>
      <c r="E24" s="15"/>
      <c r="F24" s="16">
        <f>2*7</f>
        <v>14</v>
      </c>
      <c r="G24" s="13" t="s">
        <v>16</v>
      </c>
      <c r="H24" s="30">
        <f>2*7</f>
        <v>14</v>
      </c>
    </row>
    <row r="25" spans="2:7" ht="12.75">
      <c r="B25" s="8"/>
      <c r="C25" s="8"/>
      <c r="D25" s="26"/>
      <c r="E25" s="11"/>
      <c r="F25" s="17">
        <f>IF(F24&lt;&gt;H24,"Standard "&amp;H24&amp;" days has been changed.  ","")&amp;IF(D24-D27&lt;&gt;F24,"("&amp;D24-D27&amp;" days used)","")</f>
      </c>
      <c r="G25" s="10"/>
    </row>
    <row r="26" spans="2:7" ht="12.75">
      <c r="B26" s="12"/>
      <c r="C26" s="12"/>
      <c r="D26" s="25"/>
      <c r="E26" s="15"/>
      <c r="F26" s="15"/>
      <c r="G26" s="21"/>
    </row>
    <row r="27" spans="2:7" ht="16.5" thickBot="1">
      <c r="B27" s="14" t="s">
        <v>3</v>
      </c>
      <c r="C27" s="7">
        <f>Arrives</f>
        <v>39029</v>
      </c>
      <c r="D27" s="6">
        <v>39029</v>
      </c>
      <c r="E27" s="22" t="s">
        <v>58</v>
      </c>
      <c r="F27" s="5"/>
      <c r="G27" s="5"/>
    </row>
    <row r="28" spans="2:7" ht="16.5" thickBot="1">
      <c r="B28" s="14" t="s">
        <v>72</v>
      </c>
      <c r="C28" s="7"/>
      <c r="D28" s="6" t="s">
        <v>73</v>
      </c>
      <c r="E28" s="22" t="s">
        <v>71</v>
      </c>
      <c r="F28" s="5"/>
      <c r="G28" s="5"/>
    </row>
    <row r="29" spans="2:7" ht="12.75">
      <c r="B29" s="8"/>
      <c r="C29" s="9"/>
      <c r="D29" s="10"/>
      <c r="E29" s="11"/>
      <c r="F29" s="11"/>
      <c r="G29" s="10"/>
    </row>
    <row r="30" spans="2:7" ht="12.75">
      <c r="B30" s="13"/>
      <c r="C30" s="13"/>
      <c r="D30" s="13"/>
      <c r="E30" s="15"/>
      <c r="F30" s="15"/>
      <c r="G30" s="13"/>
    </row>
    <row r="31" spans="2:7" ht="15.75">
      <c r="B31" s="18" t="s">
        <v>17</v>
      </c>
      <c r="C31" s="13"/>
      <c r="D31" s="13"/>
      <c r="E31" s="13"/>
      <c r="F31" s="13"/>
      <c r="G31" s="13"/>
    </row>
    <row r="32" spans="2:7" ht="12.75" customHeight="1">
      <c r="B32" s="68" t="s">
        <v>18</v>
      </c>
      <c r="C32" s="68"/>
      <c r="D32" s="68"/>
      <c r="E32" s="68"/>
      <c r="F32" s="68"/>
      <c r="G32" s="68"/>
    </row>
    <row r="33" spans="2:7" ht="12.75">
      <c r="B33" s="64" t="s">
        <v>64</v>
      </c>
      <c r="C33" s="68"/>
      <c r="D33" s="68"/>
      <c r="E33" s="68"/>
      <c r="F33" s="68"/>
      <c r="G33" s="68"/>
    </row>
    <row r="34" spans="2:9" ht="12.75" customHeight="1">
      <c r="B34" s="64" t="s">
        <v>65</v>
      </c>
      <c r="C34" s="64"/>
      <c r="D34" s="64"/>
      <c r="E34" s="64"/>
      <c r="F34" s="64"/>
      <c r="G34" s="64"/>
      <c r="I34" s="43"/>
    </row>
    <row r="35" spans="2:9" ht="25.5" customHeight="1">
      <c r="B35" s="65" t="str">
        <f>"If the advertisement period includes the Christmas/New Year Holiday period, 7 to 14 days will need to be added to the advertisement period"&amp;IF(YEAR(D18)&lt;&gt;YEAR(D21)," ("&amp;D18-D21-F18&amp;" days were added for holiday period)","")&amp;"."</f>
        <v>If the advertisement period includes the Christmas/New Year Holiday period, 7 to 14 days will need to be added to the advertisement period (12 days were added for holiday period).</v>
      </c>
      <c r="C35" s="66"/>
      <c r="D35" s="66"/>
      <c r="E35" s="66"/>
      <c r="F35" s="66"/>
      <c r="G35" s="66"/>
      <c r="I35" s="43"/>
    </row>
    <row r="36" spans="2:7" ht="12.75">
      <c r="B36" s="19" t="s">
        <v>19</v>
      </c>
      <c r="C36" s="20"/>
      <c r="D36" s="20"/>
      <c r="E36" s="20"/>
      <c r="F36" s="20"/>
      <c r="G36" s="20"/>
    </row>
    <row r="38" spans="2:4" ht="16.5" hidden="1">
      <c r="B38" s="44">
        <f>YEAR(Arrives)</f>
        <v>2006</v>
      </c>
      <c r="C38" s="45"/>
      <c r="D38" s="46"/>
    </row>
    <row r="39" spans="2:11" ht="15" hidden="1">
      <c r="B39" s="47">
        <f>DATE(Year,1,1)+IF(WEEKDAY(DATE(Year,1,1),2)&lt;6,0,IF(WEEKDAY(DATE(Year,1,1),2)=6,-1,1))</f>
        <v>38719</v>
      </c>
      <c r="C39" s="48" t="s">
        <v>29</v>
      </c>
      <c r="D39" s="49"/>
      <c r="G39"/>
      <c r="H39"/>
      <c r="I39"/>
      <c r="J39"/>
      <c r="K39"/>
    </row>
    <row r="40" spans="2:11" ht="15" hidden="1">
      <c r="B40" s="52">
        <f>DATE(Year,1,21)-WEEKDAY(DATE(Year,1,21),3)</f>
        <v>38733</v>
      </c>
      <c r="C40" s="53" t="s">
        <v>30</v>
      </c>
      <c r="D40" s="54"/>
      <c r="G40"/>
      <c r="H40"/>
      <c r="I40"/>
      <c r="J40"/>
      <c r="K40"/>
    </row>
    <row r="41" spans="2:11" ht="15" hidden="1">
      <c r="B41" s="52">
        <f>DATE(Year,2,21)-WEEKDAY(DATE(Year,2,21),3)</f>
        <v>38768</v>
      </c>
      <c r="C41" s="53" t="s">
        <v>31</v>
      </c>
      <c r="D41" s="54"/>
      <c r="G41"/>
      <c r="H41"/>
      <c r="I41"/>
      <c r="J41"/>
      <c r="K41"/>
    </row>
    <row r="42" spans="2:11" ht="15" hidden="1">
      <c r="B42" s="52">
        <f>DATE(Year,5,31)-WEEKDAY(DATE(Year,5,31),3)</f>
        <v>38866</v>
      </c>
      <c r="C42" s="53" t="s">
        <v>32</v>
      </c>
      <c r="D42" s="54"/>
      <c r="G42"/>
      <c r="H42"/>
      <c r="I42"/>
      <c r="J42"/>
      <c r="K42"/>
    </row>
    <row r="43" spans="2:11" ht="15" hidden="1">
      <c r="B43" s="52">
        <f>DATE(Year,7,4)+IF(WEEKDAY(DATE(Year,7,4),2)&lt;6,0,IF(WEEKDAY(DATE(Year,7,4),2)=6,-1,1))</f>
        <v>38902</v>
      </c>
      <c r="C43" s="53" t="s">
        <v>33</v>
      </c>
      <c r="D43" s="54"/>
      <c r="G43"/>
      <c r="H43"/>
      <c r="I43"/>
      <c r="J43"/>
      <c r="K43"/>
    </row>
    <row r="44" spans="2:11" ht="15" hidden="1">
      <c r="B44" s="52">
        <f>DATE(Year,9,7)-WEEKDAY(DATE(Year,9,7),3)</f>
        <v>38964</v>
      </c>
      <c r="C44" s="53" t="s">
        <v>34</v>
      </c>
      <c r="D44" s="54"/>
      <c r="G44"/>
      <c r="H44"/>
      <c r="I44"/>
      <c r="J44"/>
      <c r="K44"/>
    </row>
    <row r="45" spans="2:11" ht="15" hidden="1">
      <c r="B45" s="52">
        <f>DATE(Year,10,14)-WEEKDAY(DATE(Year,10,14),3)</f>
        <v>38999</v>
      </c>
      <c r="C45" s="53" t="s">
        <v>35</v>
      </c>
      <c r="D45" s="54"/>
      <c r="G45"/>
      <c r="H45"/>
      <c r="I45"/>
      <c r="J45"/>
      <c r="K45"/>
    </row>
    <row r="46" spans="2:11" ht="15" hidden="1">
      <c r="B46" s="52">
        <f>DATE(Year,11,11)+IF(WEEKDAY(DATE(Year,11,11),2)&lt;6,0,IF(WEEKDAY(DATE(Year,11,11),2)=6,-1,1))</f>
        <v>39031</v>
      </c>
      <c r="C46" s="53" t="s">
        <v>36</v>
      </c>
      <c r="D46" s="54"/>
      <c r="G46"/>
      <c r="H46"/>
      <c r="I46"/>
      <c r="J46"/>
      <c r="K46"/>
    </row>
    <row r="47" spans="2:11" ht="15" hidden="1">
      <c r="B47" s="52">
        <f>DATE(Year,11,28)-WEEKDAY(DATE(Year,11,25),3)</f>
        <v>39044</v>
      </c>
      <c r="C47" s="53" t="s">
        <v>37</v>
      </c>
      <c r="D47" s="54"/>
      <c r="G47"/>
      <c r="H47"/>
      <c r="I47"/>
      <c r="J47"/>
      <c r="K47"/>
    </row>
    <row r="48" spans="2:4" ht="15" hidden="1">
      <c r="B48" s="52">
        <f>DATE(Year,12,25)+IF(WEEKDAY(DATE(Year,12,25),2)&lt;6,0,IF(WEEKDAY(DATE(Year,12,25),2)=6,-1,1))</f>
        <v>39076</v>
      </c>
      <c r="C48" s="53" t="s">
        <v>38</v>
      </c>
      <c r="D48" s="54"/>
    </row>
    <row r="49" spans="2:4" ht="15" hidden="1">
      <c r="B49" s="52">
        <f>DATE(Year+1,1,1)+IF(WEEKDAY(DATE(Year+1,1,1),2)&lt;6,0,IF(WEEKDAY(DATE(Year+1,1,1),2)=6,-1,1))</f>
        <v>39083</v>
      </c>
      <c r="C49" s="53" t="str">
        <f aca="true" t="shared" si="0" ref="C49:C58">C39&amp;" "&amp;(Year+1)</f>
        <v>New Years Day 2007</v>
      </c>
      <c r="D49" s="54"/>
    </row>
    <row r="50" spans="2:4" ht="15" hidden="1">
      <c r="B50" s="52">
        <f>DATE(Year+1,1,21)-WEEKDAY(DATE(Year+1,1,21),3)</f>
        <v>39097</v>
      </c>
      <c r="C50" s="53" t="str">
        <f t="shared" si="0"/>
        <v>Martin Luther King Day 2007</v>
      </c>
      <c r="D50" s="54"/>
    </row>
    <row r="51" spans="2:4" ht="15" hidden="1">
      <c r="B51" s="52">
        <f>DATE(Year+1,2,21)-WEEKDAY(DATE(Year+1,2,21),3)</f>
        <v>39132</v>
      </c>
      <c r="C51" s="53" t="str">
        <f t="shared" si="0"/>
        <v>President's Day 2007</v>
      </c>
      <c r="D51" s="54"/>
    </row>
    <row r="52" spans="2:4" ht="15" hidden="1">
      <c r="B52" s="52">
        <f>DATE(Year+1,5,31)-WEEKDAY(DATE(Year+1,5,31),3)</f>
        <v>39230</v>
      </c>
      <c r="C52" s="53" t="str">
        <f t="shared" si="0"/>
        <v>Memorial Day 2007</v>
      </c>
      <c r="D52" s="54"/>
    </row>
    <row r="53" spans="2:4" ht="15" hidden="1">
      <c r="B53" s="52">
        <f>DATE(Year+1,7,4)+IF(WEEKDAY(DATE(Year+1,7,4),2)&lt;6,0,IF(WEEKDAY(DATE(Year+1,7,4),2)=6,-1,1))</f>
        <v>39267</v>
      </c>
      <c r="C53" s="53" t="str">
        <f t="shared" si="0"/>
        <v>Independence Day 2007</v>
      </c>
      <c r="D53" s="54"/>
    </row>
    <row r="54" spans="2:4" ht="15" hidden="1">
      <c r="B54" s="52">
        <f>DATE(Year+1,9,7)-WEEKDAY(DATE(Year+1,9,7),3)</f>
        <v>39328</v>
      </c>
      <c r="C54" s="53" t="str">
        <f t="shared" si="0"/>
        <v>Labor Day 2007</v>
      </c>
      <c r="D54" s="54"/>
    </row>
    <row r="55" spans="2:4" ht="15" hidden="1">
      <c r="B55" s="52">
        <f>DATE(Year+1,10,14)-WEEKDAY(DATE(Year+1,10,14),3)</f>
        <v>39363</v>
      </c>
      <c r="C55" s="53" t="str">
        <f t="shared" si="0"/>
        <v>Columbus Day 2007</v>
      </c>
      <c r="D55" s="54"/>
    </row>
    <row r="56" spans="2:4" ht="15" hidden="1">
      <c r="B56" s="52">
        <f>DATE(Year+1,11,11)+IF(WEEKDAY(DATE(Year+1,11,11),2)&lt;6,0,IF(WEEKDAY(DATE(Year+1,11,11),2)=6,-1,1))</f>
        <v>39398</v>
      </c>
      <c r="C56" s="53" t="str">
        <f t="shared" si="0"/>
        <v>Veteran's Day 2007</v>
      </c>
      <c r="D56" s="54"/>
    </row>
    <row r="57" spans="2:4" ht="15" hidden="1">
      <c r="B57" s="52">
        <f>DATE(Year+1,11,28)-WEEKDAY(DATE(Year+1,11,25),3)</f>
        <v>39408</v>
      </c>
      <c r="C57" s="53" t="str">
        <f t="shared" si="0"/>
        <v>Thanksgiving 2007</v>
      </c>
      <c r="D57" s="54"/>
    </row>
    <row r="58" spans="2:4" ht="15" hidden="1">
      <c r="B58" s="52">
        <f>DATE(Year+1,12,25)+IF(WEEKDAY(DATE(Year+1,12,25),2)&lt;6,0,IF(WEEKDAY(DATE(Year+1,12,25),2)=6,-1,1))</f>
        <v>39441</v>
      </c>
      <c r="C58" s="53" t="str">
        <f t="shared" si="0"/>
        <v>Christmas 2007</v>
      </c>
      <c r="D58" s="54"/>
    </row>
    <row r="59" spans="2:4" ht="15" hidden="1">
      <c r="B59" s="52">
        <f>DATE(Year+2,1,1)+IF(WEEKDAY(DATE(Year+2,1,1),2)&lt;6,0,IF(WEEKDAY(DATE(Year+2,1,1),2)=6,-1,1))</f>
        <v>39448</v>
      </c>
      <c r="C59" s="53" t="str">
        <f>C39&amp;" "&amp;(Year+2)</f>
        <v>New Years Day 2008</v>
      </c>
      <c r="D59" s="54"/>
    </row>
    <row r="60" spans="2:4" ht="15" hidden="1">
      <c r="B60" s="56">
        <f>DATE(Year+2,1,21)-WEEKDAY(DATE(Year+2,1,21),3)</f>
        <v>39468</v>
      </c>
      <c r="C60" s="57" t="str">
        <f>C40&amp;" "&amp;(Year+2)</f>
        <v>Martin Luther King Day 2008</v>
      </c>
      <c r="D60" s="58"/>
    </row>
  </sheetData>
  <sheetProtection sheet="1" objects="1" scenarios="1" selectLockedCells="1"/>
  <mergeCells count="7">
    <mergeCell ref="B34:G34"/>
    <mergeCell ref="B35:G35"/>
    <mergeCell ref="B3:G3"/>
    <mergeCell ref="B2:G2"/>
    <mergeCell ref="B32:G32"/>
    <mergeCell ref="B33:G33"/>
    <mergeCell ref="B4:G4"/>
  </mergeCells>
  <conditionalFormatting sqref="B39:B60">
    <cfRule type="cellIs" priority="1" dxfId="0" operator="lessThan" stopIfTrue="1">
      <formula>TODAY()</formula>
    </cfRule>
  </conditionalFormatting>
  <conditionalFormatting sqref="C39:C60">
    <cfRule type="expression" priority="2" dxfId="0" stopIfTrue="1">
      <formula>B39&lt;TODAY()</formula>
    </cfRule>
  </conditionalFormatting>
  <conditionalFormatting sqref="D18 J8">
    <cfRule type="cellIs" priority="3" dxfId="1" operator="between" stopIfTrue="1">
      <formula>$I$17</formula>
      <formula>$J$17</formula>
    </cfRule>
  </conditionalFormatting>
  <conditionalFormatting sqref="F19 F22 F25 F10 F13 F16 F7">
    <cfRule type="expression" priority="4" dxfId="2" stopIfTrue="1">
      <formula>F6&lt;&gt;H6</formula>
    </cfRule>
    <cfRule type="expression" priority="5" dxfId="3" stopIfTrue="1">
      <formula>D6-D9&lt;&gt;F6</formula>
    </cfRule>
  </conditionalFormatting>
  <conditionalFormatting sqref="B34:G34">
    <cfRule type="expression" priority="6" dxfId="1" stopIfTrue="1">
      <formula>AND($D$18&gt;=$I$17,$D$18&lt;=$J$17)</formula>
    </cfRule>
  </conditionalFormatting>
  <conditionalFormatting sqref="F8">
    <cfRule type="expression" priority="7" dxfId="2" stopIfTrue="1">
      <formula>F6&lt;&gt;H7</formula>
    </cfRule>
    <cfRule type="expression" priority="8" dxfId="3" stopIfTrue="1">
      <formula>D7-D13&lt;&gt;F6</formula>
    </cfRule>
  </conditionalFormatting>
  <conditionalFormatting sqref="F14">
    <cfRule type="expression" priority="9" dxfId="2" stopIfTrue="1">
      <formula>F13&lt;&gt;H13</formula>
    </cfRule>
    <cfRule type="expression" priority="10" dxfId="3" stopIfTrue="1">
      <formula>D13-D19&lt;&gt;F13</formula>
    </cfRule>
  </conditionalFormatting>
  <conditionalFormatting sqref="F11">
    <cfRule type="expression" priority="11" dxfId="2" stopIfTrue="1">
      <formula>F9&lt;&gt;H10</formula>
    </cfRule>
    <cfRule type="expression" priority="12" dxfId="3" stopIfTrue="1">
      <formula>D10-D19&lt;&gt;F9</formula>
    </cfRule>
  </conditionalFormatting>
  <conditionalFormatting sqref="F17">
    <cfRule type="expression" priority="13" dxfId="2" stopIfTrue="1">
      <formula>F12&lt;&gt;H13</formula>
    </cfRule>
    <cfRule type="expression" priority="14" dxfId="3" stopIfTrue="1">
      <formula>D13-D22&lt;&gt;F12</formula>
    </cfRule>
  </conditionalFormatting>
  <dataValidations count="1">
    <dataValidation type="list" allowBlank="1" showInputMessage="1" showErrorMessage="1" sqref="D28">
      <formula1>"Yes, No"</formula1>
    </dataValidation>
  </dataValidations>
  <printOptions horizontalCentered="1"/>
  <pageMargins left="0.75" right="0.75" top="0.75" bottom="0.75" header="0.5" footer="0.5"/>
  <pageSetup horizontalDpi="300" verticalDpi="300" orientation="landscape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K59"/>
  <sheetViews>
    <sheetView showGridLines="0" showRowColHeaders="0" workbookViewId="0" topLeftCell="A1">
      <selection activeCell="B4" sqref="B4:G4"/>
    </sheetView>
  </sheetViews>
  <sheetFormatPr defaultColWidth="9.7109375" defaultRowHeight="12.75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 customWidth="1"/>
    <col min="14" max="16384" width="9.7109375" style="3" customWidth="1"/>
  </cols>
  <sheetData>
    <row r="2" spans="2:7" ht="23.25">
      <c r="B2" s="67" t="s">
        <v>11</v>
      </c>
      <c r="C2" s="67"/>
      <c r="D2" s="67"/>
      <c r="E2" s="67"/>
      <c r="F2" s="67"/>
      <c r="G2" s="67"/>
    </row>
    <row r="3" spans="2:8" ht="23.25">
      <c r="B3" s="67" t="s">
        <v>8</v>
      </c>
      <c r="C3" s="67"/>
      <c r="D3" s="67"/>
      <c r="E3" s="67"/>
      <c r="F3" s="67"/>
      <c r="G3" s="67"/>
      <c r="H3" s="4"/>
    </row>
    <row r="4" spans="2:8" ht="23.25">
      <c r="B4" s="69" t="s">
        <v>75</v>
      </c>
      <c r="C4" s="69"/>
      <c r="D4" s="69"/>
      <c r="E4" s="69"/>
      <c r="F4" s="69"/>
      <c r="G4" s="69"/>
      <c r="H4" s="4"/>
    </row>
    <row r="5" spans="2:10" ht="12.75">
      <c r="B5" s="63"/>
      <c r="C5" s="63"/>
      <c r="D5" s="63"/>
      <c r="E5" s="63"/>
      <c r="F5" s="63"/>
      <c r="G5" s="27">
        <f>IF(D6&gt;MAX(Holidays),"Warning! Last date beyond last calculated holiday.","")</f>
      </c>
      <c r="J5" s="28"/>
    </row>
    <row r="6" spans="2:8" ht="13.5" thickBot="1">
      <c r="B6" s="14" t="s">
        <v>4</v>
      </c>
      <c r="C6" s="23"/>
      <c r="D6" s="29">
        <f>WORKDAY(D9+F6,IF(OR(WEEKDAY(D9+F6,2)&gt;5,ISNUMBER(MATCH(D9+F6,Holidays,0))),1,0),Holidays)</f>
        <v>39164</v>
      </c>
      <c r="E6" s="13"/>
      <c r="F6" s="16">
        <f>IF(D25="Yes",4,3)*7</f>
        <v>21</v>
      </c>
      <c r="G6" s="13" t="str">
        <f>"Calendar days between award and NTP"&amp;IF(D25="Yes"," (Montana)","")</f>
        <v>Calendar days between award and NTP</v>
      </c>
      <c r="H6" s="30">
        <f>IF(D25="Yes",4,3)*7</f>
        <v>21</v>
      </c>
    </row>
    <row r="7" spans="2:7" ht="12.75">
      <c r="B7" s="8"/>
      <c r="C7" s="24"/>
      <c r="D7" s="2"/>
      <c r="E7" s="10"/>
      <c r="F7" s="17">
        <f>IF(F6&lt;&gt;H6,"Standard "&amp;H6&amp;" days"&amp;IF($D$25="Yes"," for Montana","")&amp;" has been changed.  ","")&amp;IF(D6-D9&lt;&gt;F6,"("&amp;D6-D9&amp;" days used)","")</f>
      </c>
      <c r="G7" s="10"/>
    </row>
    <row r="8" spans="2:10" ht="12.75">
      <c r="B8" s="12"/>
      <c r="C8" s="12"/>
      <c r="D8" s="25"/>
      <c r="E8" s="13"/>
      <c r="F8" s="60"/>
      <c r="G8" s="13"/>
      <c r="J8" s="31"/>
    </row>
    <row r="9" spans="2:8" ht="12.75">
      <c r="B9" s="14" t="s">
        <v>0</v>
      </c>
      <c r="C9" s="12"/>
      <c r="D9" s="32">
        <f>WORKDAY(D12+F9,IF(OR(WEEKDAY(D12+F9,2)&gt;5,ISNUMBER(MATCH(D12+F9,Holidays,0))),1,0),Holidays)</f>
        <v>39143</v>
      </c>
      <c r="E9" s="15"/>
      <c r="F9" s="16">
        <v>14</v>
      </c>
      <c r="G9" s="13" t="s">
        <v>20</v>
      </c>
      <c r="H9" s="30">
        <v>14</v>
      </c>
    </row>
    <row r="10" spans="2:10" ht="12.75">
      <c r="B10" s="8"/>
      <c r="C10" s="8"/>
      <c r="D10" s="26"/>
      <c r="E10" s="10"/>
      <c r="F10" s="17">
        <f>IF(F9&lt;&gt;H9,"Standard "&amp;H9&amp;" days has been changed.  ","")&amp;IF(D9-D12&lt;&gt;F9,"("&amp;D9-D12&amp;" days used)","")</f>
      </c>
      <c r="G10" s="10"/>
      <c r="J10" s="33"/>
    </row>
    <row r="11" spans="2:10" ht="12.75">
      <c r="B11" s="12"/>
      <c r="C11" s="12"/>
      <c r="D11" s="25"/>
      <c r="E11" s="13"/>
      <c r="F11" s="60"/>
      <c r="G11" s="13"/>
      <c r="J11" s="33"/>
    </row>
    <row r="12" spans="2:10" ht="12.75">
      <c r="B12" s="14" t="s">
        <v>9</v>
      </c>
      <c r="C12" s="12"/>
      <c r="D12" s="32">
        <f>WORKDAY(D15+F12,IF(OR(WEEKDAY(D15+F12,2)&gt;5,ISNUMBER(MATCH(D15+F12,Holidays,0))),1,0),Holidays)</f>
        <v>39129</v>
      </c>
      <c r="E12" s="13"/>
      <c r="F12" s="16">
        <v>30</v>
      </c>
      <c r="G12" s="13" t="s">
        <v>68</v>
      </c>
      <c r="H12" s="30">
        <v>30</v>
      </c>
      <c r="J12" s="33"/>
    </row>
    <row r="13" spans="2:10" ht="12.75">
      <c r="B13" s="8"/>
      <c r="C13" s="8"/>
      <c r="D13" s="26"/>
      <c r="E13" s="11"/>
      <c r="F13" s="17">
        <f>IF(F12&lt;&gt;H12,"Standard "&amp;H12&amp;" days has been changed.  ","")&amp;IF(D12-D15&lt;&gt;F12,"("&amp;D12-D15&amp;" days used)","")</f>
      </c>
      <c r="G13" s="10"/>
      <c r="J13" s="33"/>
    </row>
    <row r="14" spans="2:11" ht="12.75">
      <c r="B14" s="12"/>
      <c r="C14" s="12"/>
      <c r="D14" s="25"/>
      <c r="E14" s="13"/>
      <c r="F14" s="60"/>
      <c r="G14" s="13"/>
      <c r="I14" s="34">
        <f>INDEX(Holidays,MATCH(DATE(YEAR(D15),12,1),Holidays))</f>
        <v>39408</v>
      </c>
      <c r="J14" s="35">
        <f>WORKDAY(DATE(YEAR(D15),12,31),VLOOKUP(WEEKDAY(DATE(YEAR(D15),12,25)),Christmas,3,0),Holidays)-1</f>
        <v>39448</v>
      </c>
      <c r="K14" s="36" t="s">
        <v>62</v>
      </c>
    </row>
    <row r="15" spans="2:10" ht="12.75">
      <c r="B15" s="14" t="s">
        <v>6</v>
      </c>
      <c r="C15" s="12"/>
      <c r="D15" s="37">
        <f>WORKDAY(J15,IF(J15-INDEX(Holidays,MATCH(J15,Holidays))&lt;2,1,0),Holidays)</f>
        <v>39099</v>
      </c>
      <c r="E15" s="15"/>
      <c r="F15" s="16">
        <v>30</v>
      </c>
      <c r="G15" s="13" t="s">
        <v>21</v>
      </c>
      <c r="H15" s="30">
        <v>30</v>
      </c>
      <c r="I15" s="38">
        <f>D18+F15+IF(WORKDAY(DATE(YEAR(D18),12,24),-1,Holidays)-D18&lt;F15,VLOOKUP(WEEKDAY(DATE(YEAR(D18),12,25)),Christmas,2,0),0)</f>
        <v>39097</v>
      </c>
      <c r="J15" s="39">
        <f>WORKDAY(I15,IF(AND(WEEKDAY(I15,2)=4,ISNUMBER(MATCH(I15,Holidays,0))),3,IF(OR(AND(WEEKDAY(I15,2)=5,ISNUMBER(MATCH(I15,Holidays,0))),WEEKDAY(I15,2)&gt;5),2,IF(OR(WEEKDAY(I15,2)=1,ISNUMBER(MATCH(I15,Holidays,0))),1,0))),Holidays)</f>
        <v>39098</v>
      </c>
    </row>
    <row r="16" spans="2:10" ht="12.75">
      <c r="B16" s="8"/>
      <c r="C16" s="8"/>
      <c r="D16" s="26"/>
      <c r="E16" s="11"/>
      <c r="F16" s="17" t="str">
        <f>IF(F15&lt;&gt;H15,"Standard "&amp;H15&amp;" days has been changed.  ","")&amp;IF(D15-D18&lt;&gt;F15,"("&amp;D15-D18&amp;" days used)","")</f>
        <v>(42 days used)</v>
      </c>
      <c r="G16" s="10"/>
      <c r="I16" s="40" t="s">
        <v>59</v>
      </c>
      <c r="J16" s="41" t="s">
        <v>60</v>
      </c>
    </row>
    <row r="17" spans="2:7" ht="12.75">
      <c r="B17" s="12"/>
      <c r="C17" s="12"/>
      <c r="D17" s="25"/>
      <c r="E17" s="13"/>
      <c r="F17" s="13"/>
      <c r="G17" s="21"/>
    </row>
    <row r="18" spans="2:10" ht="12.75">
      <c r="B18" s="14" t="s">
        <v>2</v>
      </c>
      <c r="C18" s="12"/>
      <c r="D18" s="32">
        <f>WORKDAY(D21+F18,IF(OR(WEEKDAY(D21+F18,2)&gt;5,ISNUMBER(MATCH(D21+F18,Holidays,0))),1,0),Holidays)</f>
        <v>39057</v>
      </c>
      <c r="E18" s="15"/>
      <c r="F18" s="16">
        <v>14</v>
      </c>
      <c r="G18" s="13" t="s">
        <v>15</v>
      </c>
      <c r="H18" s="30">
        <v>14</v>
      </c>
      <c r="J18" s="42"/>
    </row>
    <row r="19" spans="2:7" ht="12.75">
      <c r="B19" s="8"/>
      <c r="C19" s="8"/>
      <c r="D19" s="26"/>
      <c r="E19" s="11"/>
      <c r="F19" s="17">
        <f>IF(F18&lt;&gt;H18,"Standard "&amp;H18&amp;" days has been changed.  ","")&amp;IF(D18-D21&lt;&gt;F18,"("&amp;D18-D21&amp;" days used)","")</f>
      </c>
      <c r="G19" s="10"/>
    </row>
    <row r="20" spans="2:7" ht="12.75">
      <c r="B20" s="12"/>
      <c r="C20" s="12"/>
      <c r="D20" s="25"/>
      <c r="E20" s="15"/>
      <c r="F20" s="15"/>
      <c r="G20" s="21"/>
    </row>
    <row r="21" spans="2:8" ht="12.75">
      <c r="B21" s="14" t="s">
        <v>5</v>
      </c>
      <c r="C21" s="12"/>
      <c r="D21" s="32">
        <f>WORKDAY(Arrives+F21,IF(OR(WEEKDAY(Arrives+F21,2)&gt;5,ISNUMBER(MATCH(Arrives+F21,Holidays,0))),1,0),Holidays)</f>
        <v>39043</v>
      </c>
      <c r="E21" s="15"/>
      <c r="F21" s="16">
        <f>2*7</f>
        <v>14</v>
      </c>
      <c r="G21" s="13" t="s">
        <v>16</v>
      </c>
      <c r="H21" s="30">
        <f>2*7</f>
        <v>14</v>
      </c>
    </row>
    <row r="22" spans="2:7" ht="12.75">
      <c r="B22" s="8"/>
      <c r="C22" s="8"/>
      <c r="D22" s="26"/>
      <c r="E22" s="11"/>
      <c r="F22" s="17">
        <f>IF(F21&lt;&gt;H21,"Standard "&amp;H21&amp;" days has been changed.  ","")&amp;IF(D21-D24&lt;&gt;F21,"("&amp;D21-D24&amp;" days used)","")</f>
      </c>
      <c r="G22" s="10"/>
    </row>
    <row r="23" spans="2:7" ht="12.75">
      <c r="B23" s="12"/>
      <c r="C23" s="12"/>
      <c r="D23" s="25"/>
      <c r="E23" s="15"/>
      <c r="F23" s="15"/>
      <c r="G23" s="21"/>
    </row>
    <row r="24" spans="2:7" ht="16.5" thickBot="1">
      <c r="B24" s="14" t="s">
        <v>3</v>
      </c>
      <c r="C24" s="7">
        <f>Arrives</f>
        <v>39029</v>
      </c>
      <c r="D24" s="6">
        <v>39029</v>
      </c>
      <c r="E24" s="22" t="s">
        <v>58</v>
      </c>
      <c r="F24" s="5"/>
      <c r="G24" s="5"/>
    </row>
    <row r="25" spans="2:7" ht="16.5" thickBot="1">
      <c r="B25" s="14" t="s">
        <v>72</v>
      </c>
      <c r="C25" s="7"/>
      <c r="D25" s="6" t="s">
        <v>73</v>
      </c>
      <c r="E25" s="22" t="s">
        <v>71</v>
      </c>
      <c r="F25" s="5"/>
      <c r="G25" s="5"/>
    </row>
    <row r="26" spans="2:7" ht="12.75">
      <c r="B26" s="8"/>
      <c r="C26" s="9"/>
      <c r="D26" s="61"/>
      <c r="E26" s="11"/>
      <c r="F26" s="11"/>
      <c r="G26" s="10"/>
    </row>
    <row r="27" spans="2:7" ht="12.75">
      <c r="B27" s="13"/>
      <c r="C27" s="13"/>
      <c r="D27" s="13"/>
      <c r="E27" s="15"/>
      <c r="F27" s="15"/>
      <c r="G27" s="13"/>
    </row>
    <row r="28" spans="2:7" ht="12.75">
      <c r="B28" s="14" t="s">
        <v>27</v>
      </c>
      <c r="C28" s="13"/>
      <c r="D28" s="13"/>
      <c r="E28" s="15"/>
      <c r="F28" s="15"/>
      <c r="G28" s="13"/>
    </row>
    <row r="29" spans="2:7" ht="12.75">
      <c r="B29" s="13"/>
      <c r="C29" s="13"/>
      <c r="D29" s="13"/>
      <c r="E29" s="15"/>
      <c r="F29" s="15"/>
      <c r="G29" s="13"/>
    </row>
    <row r="30" spans="2:7" ht="15.75">
      <c r="B30" s="18" t="s">
        <v>17</v>
      </c>
      <c r="C30" s="13"/>
      <c r="D30" s="13"/>
      <c r="E30" s="13"/>
      <c r="F30" s="13"/>
      <c r="G30" s="13"/>
    </row>
    <row r="31" spans="2:7" ht="12.75" customHeight="1">
      <c r="B31" s="68" t="s">
        <v>18</v>
      </c>
      <c r="C31" s="68"/>
      <c r="D31" s="68"/>
      <c r="E31" s="68"/>
      <c r="F31" s="68"/>
      <c r="G31" s="68"/>
    </row>
    <row r="32" spans="2:7" ht="12.75">
      <c r="B32" s="64" t="s">
        <v>64</v>
      </c>
      <c r="C32" s="68"/>
      <c r="D32" s="68"/>
      <c r="E32" s="68"/>
      <c r="F32" s="68"/>
      <c r="G32" s="68"/>
    </row>
    <row r="33" spans="2:9" ht="12.75" customHeight="1">
      <c r="B33" s="64" t="s">
        <v>65</v>
      </c>
      <c r="C33" s="64"/>
      <c r="D33" s="64"/>
      <c r="E33" s="64"/>
      <c r="F33" s="64"/>
      <c r="G33" s="64"/>
      <c r="I33" s="43"/>
    </row>
    <row r="34" spans="2:9" ht="25.5" customHeight="1">
      <c r="B34" s="65" t="str">
        <f>"If the advertisement period includes the Christmas/New Year Holiday period, 7 to 14 days will need to be added to the advertisement period"&amp;IF(YEAR(D15)&lt;&gt;YEAR(D18)," ("&amp;D15-D18-F15&amp;" days were added for holiday period)","")&amp;"."</f>
        <v>If the advertisement period includes the Christmas/New Year Holiday period, 7 to 14 days will need to be added to the advertisement period (12 days were added for holiday period).</v>
      </c>
      <c r="C34" s="66"/>
      <c r="D34" s="66"/>
      <c r="E34" s="66"/>
      <c r="F34" s="66"/>
      <c r="G34" s="66"/>
      <c r="I34" s="43"/>
    </row>
    <row r="35" spans="2:7" ht="12.75">
      <c r="B35" s="19" t="s">
        <v>19</v>
      </c>
      <c r="C35" s="20"/>
      <c r="D35" s="20"/>
      <c r="E35" s="20"/>
      <c r="F35" s="20"/>
      <c r="G35" s="20"/>
    </row>
    <row r="37" spans="2:4" ht="16.5" hidden="1">
      <c r="B37" s="44">
        <f>YEAR(Arrives)</f>
        <v>2006</v>
      </c>
      <c r="C37" s="45"/>
      <c r="D37" s="46"/>
    </row>
    <row r="38" spans="2:11" ht="15" hidden="1">
      <c r="B38" s="47">
        <f>DATE(Year,1,1)+IF(WEEKDAY(DATE(Year,1,1),2)&lt;6,0,IF(WEEKDAY(DATE(Year,1,1),2)=6,-1,1))</f>
        <v>38719</v>
      </c>
      <c r="C38" s="48" t="s">
        <v>29</v>
      </c>
      <c r="D38" s="49"/>
      <c r="G38"/>
      <c r="H38"/>
      <c r="I38"/>
      <c r="J38"/>
      <c r="K38"/>
    </row>
    <row r="39" spans="2:11" ht="15" hidden="1">
      <c r="B39" s="52">
        <f>DATE(Year,1,21)-WEEKDAY(DATE(Year,1,21),3)</f>
        <v>38733</v>
      </c>
      <c r="C39" s="53" t="s">
        <v>30</v>
      </c>
      <c r="D39" s="54"/>
      <c r="G39"/>
      <c r="H39"/>
      <c r="I39"/>
      <c r="J39"/>
      <c r="K39"/>
    </row>
    <row r="40" spans="2:11" ht="15" hidden="1">
      <c r="B40" s="52">
        <f>DATE(Year,2,21)-WEEKDAY(DATE(Year,2,21),3)</f>
        <v>38768</v>
      </c>
      <c r="C40" s="53" t="s">
        <v>31</v>
      </c>
      <c r="D40" s="54"/>
      <c r="G40"/>
      <c r="H40"/>
      <c r="I40"/>
      <c r="J40"/>
      <c r="K40"/>
    </row>
    <row r="41" spans="2:11" ht="15" hidden="1">
      <c r="B41" s="52">
        <f>DATE(Year,5,31)-WEEKDAY(DATE(Year,5,31),3)</f>
        <v>38866</v>
      </c>
      <c r="C41" s="53" t="s">
        <v>32</v>
      </c>
      <c r="D41" s="54"/>
      <c r="G41"/>
      <c r="H41"/>
      <c r="I41"/>
      <c r="J41"/>
      <c r="K41"/>
    </row>
    <row r="42" spans="2:11" ht="15" hidden="1">
      <c r="B42" s="52">
        <f>DATE(Year,7,4)+IF(WEEKDAY(DATE(Year,7,4),2)&lt;6,0,IF(WEEKDAY(DATE(Year,7,4),2)=6,-1,1))</f>
        <v>38902</v>
      </c>
      <c r="C42" s="53" t="s">
        <v>33</v>
      </c>
      <c r="D42" s="54"/>
      <c r="G42"/>
      <c r="H42"/>
      <c r="I42"/>
      <c r="J42"/>
      <c r="K42"/>
    </row>
    <row r="43" spans="2:11" ht="15" hidden="1">
      <c r="B43" s="52">
        <f>DATE(Year,9,7)-WEEKDAY(DATE(Year,9,7),3)</f>
        <v>38964</v>
      </c>
      <c r="C43" s="53" t="s">
        <v>34</v>
      </c>
      <c r="D43" s="54"/>
      <c r="G43"/>
      <c r="H43"/>
      <c r="I43"/>
      <c r="J43"/>
      <c r="K43"/>
    </row>
    <row r="44" spans="2:11" ht="15" hidden="1">
      <c r="B44" s="52">
        <f>DATE(Year,10,14)-WEEKDAY(DATE(Year,10,14),3)</f>
        <v>38999</v>
      </c>
      <c r="C44" s="53" t="s">
        <v>35</v>
      </c>
      <c r="D44" s="54"/>
      <c r="G44"/>
      <c r="H44"/>
      <c r="I44"/>
      <c r="J44"/>
      <c r="K44"/>
    </row>
    <row r="45" spans="2:11" ht="15" hidden="1">
      <c r="B45" s="52">
        <f>DATE(Year,11,11)+IF(WEEKDAY(DATE(Year,11,11),2)&lt;6,0,IF(WEEKDAY(DATE(Year,11,11),2)=6,-1,1))</f>
        <v>39031</v>
      </c>
      <c r="C45" s="53" t="s">
        <v>36</v>
      </c>
      <c r="D45" s="54"/>
      <c r="G45"/>
      <c r="H45"/>
      <c r="I45"/>
      <c r="J45"/>
      <c r="K45"/>
    </row>
    <row r="46" spans="2:11" ht="15" hidden="1">
      <c r="B46" s="52">
        <f>DATE(Year,11,28)-WEEKDAY(DATE(Year,11,25),3)</f>
        <v>39044</v>
      </c>
      <c r="C46" s="53" t="s">
        <v>37</v>
      </c>
      <c r="D46" s="54"/>
      <c r="G46"/>
      <c r="H46"/>
      <c r="I46"/>
      <c r="J46"/>
      <c r="K46"/>
    </row>
    <row r="47" spans="2:4" ht="15" hidden="1">
      <c r="B47" s="52">
        <f>DATE(Year,12,25)+IF(WEEKDAY(DATE(Year,12,25),2)&lt;6,0,IF(WEEKDAY(DATE(Year,12,25),2)=6,-1,1))</f>
        <v>39076</v>
      </c>
      <c r="C47" s="53" t="s">
        <v>38</v>
      </c>
      <c r="D47" s="54"/>
    </row>
    <row r="48" spans="2:4" ht="15" hidden="1">
      <c r="B48" s="52">
        <f>DATE(Year+1,1,1)+IF(WEEKDAY(DATE(Year+1,1,1),2)&lt;6,0,IF(WEEKDAY(DATE(Year+1,1,1),2)=6,-1,1))</f>
        <v>39083</v>
      </c>
      <c r="C48" s="53" t="str">
        <f aca="true" t="shared" si="0" ref="C48:C57">C38&amp;" "&amp;(Year+1)</f>
        <v>New Years Day 2007</v>
      </c>
      <c r="D48" s="54"/>
    </row>
    <row r="49" spans="2:4" ht="15" hidden="1">
      <c r="B49" s="52">
        <f>DATE(Year+1,1,21)-WEEKDAY(DATE(Year+1,1,21),3)</f>
        <v>39097</v>
      </c>
      <c r="C49" s="53" t="str">
        <f t="shared" si="0"/>
        <v>Martin Luther King Day 2007</v>
      </c>
      <c r="D49" s="54"/>
    </row>
    <row r="50" spans="2:4" ht="15" hidden="1">
      <c r="B50" s="52">
        <f>DATE(Year+1,2,21)-WEEKDAY(DATE(Year+1,2,21),3)</f>
        <v>39132</v>
      </c>
      <c r="C50" s="53" t="str">
        <f t="shared" si="0"/>
        <v>President's Day 2007</v>
      </c>
      <c r="D50" s="54"/>
    </row>
    <row r="51" spans="2:4" ht="15" hidden="1">
      <c r="B51" s="52">
        <f>DATE(Year+1,5,31)-WEEKDAY(DATE(Year+1,5,31),3)</f>
        <v>39230</v>
      </c>
      <c r="C51" s="53" t="str">
        <f t="shared" si="0"/>
        <v>Memorial Day 2007</v>
      </c>
      <c r="D51" s="54"/>
    </row>
    <row r="52" spans="2:4" ht="15" hidden="1">
      <c r="B52" s="52">
        <f>DATE(Year+1,7,4)+IF(WEEKDAY(DATE(Year+1,7,4),2)&lt;6,0,IF(WEEKDAY(DATE(Year+1,7,4),2)=6,-1,1))</f>
        <v>39267</v>
      </c>
      <c r="C52" s="53" t="str">
        <f t="shared" si="0"/>
        <v>Independence Day 2007</v>
      </c>
      <c r="D52" s="54"/>
    </row>
    <row r="53" spans="2:4" ht="15" hidden="1">
      <c r="B53" s="52">
        <f>DATE(Year+1,9,7)-WEEKDAY(DATE(Year+1,9,7),3)</f>
        <v>39328</v>
      </c>
      <c r="C53" s="53" t="str">
        <f t="shared" si="0"/>
        <v>Labor Day 2007</v>
      </c>
      <c r="D53" s="54"/>
    </row>
    <row r="54" spans="2:4" ht="15" hidden="1">
      <c r="B54" s="52">
        <f>DATE(Year+1,10,14)-WEEKDAY(DATE(Year+1,10,14),3)</f>
        <v>39363</v>
      </c>
      <c r="C54" s="53" t="str">
        <f t="shared" si="0"/>
        <v>Columbus Day 2007</v>
      </c>
      <c r="D54" s="54"/>
    </row>
    <row r="55" spans="2:4" ht="15" hidden="1">
      <c r="B55" s="52">
        <f>DATE(Year+1,11,11)+IF(WEEKDAY(DATE(Year+1,11,11),2)&lt;6,0,IF(WEEKDAY(DATE(Year+1,11,11),2)=6,-1,1))</f>
        <v>39398</v>
      </c>
      <c r="C55" s="53" t="str">
        <f t="shared" si="0"/>
        <v>Veteran's Day 2007</v>
      </c>
      <c r="D55" s="54"/>
    </row>
    <row r="56" spans="2:4" ht="15" hidden="1">
      <c r="B56" s="52">
        <f>DATE(Year+1,11,28)-WEEKDAY(DATE(Year+1,11,25),3)</f>
        <v>39408</v>
      </c>
      <c r="C56" s="53" t="str">
        <f t="shared" si="0"/>
        <v>Thanksgiving 2007</v>
      </c>
      <c r="D56" s="54"/>
    </row>
    <row r="57" spans="2:4" ht="15" hidden="1">
      <c r="B57" s="52">
        <f>DATE(Year+1,12,25)+IF(WEEKDAY(DATE(Year+1,12,25),2)&lt;6,0,IF(WEEKDAY(DATE(Year+1,12,25),2)=6,-1,1))</f>
        <v>39441</v>
      </c>
      <c r="C57" s="53" t="str">
        <f t="shared" si="0"/>
        <v>Christmas 2007</v>
      </c>
      <c r="D57" s="54"/>
    </row>
    <row r="58" spans="2:4" ht="15" hidden="1">
      <c r="B58" s="52">
        <f>DATE(Year+2,1,1)+IF(WEEKDAY(DATE(Year+2,1,1),2)&lt;6,0,IF(WEEKDAY(DATE(Year+2,1,1),2)=6,-1,1))</f>
        <v>39448</v>
      </c>
      <c r="C58" s="53" t="str">
        <f>C38&amp;" "&amp;(Year+2)</f>
        <v>New Years Day 2008</v>
      </c>
      <c r="D58" s="54"/>
    </row>
    <row r="59" spans="2:4" ht="15" hidden="1">
      <c r="B59" s="56">
        <f>DATE(Year+2,1,21)-WEEKDAY(DATE(Year+2,1,21),3)</f>
        <v>39468</v>
      </c>
      <c r="C59" s="57" t="str">
        <f>C39&amp;" "&amp;(Year+2)</f>
        <v>Martin Luther King Day 2008</v>
      </c>
      <c r="D59" s="58"/>
    </row>
  </sheetData>
  <sheetProtection sheet="1" objects="1" scenarios="1" selectLockedCells="1"/>
  <mergeCells count="7">
    <mergeCell ref="B33:G33"/>
    <mergeCell ref="B34:G34"/>
    <mergeCell ref="B3:G3"/>
    <mergeCell ref="B2:G2"/>
    <mergeCell ref="B31:G31"/>
    <mergeCell ref="B32:G32"/>
    <mergeCell ref="B4:G4"/>
  </mergeCells>
  <conditionalFormatting sqref="B38:B59">
    <cfRule type="cellIs" priority="1" dxfId="0" operator="lessThan" stopIfTrue="1">
      <formula>TODAY()</formula>
    </cfRule>
  </conditionalFormatting>
  <conditionalFormatting sqref="C38:C59">
    <cfRule type="expression" priority="2" dxfId="0" stopIfTrue="1">
      <formula>B38&lt;TODAY()</formula>
    </cfRule>
  </conditionalFormatting>
  <conditionalFormatting sqref="D15 J8">
    <cfRule type="cellIs" priority="3" dxfId="1" operator="between" stopIfTrue="1">
      <formula>$I$14</formula>
      <formula>$J$14</formula>
    </cfRule>
  </conditionalFormatting>
  <conditionalFormatting sqref="F16 F19 F13 F22 F10 F7">
    <cfRule type="expression" priority="4" dxfId="2" stopIfTrue="1">
      <formula>F6&lt;&gt;H6</formula>
    </cfRule>
    <cfRule type="expression" priority="5" dxfId="3" stopIfTrue="1">
      <formula>D6-D9&lt;&gt;F6</formula>
    </cfRule>
  </conditionalFormatting>
  <conditionalFormatting sqref="B33:G33">
    <cfRule type="expression" priority="6" dxfId="1" stopIfTrue="1">
      <formula>AND($D$15&gt;=$I$14,$D$15&lt;=$J$14)</formula>
    </cfRule>
  </conditionalFormatting>
  <conditionalFormatting sqref="F14 F11 F8">
    <cfRule type="expression" priority="7" dxfId="2" stopIfTrue="1">
      <formula>F6&lt;&gt;H7</formula>
    </cfRule>
    <cfRule type="expression" priority="8" dxfId="3" stopIfTrue="1">
      <formula>D7-D13&lt;&gt;F6</formula>
    </cfRule>
  </conditionalFormatting>
  <dataValidations count="1">
    <dataValidation type="list" allowBlank="1" showInputMessage="1" showErrorMessage="1" sqref="D25">
      <formula1>"Yes, No"</formula1>
    </dataValidation>
  </dataValidations>
  <printOptions horizontalCentered="1"/>
  <pageMargins left="0.75" right="0.75" top="0.75" bottom="0.75" header="0.5" footer="0.5"/>
  <pageSetup horizontalDpi="300" verticalDpi="3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PS&amp;E to NTP Calculator</dc:title>
  <dc:subject>Scheduling tools</dc:subject>
  <dc:creator>Elizabeth Firestone</dc:creator>
  <cp:keywords/>
  <dc:description/>
  <cp:lastModifiedBy>Stephen Chapman</cp:lastModifiedBy>
  <cp:lastPrinted>2006-11-08T22:06:06Z</cp:lastPrinted>
  <dcterms:created xsi:type="dcterms:W3CDTF">2005-07-08T14:02:10Z</dcterms:created>
  <dcterms:modified xsi:type="dcterms:W3CDTF">2006-11-08T22:47:19Z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