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7395" firstSheet="5" activeTab="6"/>
  </bookViews>
  <sheets>
    <sheet name="APEX Chart" sheetId="1" r:id="rId1"/>
    <sheet name="% nPB Exposure Data by Category" sheetId="2" r:id="rId2"/>
    <sheet name="# nPB Personal Samples" sheetId="3" r:id="rId3"/>
    <sheet name="% Exposure Data by End Use" sheetId="4" r:id="rId4"/>
    <sheet name="Summary" sheetId="5" r:id="rId5"/>
    <sheet name="Alb degre personal" sheetId="6" r:id="rId6"/>
    <sheet name="Vapor Degreasing" sheetId="7" r:id="rId7"/>
    <sheet name="Cold Cleaning, Handwipe" sheetId="8" r:id="rId8"/>
    <sheet name="Aerosols" sheetId="9" r:id="rId9"/>
    <sheet name="Adhesives" sheetId="10" r:id="rId10"/>
  </sheets>
  <definedNames/>
  <calcPr fullCalcOnLoad="1"/>
</workbook>
</file>

<file path=xl/sharedStrings.xml><?xml version="1.0" encoding="utf-8"?>
<sst xmlns="http://schemas.openxmlformats.org/spreadsheetml/2006/main" count="1226" uniqueCount="465">
  <si>
    <t>Low</t>
  </si>
  <si>
    <t>High</t>
  </si>
  <si>
    <t>Vapor Defluxer</t>
  </si>
  <si>
    <t>Hand Wipe</t>
  </si>
  <si>
    <t>Aerosol</t>
  </si>
  <si>
    <t>Adhesive</t>
  </si>
  <si>
    <t>Exposure Data for nPB</t>
  </si>
  <si>
    <t>Average With Controls</t>
  </si>
  <si>
    <t>Average, No Controls</t>
  </si>
  <si>
    <t>HETA 2000-0410-2891</t>
  </si>
  <si>
    <t>Aug, 2002 report</t>
  </si>
  <si>
    <t>Exposure</t>
  </si>
  <si>
    <t>Station#</t>
  </si>
  <si>
    <t>Date</t>
  </si>
  <si>
    <t>ppm nPB</t>
  </si>
  <si>
    <t>ppm iPB</t>
  </si>
  <si>
    <t>Average, 7/31-8/2</t>
  </si>
  <si>
    <t>Average overall</t>
  </si>
  <si>
    <t>Standard Deviation overall</t>
  </si>
  <si>
    <t>Adhesives Exposure Data</t>
  </si>
  <si>
    <t>STN Cushion after improving ventilation equipment</t>
  </si>
  <si>
    <t>7/31/2001-8/2/2001</t>
  </si>
  <si>
    <t>Source:</t>
  </si>
  <si>
    <t>HETA 98-0153</t>
  </si>
  <si>
    <t>12/21/2000 letter</t>
  </si>
  <si>
    <t>Job Title</t>
  </si>
  <si>
    <t>Department</t>
  </si>
  <si>
    <t>Assembler</t>
  </si>
  <si>
    <t>Assembly</t>
  </si>
  <si>
    <t>Sprayer</t>
  </si>
  <si>
    <t>Foreman</t>
  </si>
  <si>
    <t>Covers</t>
  </si>
  <si>
    <t>Sew</t>
  </si>
  <si>
    <t>&lt;0.01</t>
  </si>
  <si>
    <t>Operator</t>
  </si>
  <si>
    <t>Saw</t>
  </si>
  <si>
    <t>Average Overall</t>
  </si>
  <si>
    <t>Average for Sprayers</t>
  </si>
  <si>
    <t>Average for Assemblers</t>
  </si>
  <si>
    <t>Average for Saw Operators</t>
  </si>
  <si>
    <t>Average for Assembly Dept.</t>
  </si>
  <si>
    <t>Average for Covers Dept.</t>
  </si>
  <si>
    <t>Average for Saw Dept.</t>
  </si>
  <si>
    <t>Standard Deviation Overall</t>
  </si>
  <si>
    <t>Standard Deviation for Sprayers</t>
  </si>
  <si>
    <t>Standard Deviation for Assemblers</t>
  </si>
  <si>
    <t>Standard Deviation for Saw Operators</t>
  </si>
  <si>
    <t>Standard Deviation for Assembly Dept.</t>
  </si>
  <si>
    <t>Standard Deviation for Covers Dept.</t>
  </si>
  <si>
    <t>Standard Deviation for Saw Dept.</t>
  </si>
  <si>
    <t>11/14/2000 measurements</t>
  </si>
  <si>
    <t>Custom Products, after improving ventilation</t>
  </si>
  <si>
    <t>HETA 2000-0410</t>
  </si>
  <si>
    <t>3/7/2001 letter</t>
  </si>
  <si>
    <t>Fabrication</t>
  </si>
  <si>
    <t>Part Time</t>
  </si>
  <si>
    <t>Floater</t>
  </si>
  <si>
    <t>Average for sprayers</t>
  </si>
  <si>
    <t>Average for "part time"</t>
  </si>
  <si>
    <t>Average for Floaters</t>
  </si>
  <si>
    <t>Standard Deviation for sprayers</t>
  </si>
  <si>
    <t>Standard Deviation for "part time"</t>
  </si>
  <si>
    <t>Standard Deviation for Floaters</t>
  </si>
  <si>
    <t>STN Cushion before improving ventilation</t>
  </si>
  <si>
    <t>Sample Method</t>
  </si>
  <si>
    <t>Sample Location</t>
  </si>
  <si>
    <t>nPB (ppm)</t>
  </si>
  <si>
    <t>3M Organic Vapor Monitor #3500</t>
  </si>
  <si>
    <t>Operator Collar</t>
  </si>
  <si>
    <t>&lt;0.054</t>
  </si>
  <si>
    <t>Operator collar</t>
  </si>
  <si>
    <t>hanging in air above machine</t>
  </si>
  <si>
    <t>Hanging over degreaser</t>
  </si>
  <si>
    <t>operator collar</t>
  </si>
  <si>
    <t>on 28" tall table 3' from degreaser</t>
  </si>
  <si>
    <t>20 feet from equipment, head level</t>
  </si>
  <si>
    <t>6 feet from equipment, head level</t>
  </si>
  <si>
    <t>on vapor degreaser near opening</t>
  </si>
  <si>
    <t>Operator collar using CPN-217-127-M</t>
  </si>
  <si>
    <t>hanging in air, head level above machine</t>
  </si>
  <si>
    <t>on table, three freet from cleaning room door</t>
  </si>
  <si>
    <t>On post, head level within three feet of machine</t>
  </si>
  <si>
    <t>Within three feet of machine at an elevation of five feet above floor</t>
  </si>
  <si>
    <t>Operator Collar using B-250-R-SP</t>
  </si>
  <si>
    <t xml:space="preserve">Downwind area of B-250-R-SP </t>
  </si>
  <si>
    <t xml:space="preserve">Downwind area of CPN-217-127-M </t>
  </si>
  <si>
    <t>&lt;0.03</t>
  </si>
  <si>
    <t>&lt;2.3ug</t>
  </si>
  <si>
    <t>Near vapor degreaser</t>
  </si>
  <si>
    <t>Unknown</t>
  </si>
  <si>
    <t>1 meter above machine opening</t>
  </si>
  <si>
    <t>Chem Lab - left</t>
  </si>
  <si>
    <t>30" above machine</t>
  </si>
  <si>
    <t>Near hood</t>
  </si>
  <si>
    <t>Operator #1 collar</t>
  </si>
  <si>
    <t>Operator #2 collar</t>
  </si>
  <si>
    <t>Charcoal Tube, Method 1003, Issue 2, NIOSH</t>
  </si>
  <si>
    <t>Workstation next to Branson BTC-200</t>
  </si>
  <si>
    <t>Unmanned grinding machine area</t>
  </si>
  <si>
    <t>18" above lip of machine</t>
  </si>
  <si>
    <t>Beside tank - 610 side</t>
  </si>
  <si>
    <t>Operator collar during machine fill</t>
  </si>
  <si>
    <t>Beside tank - FCB side</t>
  </si>
  <si>
    <t>Beside tank - clean room</t>
  </si>
  <si>
    <t xml:space="preserve">Freeboard extension </t>
  </si>
  <si>
    <t>Workstation outside cleaning room</t>
  </si>
  <si>
    <t>Inside cleaning room by cleaner</t>
  </si>
  <si>
    <t>Source:  Vendor A</t>
  </si>
  <si>
    <t>Source: Albemarle Corp.</t>
  </si>
  <si>
    <t>Vapor Degreasing Exposure Data</t>
  </si>
  <si>
    <t>Albemarle Corporation</t>
  </si>
  <si>
    <t>Samples are activated coconut shell charcoal tubes</t>
  </si>
  <si>
    <t>Sampling procedure in March 19, 1998 letter to Wil Monroe</t>
  </si>
  <si>
    <t>Concentration (ppm) 8 hr TWA</t>
  </si>
  <si>
    <t>Personal Sample # 1I (98-8121)</t>
  </si>
  <si>
    <t>Personal Sample #1H (98-8090, 98-8092)</t>
  </si>
  <si>
    <t>Personal Sample #2H (98-8091, 98-8093)</t>
  </si>
  <si>
    <t>Area Sample, Booth 1H (98-8094)</t>
  </si>
  <si>
    <t>Area Sample, Booth 2H (98-8095)</t>
  </si>
  <si>
    <t>Personal Sample # 2I (98-8118)</t>
  </si>
  <si>
    <t>Personal Sample # 3I (98-8116)</t>
  </si>
  <si>
    <t>Personal Sample # 4I (98-8120)</t>
  </si>
  <si>
    <t>Personal Sample # 1J (98-8112)</t>
  </si>
  <si>
    <t>Personal Sample # 2J (98-8123)</t>
  </si>
  <si>
    <t>Personal Sample # 3J (98-8124)</t>
  </si>
  <si>
    <t>Personal Sample # 4J (98-8125)</t>
  </si>
  <si>
    <t>Personal Sample # 5J (98-8126)</t>
  </si>
  <si>
    <t>Area Sample # 1K (98-8132)</t>
  </si>
  <si>
    <t>Personal Sample # 1K (98-8130)</t>
  </si>
  <si>
    <t>Personal Sample # 2K (98-8129)</t>
  </si>
  <si>
    <t>Personal Sample # 3K (98-8131)</t>
  </si>
  <si>
    <t>Personal Sample # 4K (98-8128)</t>
  </si>
  <si>
    <t>Site H - 5/98</t>
  </si>
  <si>
    <t>Site J - 6/98</t>
  </si>
  <si>
    <t>Site I - 6/98</t>
  </si>
  <si>
    <t>Site K - 6/98</t>
  </si>
  <si>
    <t>Area Sample 1A</t>
  </si>
  <si>
    <t>Site A - metal cleaning</t>
  </si>
  <si>
    <t>Site B - metal cleaning</t>
  </si>
  <si>
    <t>Personal Sample #1B</t>
  </si>
  <si>
    <t>Personal Sample #2B</t>
  </si>
  <si>
    <t>Area Sample 1B</t>
  </si>
  <si>
    <t>Area Sample 2B</t>
  </si>
  <si>
    <t>Site C - electronics cleaning</t>
  </si>
  <si>
    <t>Area Sample 1C</t>
  </si>
  <si>
    <t>Area Sample 2C</t>
  </si>
  <si>
    <t>Site D - metal cleaning</t>
  </si>
  <si>
    <t>Personal Sample #1D</t>
  </si>
  <si>
    <t>Area Sample 1D</t>
  </si>
  <si>
    <t>Site E  - metals cleaning</t>
  </si>
  <si>
    <t>Area samples--6 samples</t>
  </si>
  <si>
    <t>1 to 12 ppm</t>
  </si>
  <si>
    <t>Personal Samples--6 samples</t>
  </si>
  <si>
    <t>1 to 6 ppm</t>
  </si>
  <si>
    <t>Site F  - hand wipe plastic film</t>
  </si>
  <si>
    <t>Personal Samples--4 samples</t>
  </si>
  <si>
    <t>28 to 47 ppm</t>
  </si>
  <si>
    <t>Note:  samples for 6 to 10 minutes</t>
  </si>
  <si>
    <t>Personal sample w/high volume exhaust</t>
  </si>
  <si>
    <t>&lt; 1 ppm</t>
  </si>
  <si>
    <t>Note:  sample 90-120 minutes</t>
  </si>
  <si>
    <t>Site G  - metals cleaning</t>
  </si>
  <si>
    <t>Source:  HETA 2000-0233-2845</t>
  </si>
  <si>
    <t>Trilithic, Inc.</t>
  </si>
  <si>
    <t xml:space="preserve">nPB </t>
  </si>
  <si>
    <t>concentration (ppm)</t>
  </si>
  <si>
    <t>Components</t>
  </si>
  <si>
    <t>Tech Station I</t>
  </si>
  <si>
    <t>Custom Filters</t>
  </si>
  <si>
    <t>Filters</t>
  </si>
  <si>
    <t>Tunables</t>
  </si>
  <si>
    <t>Engineering Support</t>
  </si>
  <si>
    <t>Location for Personal Samples</t>
  </si>
  <si>
    <t>Location for Area Samples</t>
  </si>
  <si>
    <t>On exhaust duct above the degreaser</t>
  </si>
  <si>
    <t>On cart, 5 ft from degreaser</t>
  </si>
  <si>
    <t>5' from the degreaser room window</t>
  </si>
  <si>
    <t>Office next to degreaser room</t>
  </si>
  <si>
    <t>On cabinet, near degreaser room door</t>
  </si>
  <si>
    <t>on metal rack, near degreaser room door</t>
  </si>
  <si>
    <t>near the degreaser room window</t>
  </si>
  <si>
    <t>Air-tight cold cleaning machine</t>
  </si>
  <si>
    <t>Source: Vendor B</t>
  </si>
  <si>
    <t>Samples taken 5/8/98</t>
  </si>
  <si>
    <t>Aerosol exposure data</t>
  </si>
  <si>
    <t>Sample #</t>
  </si>
  <si>
    <t>5981-01</t>
  </si>
  <si>
    <t>Concentration (ppm)</t>
  </si>
  <si>
    <t>8 hr-TWA</t>
  </si>
  <si>
    <t>15 min STEL</t>
  </si>
  <si>
    <t>Sampling technique:  Charcoal Tube</t>
  </si>
  <si>
    <t>Job Description</t>
  </si>
  <si>
    <t>QC Technician</t>
  </si>
  <si>
    <t>Mechanic</t>
  </si>
  <si>
    <t>Maintenance Supervisor</t>
  </si>
  <si>
    <t>Inlet to Vent Fan</t>
  </si>
  <si>
    <t>Cleaning Area</t>
  </si>
  <si>
    <t>Left Middle of Shop</t>
  </si>
  <si>
    <t>Right Front of Shop</t>
  </si>
  <si>
    <t>5981-02</t>
  </si>
  <si>
    <t>5981-03</t>
  </si>
  <si>
    <t>5981-04</t>
  </si>
  <si>
    <t>5981-05</t>
  </si>
  <si>
    <t>5981-06</t>
  </si>
  <si>
    <t>5981-07</t>
  </si>
  <si>
    <t>5981-08</t>
  </si>
  <si>
    <t>5981-09</t>
  </si>
  <si>
    <t>5981-10</t>
  </si>
  <si>
    <t>5981-11</t>
  </si>
  <si>
    <t>5981-12</t>
  </si>
  <si>
    <t>5981-13</t>
  </si>
  <si>
    <t>5981-14</t>
  </si>
  <si>
    <t>5981-15</t>
  </si>
  <si>
    <t>5981-16</t>
  </si>
  <si>
    <t>Area Samples</t>
  </si>
  <si>
    <t>Average</t>
  </si>
  <si>
    <t>Median</t>
  </si>
  <si>
    <t>Standard Dev.</t>
  </si>
  <si>
    <t>8-hr TWA Personal Samples</t>
  </si>
  <si>
    <t>15 min STEL Personal Samples</t>
  </si>
  <si>
    <t>Albemarle Corp. Data</t>
  </si>
  <si>
    <t>Customer #7</t>
  </si>
  <si>
    <t>Spray cleaner (brakes cleaning)</t>
  </si>
  <si>
    <t># measurements</t>
  </si>
  <si>
    <t>Concentration range (ppm)</t>
  </si>
  <si>
    <t>Avg. Conc. (ppm)</t>
  </si>
  <si>
    <t>5 to 14</t>
  </si>
  <si>
    <t># of measurements</t>
  </si>
  <si>
    <t>Avg Conc. (ppm)</t>
  </si>
  <si>
    <t>Customer #3 - Spray adhesive</t>
  </si>
  <si>
    <t>Conc. Range (ppm)</t>
  </si>
  <si>
    <t>Customer #4 - Spray adhesive</t>
  </si>
  <si>
    <t>Customer #5 - Spray adhesive</t>
  </si>
  <si>
    <t>Customer #6 - Spray adhesive</t>
  </si>
  <si>
    <t>5.1 to 33.8</t>
  </si>
  <si>
    <t>13.9 to 68.9</t>
  </si>
  <si>
    <t>32.1 to 92.3</t>
  </si>
  <si>
    <t>17.4 to 42.8</t>
  </si>
  <si>
    <t>Customer #8 - Flooring contact adhesive</t>
  </si>
  <si>
    <t>24 to 43</t>
  </si>
  <si>
    <t>(area measure of 34 ppm, overnight)</t>
  </si>
  <si>
    <t>Customer #1</t>
  </si>
  <si>
    <t>Customer #2</t>
  </si>
  <si>
    <t>51.1 to 107.9</t>
  </si>
  <si>
    <t>67.1 to 92.2</t>
  </si>
  <si>
    <t>Standard Dev</t>
  </si>
  <si>
    <t>Personal Samples</t>
  </si>
  <si>
    <t>Max</t>
  </si>
  <si>
    <t>Min</t>
  </si>
  <si>
    <t>Area Samples after Ventilation</t>
  </si>
  <si>
    <t>Personal Samples after Ventilation</t>
  </si>
  <si>
    <t>Values used in APEX Presentation</t>
  </si>
  <si>
    <t>8 hr TWA Concentrations, Personal Monitors</t>
  </si>
  <si>
    <t>Average, All</t>
  </si>
  <si>
    <t>A</t>
  </si>
  <si>
    <t>Initial Concentration (ppm, 8 hr TWA)</t>
  </si>
  <si>
    <t>Concentration after Assistance (ppm, 8 hr TWA)</t>
  </si>
  <si>
    <t>B</t>
  </si>
  <si>
    <t>C</t>
  </si>
  <si>
    <t>Source: Albemarle Corp. (Docket X-B-57)</t>
  </si>
  <si>
    <t>Source: Docket ID II-D-78</t>
  </si>
  <si>
    <t>Albemarle--"Before" and "After" Stewardship (Not in averages for end use)</t>
  </si>
  <si>
    <t>Albemarle Data on Personal Monitoring (Vapor Degreasing)</t>
  </si>
  <si>
    <t>Source:  Docket ID II-D-78</t>
  </si>
  <si>
    <t>Number of samples</t>
  </si>
  <si>
    <t>Percentage of samples in range</t>
  </si>
  <si>
    <t>1 to 5</t>
  </si>
  <si>
    <t>6 to 10</t>
  </si>
  <si>
    <t>11 to 15</t>
  </si>
  <si>
    <t>16 to 20</t>
  </si>
  <si>
    <t>High end of Concentration Range (ppm)</t>
  </si>
  <si>
    <t>Low end of Concentration Range (ppm)</t>
  </si>
  <si>
    <t>Concentration Range</t>
  </si>
  <si>
    <t>&lt;1</t>
  </si>
  <si>
    <t>21 to 25</t>
  </si>
  <si>
    <t>&gt;25</t>
  </si>
  <si>
    <t>Total</t>
  </si>
  <si>
    <t>Number of Samples Averaged</t>
  </si>
  <si>
    <t>(Full shift)</t>
  </si>
  <si>
    <t>5/26/1999 letter</t>
  </si>
  <si>
    <t>11/10-12/1998 measurements</t>
  </si>
  <si>
    <t>Custom Products, before improving ventilation</t>
  </si>
  <si>
    <t>Sprayers</t>
  </si>
  <si>
    <t>Exposure, ppm of nPB</t>
  </si>
  <si>
    <t>Mean</t>
  </si>
  <si>
    <t>Minimum</t>
  </si>
  <si>
    <t>Maximum</t>
  </si>
  <si>
    <t>Assemblers</t>
  </si>
  <si>
    <t>All Exposure Data</t>
  </si>
  <si>
    <t>Saw Operator</t>
  </si>
  <si>
    <t># of Samples</t>
  </si>
  <si>
    <t>With Custom Products pre-ventilation data added</t>
  </si>
  <si>
    <t>HETA 99-0260</t>
  </si>
  <si>
    <t>2/1/2000 letter</t>
  </si>
  <si>
    <t>Marx Industries, before improving ventilation</t>
  </si>
  <si>
    <t>Location</t>
  </si>
  <si>
    <t>Glue Line</t>
  </si>
  <si>
    <t>Adhesive Sprayer</t>
  </si>
  <si>
    <t>Doffer</t>
  </si>
  <si>
    <t>Supervisor</t>
  </si>
  <si>
    <t>Springs Line</t>
  </si>
  <si>
    <t>Foam Set-up</t>
  </si>
  <si>
    <t>Area Air Sample</t>
  </si>
  <si>
    <t>Focus Saw Area-Near Spring Line</t>
  </si>
  <si>
    <t>Cutting Area--Near Glue Line</t>
  </si>
  <si>
    <t>INVALID</t>
  </si>
  <si>
    <t>Average for Adh Sprayers</t>
  </si>
  <si>
    <t>Average for Doffers</t>
  </si>
  <si>
    <t>Average for Glue Line</t>
  </si>
  <si>
    <t>Average for Springs Line</t>
  </si>
  <si>
    <t>Standard Deviation for Adh Sprayers</t>
  </si>
  <si>
    <t>Standard Deviation for Doffers</t>
  </si>
  <si>
    <t>Standard Deviation for Glue Line</t>
  </si>
  <si>
    <t>Standard Deviation for Springs Line</t>
  </si>
  <si>
    <t>Average Personal Samplers Overall</t>
  </si>
  <si>
    <t>Standard Deviation Personal Samplers Overall</t>
  </si>
  <si>
    <t>Average for Area Samples</t>
  </si>
  <si>
    <t>Standard Deviation for Area Samples</t>
  </si>
  <si>
    <t>Updated Values, 5/14/03</t>
  </si>
  <si>
    <t>Lowest individual sample</t>
  </si>
  <si>
    <t>Highest individual sample</t>
  </si>
  <si>
    <t>Average, after ventilation</t>
  </si>
  <si>
    <t>Average, All personal samples</t>
  </si>
  <si>
    <t>Average, all personal samples</t>
  </si>
  <si>
    <t>Sample type:  Charcoal tube</t>
  </si>
  <si>
    <t>All NIOSH samplers are SKC Anasorb CSC Lot 2000 Charcoal tubes</t>
  </si>
  <si>
    <t>Personal Samples w/Charcoal Tube</t>
  </si>
  <si>
    <t>Personal Samples with Organic Badge Monitors</t>
  </si>
  <si>
    <t>Summary of Personal Sample Data</t>
  </si>
  <si>
    <t>Vapor Deg (8 charcoal samplers)</t>
  </si>
  <si>
    <t>Vapor Deg (81 organic badges)</t>
  </si>
  <si>
    <t>Average, after vent/contr</t>
  </si>
  <si>
    <t>Hand Wipe (8 charcoal samplers)</t>
  </si>
  <si>
    <t>Aerosol (8 charcoal samplers)</t>
  </si>
  <si>
    <t>Adhesive (164 charcoal samplers)</t>
  </si>
  <si>
    <t>Vapor Deg (xx samples)</t>
  </si>
  <si>
    <t>Hand Wipe (x samples)</t>
  </si>
  <si>
    <t>Aerosol (x samples)</t>
  </si>
  <si>
    <t>Adhesive (xxx samples)</t>
  </si>
  <si>
    <t># of samples</t>
  </si>
  <si>
    <t>26 to 30</t>
  </si>
  <si>
    <t>31 to 40</t>
  </si>
  <si>
    <t>41 to 50</t>
  </si>
  <si>
    <t>51 to 60</t>
  </si>
  <si>
    <t>61 to 70</t>
  </si>
  <si>
    <t>71 to 80</t>
  </si>
  <si>
    <t>81 to 90</t>
  </si>
  <si>
    <t>91 to 100</t>
  </si>
  <si>
    <t>100 to 125</t>
  </si>
  <si>
    <t>126 to 150</t>
  </si>
  <si>
    <t>151 to 175</t>
  </si>
  <si>
    <t>176 to 200</t>
  </si>
  <si>
    <t>201 to 250</t>
  </si>
  <si>
    <t>251 to 300</t>
  </si>
  <si>
    <t>&gt;300</t>
  </si>
  <si>
    <t>TOTAL</t>
  </si>
  <si>
    <t>Distribution of nPB Exposure by Concentration Range (ppm)</t>
  </si>
  <si>
    <t>Distribution of nPB Exposure After Improving Ventilation (ppm)</t>
  </si>
  <si>
    <t>Distribution of nPB Exposure Before Improving Ventilation (ppm)</t>
  </si>
  <si>
    <t>Distribution, as % of all samples</t>
  </si>
  <si>
    <t>Percentage of all samples, before ventilation</t>
  </si>
  <si>
    <t>Percentage of all samples, after ventilation</t>
  </si>
  <si>
    <t>?</t>
  </si>
  <si>
    <t>PERSONAL SAMPLES</t>
  </si>
  <si>
    <t>15-min STEL, Personal Samples</t>
  </si>
  <si>
    <t>1 to 50</t>
  </si>
  <si>
    <t>51 to 100</t>
  </si>
  <si>
    <t>101 to 150</t>
  </si>
  <si>
    <t>151 to 200</t>
  </si>
  <si>
    <t>Distribution for Personal Sample Data from Vendor A</t>
  </si>
  <si>
    <t>&gt;100</t>
  </si>
  <si>
    <t>Percentage of Vendor A Samples in Range</t>
  </si>
  <si>
    <t>Distribution for Personal Sample Data from Albemarle</t>
  </si>
  <si>
    <t>Distribution for Personal Sample Data from Vendor A and Albemarle</t>
  </si>
  <si>
    <t>Percentage of Samples in Range</t>
  </si>
  <si>
    <t>Number of Samples</t>
  </si>
  <si>
    <t>&gt; 25</t>
  </si>
  <si>
    <t>Vapor Degreasing</t>
  </si>
  <si>
    <t>Concentration, 8 Hr TWA (ppm)</t>
  </si>
  <si>
    <t>Aerosols</t>
  </si>
  <si>
    <t>Adhesives (Before Ventilation)</t>
  </si>
  <si>
    <t>Adhesives (After Ventilation)</t>
  </si>
  <si>
    <t>SITE B</t>
  </si>
  <si>
    <t xml:space="preserve">Site C </t>
  </si>
  <si>
    <t>Personal Sample 3C</t>
  </si>
  <si>
    <t xml:space="preserve">Area Sample 3C </t>
  </si>
  <si>
    <t xml:space="preserve">Area Sample 4C </t>
  </si>
  <si>
    <t>Personal Sample 4C</t>
  </si>
  <si>
    <t>Site D</t>
  </si>
  <si>
    <t xml:space="preserve">Area Sample 2D </t>
  </si>
  <si>
    <t xml:space="preserve">Area Sample 3D </t>
  </si>
  <si>
    <t xml:space="preserve">Area Sample 4D </t>
  </si>
  <si>
    <t xml:space="preserve">Area Sample 5D </t>
  </si>
  <si>
    <t>Site E</t>
  </si>
  <si>
    <t>Personal Sample 1E</t>
  </si>
  <si>
    <t>Personal Sample 2E</t>
  </si>
  <si>
    <t>Personal Sample 3E</t>
  </si>
  <si>
    <t>Personal Sample 4E</t>
  </si>
  <si>
    <t>Personal Sample 5E</t>
  </si>
  <si>
    <t>Personal Sample 6E</t>
  </si>
  <si>
    <t>Source: Albemarle Corp, 5/16/03 Data Set</t>
  </si>
  <si>
    <t>Distribution for Personal Sample Data from Vendor A and Albemarle, as of 5/15/03</t>
  </si>
  <si>
    <t>Distribution of Exposure Data, % of Personal Samples in Use Category</t>
  </si>
  <si>
    <t>Distribution of Exposure Data, # of Personal Samples in Use Category</t>
  </si>
  <si>
    <t>All Adhesives</t>
  </si>
  <si>
    <t>Adhesives</t>
  </si>
  <si>
    <t>charcoal-tube samplers</t>
  </si>
  <si>
    <t>Note:  appears to be identical to other Site C data set</t>
  </si>
  <si>
    <t>Area sample 1G</t>
  </si>
  <si>
    <t>Area sample 2G</t>
  </si>
  <si>
    <t>Personal Sample 1G</t>
  </si>
  <si>
    <t>Personal Sample 2G</t>
  </si>
  <si>
    <t>Personal Samples 3G</t>
  </si>
  <si>
    <t>Note: Personal Samples 5B, 6B, 7B made "after improvements"</t>
  </si>
  <si>
    <t>Personal Sample 1Ecold</t>
  </si>
  <si>
    <t>Personal Sample 2Ecold</t>
  </si>
  <si>
    <t>Albemarle Site E--Coil Flushing applications</t>
  </si>
  <si>
    <t>Concentration, ppm</t>
  </si>
  <si>
    <t>Personal Sample 1Fcold</t>
  </si>
  <si>
    <t>Personal Sample 2Fcold</t>
  </si>
  <si>
    <t>Area Sample 1 Fcold</t>
  </si>
  <si>
    <t>Personal Sample 3Fcold</t>
  </si>
  <si>
    <t>Personal Sample 4Fcold</t>
  </si>
  <si>
    <t>Albemarle Site F - Plastic Film Wiping</t>
  </si>
  <si>
    <t>Personal Sample 3Ecold</t>
  </si>
  <si>
    <t>28&lt;x&lt;47</t>
  </si>
  <si>
    <t>Personal Sample 7E</t>
  </si>
  <si>
    <t>Personal Sample 1A</t>
  </si>
  <si>
    <t>Personal Sample 1B</t>
  </si>
  <si>
    <t>Personal Sample 1C</t>
  </si>
  <si>
    <t>Personal Sample 1D</t>
  </si>
  <si>
    <t>Personal Sample 3B</t>
  </si>
  <si>
    <t>Personal Sample 4B</t>
  </si>
  <si>
    <t>Personal Sample 5B</t>
  </si>
  <si>
    <t>Personal Sample 6B</t>
  </si>
  <si>
    <t>Personal Sample 7B</t>
  </si>
  <si>
    <t>Area Sample 3B</t>
  </si>
  <si>
    <t>Area Sample 4B</t>
  </si>
  <si>
    <t>Personal Sample 2C</t>
  </si>
  <si>
    <t>Note:  this is short term monitoring, for only 6 to 10 minutes</t>
  </si>
  <si>
    <t>Note: this is an area sample, 90 to 120 minutes with high volume exhaust</t>
  </si>
  <si>
    <t>Fraction of Samples in Range</t>
  </si>
  <si>
    <t>Fraction of aerosol samples in range</t>
  </si>
  <si>
    <t>Fraction of samples in range</t>
  </si>
  <si>
    <t>Average Personal Sample Value Before Improving Ventilation</t>
  </si>
  <si>
    <t>Custom Products</t>
  </si>
  <si>
    <t>Marx Industries</t>
  </si>
  <si>
    <t>STN Cushion Company</t>
  </si>
  <si>
    <t>All Three NIOSH Sites</t>
  </si>
  <si>
    <t># Samples</t>
  </si>
  <si>
    <t>Area Sample 5B</t>
  </si>
  <si>
    <t>Personal Sample 8E</t>
  </si>
  <si>
    <t>Personal Sample 9E</t>
  </si>
  <si>
    <t>Area Sample 1E</t>
  </si>
  <si>
    <t>Area Sample 2E</t>
  </si>
  <si>
    <t>Area Sample 3E</t>
  </si>
  <si>
    <t>Area Sample 4E</t>
  </si>
  <si>
    <t>Area Sample 5E</t>
  </si>
  <si>
    <t>Area Sample 6E</t>
  </si>
  <si>
    <t>Area Sample 1F</t>
  </si>
  <si>
    <t xml:space="preserve">Site F </t>
  </si>
  <si>
    <t>Personal Sample 1F</t>
  </si>
  <si>
    <t>Personal Sample 2F</t>
  </si>
  <si>
    <t>Personal Sample 3F</t>
  </si>
  <si>
    <t>Personal Sample 4F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</si>
</sst>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  <numFmt numFmtId="167" formatCode="0.0"/>
    <numFmt numFmtId="168" formatCode="_(* #,##0.0_);_(* \(#,##0.0\);_(* &quot;-&quot;??_);_(@_)"/>
    <numFmt numFmtId="169" formatCode="0.0%"/>
  </numFmts>
  <fonts count="11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8.75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168" fontId="0" fillId="0" borderId="0" xfId="15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 readingOrder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nPB Exposure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Vapor Defluxer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Summary!$B$3:$E$3</c:f>
              <c:strCache>
                <c:ptCount val="4"/>
                <c:pt idx="0">
                  <c:v>Low</c:v>
                </c:pt>
                <c:pt idx="1">
                  <c:v>Average With Controls</c:v>
                </c:pt>
                <c:pt idx="2">
                  <c:v>Average, No Controls</c:v>
                </c:pt>
                <c:pt idx="3">
                  <c:v>High</c:v>
                </c:pt>
              </c:strCache>
            </c:strRef>
          </c:cat>
          <c:val>
            <c:numRef>
              <c:f>Summary!$B$4:$E$4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90</c:v>
                </c:pt>
                <c:pt idx="3">
                  <c:v>170</c:v>
                </c:pt>
              </c:numCache>
            </c:numRef>
          </c:val>
        </c:ser>
        <c:ser>
          <c:idx val="1"/>
          <c:order val="1"/>
          <c:tx>
            <c:strRef>
              <c:f>Summary!$A$5</c:f>
              <c:strCache>
                <c:ptCount val="1"/>
                <c:pt idx="0">
                  <c:v>Hand Wipe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Summary!$B$3:$E$3</c:f>
              <c:strCache>
                <c:ptCount val="4"/>
                <c:pt idx="0">
                  <c:v>Low</c:v>
                </c:pt>
                <c:pt idx="1">
                  <c:v>Average With Controls</c:v>
                </c:pt>
                <c:pt idx="2">
                  <c:v>Average, No Controls</c:v>
                </c:pt>
                <c:pt idx="3">
                  <c:v>High</c:v>
                </c:pt>
              </c:strCache>
            </c:strRef>
          </c:cat>
          <c:val>
            <c:numRef>
              <c:f>Summary!$B$5:$E$5</c:f>
              <c:numCache>
                <c:ptCount val="4"/>
                <c:pt idx="0">
                  <c:v>28</c:v>
                </c:pt>
                <c:pt idx="2">
                  <c:v>80</c:v>
                </c:pt>
                <c:pt idx="3">
                  <c:v>108</c:v>
                </c:pt>
              </c:numCache>
            </c:numRef>
          </c:val>
        </c:ser>
        <c:ser>
          <c:idx val="2"/>
          <c:order val="2"/>
          <c:tx>
            <c:strRef>
              <c:f>Summary!$A$6</c:f>
              <c:strCache>
                <c:ptCount val="1"/>
                <c:pt idx="0">
                  <c:v>Aerosol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Summary!$B$3:$E$3</c:f>
              <c:strCache>
                <c:ptCount val="4"/>
                <c:pt idx="0">
                  <c:v>Low</c:v>
                </c:pt>
                <c:pt idx="1">
                  <c:v>Average With Controls</c:v>
                </c:pt>
                <c:pt idx="2">
                  <c:v>Average, No Controls</c:v>
                </c:pt>
                <c:pt idx="3">
                  <c:v>High</c:v>
                </c:pt>
              </c:strCache>
            </c:strRef>
          </c:cat>
          <c:val>
            <c:numRef>
              <c:f>Summary!$B$6:$E$6</c:f>
              <c:numCache>
                <c:ptCount val="4"/>
                <c:pt idx="0">
                  <c:v>5</c:v>
                </c:pt>
                <c:pt idx="1">
                  <c:v>9</c:v>
                </c:pt>
                <c:pt idx="2">
                  <c:v>94.6</c:v>
                </c:pt>
                <c:pt idx="3">
                  <c:v>254</c:v>
                </c:pt>
              </c:numCache>
            </c:numRef>
          </c:val>
        </c:ser>
        <c:ser>
          <c:idx val="3"/>
          <c:order val="3"/>
          <c:tx>
            <c:strRef>
              <c:f>Summary!$A$7</c:f>
              <c:strCache>
                <c:ptCount val="1"/>
                <c:pt idx="0">
                  <c:v>Adhesive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Summary!$B$3:$E$3</c:f>
              <c:strCache>
                <c:ptCount val="4"/>
                <c:pt idx="0">
                  <c:v>Low</c:v>
                </c:pt>
                <c:pt idx="1">
                  <c:v>Average With Controls</c:v>
                </c:pt>
                <c:pt idx="2">
                  <c:v>Average, No Controls</c:v>
                </c:pt>
                <c:pt idx="3">
                  <c:v>High</c:v>
                </c:pt>
              </c:strCache>
            </c:strRef>
          </c:cat>
          <c:val>
            <c:numRef>
              <c:f>Summary!$B$7:$E$7</c:f>
              <c:numCache>
                <c:ptCount val="4"/>
                <c:pt idx="0">
                  <c:v>2</c:v>
                </c:pt>
                <c:pt idx="1">
                  <c:v>19</c:v>
                </c:pt>
                <c:pt idx="2">
                  <c:v>58.5</c:v>
                </c:pt>
                <c:pt idx="3">
                  <c:v>381</c:v>
                </c:pt>
              </c:numCache>
            </c:numRef>
          </c:val>
        </c:ser>
        <c:axId val="19907930"/>
        <c:axId val="44953643"/>
      </c:barChart>
      <c:catAx>
        <c:axId val="1990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953643"/>
        <c:crosses val="autoZero"/>
        <c:auto val="1"/>
        <c:lblOffset val="100"/>
        <c:noMultiLvlLbl val="0"/>
      </c:catAx>
      <c:valAx>
        <c:axId val="4495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07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Vapor Degreasing Samples in Range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563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'Vapor Degreasing'!$G$137</c:f>
              <c:strCache>
                <c:ptCount val="1"/>
                <c:pt idx="0">
                  <c:v>Percentage of Vendor A Samples in 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'Vapor Degreasing'!$H$136:$U$136</c:f>
              <c:strCache>
                <c:ptCount val="14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</c:strCache>
            </c:strRef>
          </c:cat>
          <c:val>
            <c:numRef>
              <c:f>'Vapor Degreasing'!$H$137:$U$137</c:f>
              <c:numCache>
                <c:ptCount val="14"/>
                <c:pt idx="0">
                  <c:v>0.07692307692307693</c:v>
                </c:pt>
                <c:pt idx="1">
                  <c:v>0.26373626373626374</c:v>
                </c:pt>
                <c:pt idx="2">
                  <c:v>0.18681318681318682</c:v>
                </c:pt>
                <c:pt idx="3">
                  <c:v>0.0989010989010989</c:v>
                </c:pt>
                <c:pt idx="4">
                  <c:v>0.0989010989010989</c:v>
                </c:pt>
                <c:pt idx="5">
                  <c:v>0.06593406593406594</c:v>
                </c:pt>
                <c:pt idx="6">
                  <c:v>0.06593406593406594</c:v>
                </c:pt>
                <c:pt idx="7">
                  <c:v>0.04395604395604396</c:v>
                </c:pt>
                <c:pt idx="8">
                  <c:v>0.08791208791208792</c:v>
                </c:pt>
                <c:pt idx="9">
                  <c:v>0.01098901098901099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1736490"/>
        <c:axId val="18757499"/>
      </c:barChart>
      <c:catAx>
        <c:axId val="6173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757499"/>
        <c:crosses val="autoZero"/>
        <c:auto val="1"/>
        <c:lblOffset val="100"/>
        <c:noMultiLvlLbl val="0"/>
      </c:catAx>
      <c:valAx>
        <c:axId val="1875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Percentage of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3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nPB Exposure Data for Aerosol Solvent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Aerosols!$A$51</c:f>
              <c:strCache>
                <c:ptCount val="1"/>
                <c:pt idx="0">
                  <c:v>Fraction of aerosol samples in 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Aerosols!$B$50:$K$50</c:f>
              <c:strCache/>
            </c:strRef>
          </c:cat>
          <c:val>
            <c:numRef>
              <c:f>Aerosols!$B$51:$K$51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599764"/>
        <c:axId val="42962421"/>
      </c:barChart>
      <c:catAx>
        <c:axId val="3459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2421"/>
        <c:crosses val="autoZero"/>
        <c:auto val="1"/>
        <c:lblOffset val="100"/>
        <c:noMultiLvlLbl val="0"/>
      </c:catAx>
      <c:valAx>
        <c:axId val="42962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Aerosol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99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Short-Term nPB Exposure Data for Aerosol Solvent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Aerosols!$I$6</c:f>
              <c:strCache>
                <c:ptCount val="1"/>
                <c:pt idx="0">
                  <c:v>Fraction of samples in 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Aerosols!$J$5:$P$5</c:f>
              <c:strCache/>
            </c:strRef>
          </c:cat>
          <c:val>
            <c:numRef>
              <c:f>Aerosols!$J$6:$P$6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117470"/>
        <c:axId val="57404047"/>
      </c:barChart>
      <c:catAx>
        <c:axId val="51117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15-min Concentration,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04047"/>
        <c:crosses val="autoZero"/>
        <c:auto val="1"/>
        <c:lblOffset val="100"/>
        <c:noMultiLvlLbl val="0"/>
      </c:catAx>
      <c:valAx>
        <c:axId val="57404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17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nPB Exposure Data for Adhesives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Adhesives!$A$174</c:f>
              <c:strCache>
                <c:ptCount val="1"/>
                <c:pt idx="0">
                  <c:v>Percentage of all samples, after ventilation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Adhesives!$B$173:$U$173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Adhesives!$B$174:$U$174</c:f>
              <c:numCache>
                <c:ptCount val="20"/>
                <c:pt idx="0">
                  <c:v>0</c:v>
                </c:pt>
                <c:pt idx="1">
                  <c:v>0.08256880733944955</c:v>
                </c:pt>
                <c:pt idx="2">
                  <c:v>0.03669724770642202</c:v>
                </c:pt>
                <c:pt idx="3">
                  <c:v>0.11009174311926606</c:v>
                </c:pt>
                <c:pt idx="4">
                  <c:v>0.13761467889908258</c:v>
                </c:pt>
                <c:pt idx="5">
                  <c:v>0.08256880733944955</c:v>
                </c:pt>
                <c:pt idx="6">
                  <c:v>0.03669724770642202</c:v>
                </c:pt>
                <c:pt idx="7">
                  <c:v>0.06422018348623854</c:v>
                </c:pt>
                <c:pt idx="8">
                  <c:v>0.009174311926605505</c:v>
                </c:pt>
                <c:pt idx="9">
                  <c:v>0.01834862385321101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Adhesives!$A$175</c:f>
              <c:strCache>
                <c:ptCount val="1"/>
                <c:pt idx="0">
                  <c:v>Percentage of all samples, before ventilation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Adhesives!$B$173:$U$173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Adhesives!$B$175:$U$175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0.009174311926605505</c:v>
                </c:pt>
                <c:pt idx="3">
                  <c:v>0</c:v>
                </c:pt>
                <c:pt idx="4">
                  <c:v>0.027522935779816515</c:v>
                </c:pt>
                <c:pt idx="5">
                  <c:v>0.009174311926605505</c:v>
                </c:pt>
                <c:pt idx="6">
                  <c:v>0.01834862385321101</c:v>
                </c:pt>
                <c:pt idx="7">
                  <c:v>0.045871559633027525</c:v>
                </c:pt>
                <c:pt idx="8">
                  <c:v>0.07339449541284404</c:v>
                </c:pt>
                <c:pt idx="9">
                  <c:v>0.05504587155963303</c:v>
                </c:pt>
                <c:pt idx="10">
                  <c:v>0.027522935779816515</c:v>
                </c:pt>
                <c:pt idx="11">
                  <c:v>0.045871559633027525</c:v>
                </c:pt>
                <c:pt idx="12">
                  <c:v>0.027522935779816515</c:v>
                </c:pt>
                <c:pt idx="13">
                  <c:v>0.009174311926605505</c:v>
                </c:pt>
                <c:pt idx="14">
                  <c:v>0.03669724770642202</c:v>
                </c:pt>
                <c:pt idx="15">
                  <c:v>0.01834862385321101</c:v>
                </c:pt>
                <c:pt idx="16">
                  <c:v>0.009174311926605505</c:v>
                </c:pt>
                <c:pt idx="17">
                  <c:v>0</c:v>
                </c:pt>
                <c:pt idx="18">
                  <c:v>0</c:v>
                </c:pt>
                <c:pt idx="19">
                  <c:v>0.009174311926605505</c:v>
                </c:pt>
              </c:numCache>
            </c:numRef>
          </c:val>
        </c:ser>
        <c:axId val="46874376"/>
        <c:axId val="19216201"/>
      </c:barChart>
      <c:catAx>
        <c:axId val="46874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16201"/>
        <c:crosses val="autoZero"/>
        <c:auto val="1"/>
        <c:lblOffset val="100"/>
        <c:noMultiLvlLbl val="0"/>
      </c:catAx>
      <c:valAx>
        <c:axId val="1921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4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nPB Exposure Data by End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Summary!$A$28</c:f>
              <c:strCache>
                <c:ptCount val="1"/>
                <c:pt idx="0">
                  <c:v>Vapor Degreasing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Summary!$B$27:$U$27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Summary!$B$28:$U$28</c:f>
              <c:numCache>
                <c:ptCount val="20"/>
                <c:pt idx="0">
                  <c:v>0.23061630218687873</c:v>
                </c:pt>
                <c:pt idx="1">
                  <c:v>0.3240556660039761</c:v>
                </c:pt>
                <c:pt idx="2">
                  <c:v>0.14314115308151093</c:v>
                </c:pt>
                <c:pt idx="3">
                  <c:v>0.06958250497017893</c:v>
                </c:pt>
                <c:pt idx="4">
                  <c:v>0.06560636182902585</c:v>
                </c:pt>
                <c:pt idx="5">
                  <c:v>0.039761431411530816</c:v>
                </c:pt>
              </c:numCache>
            </c:numRef>
          </c:val>
        </c:ser>
        <c:ser>
          <c:idx val="1"/>
          <c:order val="1"/>
          <c:tx>
            <c:strRef>
              <c:f>Summary!$A$29</c:f>
              <c:strCache>
                <c:ptCount val="1"/>
                <c:pt idx="0">
                  <c:v>Aerosols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Summary!$B$27:$U$27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Summary!$B$29:$U$29</c:f>
              <c:numCache>
                <c:ptCount val="2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0.125</c:v>
                </c:pt>
                <c:pt idx="5">
                  <c:v>0</c:v>
                </c:pt>
                <c:pt idx="6">
                  <c:v>0.125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Summary!$A$30</c:f>
              <c:strCache>
                <c:ptCount val="1"/>
                <c:pt idx="0">
                  <c:v>Adhesives (Before Ventilation)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Summary!$B$27:$U$27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Summary!$B$30:$U$30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0.021739130434782608</c:v>
                </c:pt>
                <c:pt idx="3">
                  <c:v>0</c:v>
                </c:pt>
                <c:pt idx="4">
                  <c:v>0.06521739130434782</c:v>
                </c:pt>
                <c:pt idx="5">
                  <c:v>0.021739130434782608</c:v>
                </c:pt>
                <c:pt idx="6">
                  <c:v>0.043478260869565216</c:v>
                </c:pt>
                <c:pt idx="7">
                  <c:v>0.10869565217391304</c:v>
                </c:pt>
                <c:pt idx="8">
                  <c:v>0.17391304347826086</c:v>
                </c:pt>
                <c:pt idx="9">
                  <c:v>0.13043478260869565</c:v>
                </c:pt>
                <c:pt idx="10">
                  <c:v>0.06521739130434782</c:v>
                </c:pt>
                <c:pt idx="11">
                  <c:v>0.10869565217391304</c:v>
                </c:pt>
                <c:pt idx="12">
                  <c:v>0.06521739130434782</c:v>
                </c:pt>
                <c:pt idx="13">
                  <c:v>0.021739130434782608</c:v>
                </c:pt>
                <c:pt idx="14">
                  <c:v>0.08695652173913043</c:v>
                </c:pt>
                <c:pt idx="15">
                  <c:v>0.043478260869565216</c:v>
                </c:pt>
                <c:pt idx="16">
                  <c:v>0.021739130434782608</c:v>
                </c:pt>
                <c:pt idx="17">
                  <c:v>0</c:v>
                </c:pt>
                <c:pt idx="18">
                  <c:v>0</c:v>
                </c:pt>
                <c:pt idx="19">
                  <c:v>0.021739130434782608</c:v>
                </c:pt>
              </c:numCache>
            </c:numRef>
          </c:val>
        </c:ser>
        <c:ser>
          <c:idx val="3"/>
          <c:order val="3"/>
          <c:tx>
            <c:strRef>
              <c:f>Summary!$A$31</c:f>
              <c:strCache>
                <c:ptCount val="1"/>
                <c:pt idx="0">
                  <c:v>Adhesives (After Ventilation)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Summary!$B$27:$U$27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Summary!$B$31:$U$31</c:f>
              <c:numCache>
                <c:ptCount val="20"/>
                <c:pt idx="0">
                  <c:v>0</c:v>
                </c:pt>
                <c:pt idx="1">
                  <c:v>0.14285714285714285</c:v>
                </c:pt>
                <c:pt idx="2">
                  <c:v>0.06349206349206349</c:v>
                </c:pt>
                <c:pt idx="3">
                  <c:v>0.19047619047619047</c:v>
                </c:pt>
                <c:pt idx="4">
                  <c:v>0.23809523809523808</c:v>
                </c:pt>
                <c:pt idx="5">
                  <c:v>0.14285714285714285</c:v>
                </c:pt>
                <c:pt idx="6">
                  <c:v>0.06349206349206349</c:v>
                </c:pt>
                <c:pt idx="7">
                  <c:v>0.1111111111111111</c:v>
                </c:pt>
                <c:pt idx="8">
                  <c:v>0.015873015873015872</c:v>
                </c:pt>
                <c:pt idx="9">
                  <c:v>0.031746031746031744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929604"/>
        <c:axId val="17366437"/>
      </c:barChart>
      <c:catAx>
        <c:axId val="1929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6437"/>
        <c:crosses val="autoZero"/>
        <c:auto val="1"/>
        <c:lblOffset val="100"/>
        <c:noMultiLvlLbl val="0"/>
      </c:catAx>
      <c:valAx>
        <c:axId val="17366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Personal Samples in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nPB Exposure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Vapor Degreasing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Summary!$B$35:$V$35</c:f>
              <c:strCache>
                <c:ptCount val="21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  <c:pt idx="20">
                  <c:v>&gt;300</c:v>
                </c:pt>
              </c:strCache>
            </c:strRef>
          </c:cat>
          <c:val>
            <c:numRef>
              <c:f>Summary!$B$36:$V$36</c:f>
              <c:numCache>
                <c:ptCount val="21"/>
                <c:pt idx="0">
                  <c:v>116</c:v>
                </c:pt>
                <c:pt idx="1">
                  <c:v>163</c:v>
                </c:pt>
                <c:pt idx="2">
                  <c:v>72</c:v>
                </c:pt>
                <c:pt idx="3">
                  <c:v>35</c:v>
                </c:pt>
                <c:pt idx="4">
                  <c:v>33</c:v>
                </c:pt>
                <c:pt idx="5">
                  <c:v>20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Summary!$A$37</c:f>
              <c:strCache>
                <c:ptCount val="1"/>
                <c:pt idx="0">
                  <c:v>Aerosols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Summary!$B$35:$V$35</c:f>
              <c:strCache>
                <c:ptCount val="21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  <c:pt idx="20">
                  <c:v>&gt;300</c:v>
                </c:pt>
              </c:strCache>
            </c:strRef>
          </c:cat>
          <c:val>
            <c:numRef>
              <c:f>Summary!$B$37:$V$37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Summary!$A$38</c:f>
              <c:strCache>
                <c:ptCount val="1"/>
                <c:pt idx="0">
                  <c:v>Adhesives (Before Ventilation)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Summary!$B$35:$V$35</c:f>
              <c:strCache>
                <c:ptCount val="21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  <c:pt idx="20">
                  <c:v>&gt;300</c:v>
                </c:pt>
              </c:strCache>
            </c:strRef>
          </c:cat>
          <c:val>
            <c:numRef>
              <c:f>Summary!$B$38:$V$38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Summary!$A$39</c:f>
              <c:strCache>
                <c:ptCount val="1"/>
                <c:pt idx="0">
                  <c:v>Adhesives (After Ventilation)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Summary!$B$35:$V$35</c:f>
              <c:strCache>
                <c:ptCount val="21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  <c:pt idx="20">
                  <c:v>&gt;300</c:v>
                </c:pt>
              </c:strCache>
            </c:strRef>
          </c:cat>
          <c:val>
            <c:numRef>
              <c:f>Summary!$B$39:$V$39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2080206"/>
        <c:axId val="64504127"/>
      </c:barChart>
      <c:catAx>
        <c:axId val="2208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4127"/>
        <c:crosses val="autoZero"/>
        <c:auto val="1"/>
        <c:lblOffset val="100"/>
        <c:noMultiLvlLbl val="0"/>
      </c:catAx>
      <c:valAx>
        <c:axId val="64504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0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nPB Exposure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Summary!$A$44</c:f>
              <c:strCache>
                <c:ptCount val="1"/>
                <c:pt idx="0">
                  <c:v>Vapor Degreasing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Summary!$B$43:$U$43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Summary!$B$44:$U$44</c:f>
              <c:numCache>
                <c:ptCount val="20"/>
                <c:pt idx="0">
                  <c:v>0.23061630218687873</c:v>
                </c:pt>
                <c:pt idx="1">
                  <c:v>0.3240556660039761</c:v>
                </c:pt>
                <c:pt idx="2">
                  <c:v>0.14314115308151093</c:v>
                </c:pt>
                <c:pt idx="3">
                  <c:v>0.06958250497017893</c:v>
                </c:pt>
                <c:pt idx="4">
                  <c:v>0.06560636182902585</c:v>
                </c:pt>
                <c:pt idx="5">
                  <c:v>0.039761431411530816</c:v>
                </c:pt>
              </c:numCache>
            </c:numRef>
          </c:val>
        </c:ser>
        <c:ser>
          <c:idx val="1"/>
          <c:order val="1"/>
          <c:tx>
            <c:strRef>
              <c:f>Summary!$A$45</c:f>
              <c:strCache>
                <c:ptCount val="1"/>
                <c:pt idx="0">
                  <c:v>Aerosols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Summary!$B$43:$U$43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Summary!$B$45:$U$45</c:f>
              <c:numCache>
                <c:ptCount val="2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0.125</c:v>
                </c:pt>
                <c:pt idx="5">
                  <c:v>0</c:v>
                </c:pt>
                <c:pt idx="6">
                  <c:v>0.125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Summary!$A$46</c:f>
              <c:strCache>
                <c:ptCount val="1"/>
                <c:pt idx="0">
                  <c:v>Adhesives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Summary!$B$43:$U$43</c:f>
              <c:strCache>
                <c:ptCount val="20"/>
                <c:pt idx="0">
                  <c:v>&lt;1</c:v>
                </c:pt>
                <c:pt idx="1">
                  <c:v>1 to 5</c:v>
                </c:pt>
                <c:pt idx="2">
                  <c:v>6 to 10</c:v>
                </c:pt>
                <c:pt idx="3">
                  <c:v>11 to 15</c:v>
                </c:pt>
                <c:pt idx="4">
                  <c:v>16 to 20</c:v>
                </c:pt>
                <c:pt idx="5">
                  <c:v>21 to 25</c:v>
                </c:pt>
                <c:pt idx="6">
                  <c:v>26 to 30</c:v>
                </c:pt>
                <c:pt idx="7">
                  <c:v>31 to 40</c:v>
                </c:pt>
                <c:pt idx="8">
                  <c:v>41 to 50</c:v>
                </c:pt>
                <c:pt idx="9">
                  <c:v>51 to 60</c:v>
                </c:pt>
                <c:pt idx="10">
                  <c:v>61 to 70</c:v>
                </c:pt>
                <c:pt idx="11">
                  <c:v>71 to 80</c:v>
                </c:pt>
                <c:pt idx="12">
                  <c:v>81 to 90</c:v>
                </c:pt>
                <c:pt idx="13">
                  <c:v>91 to 100</c:v>
                </c:pt>
                <c:pt idx="14">
                  <c:v>100 to 125</c:v>
                </c:pt>
                <c:pt idx="15">
                  <c:v>126 to 150</c:v>
                </c:pt>
                <c:pt idx="16">
                  <c:v>151 to 175</c:v>
                </c:pt>
                <c:pt idx="17">
                  <c:v>176 to 200</c:v>
                </c:pt>
                <c:pt idx="18">
                  <c:v>201 to 250</c:v>
                </c:pt>
                <c:pt idx="19">
                  <c:v>251 to 300</c:v>
                </c:pt>
              </c:strCache>
            </c:strRef>
          </c:cat>
          <c:val>
            <c:numRef>
              <c:f>Summary!$B$46:$U$46</c:f>
              <c:numCache>
                <c:ptCount val="20"/>
                <c:pt idx="0">
                  <c:v>0</c:v>
                </c:pt>
                <c:pt idx="1">
                  <c:v>0.08256880733944955</c:v>
                </c:pt>
                <c:pt idx="2">
                  <c:v>0.045871559633027525</c:v>
                </c:pt>
                <c:pt idx="3">
                  <c:v>0.11009174311926606</c:v>
                </c:pt>
                <c:pt idx="4">
                  <c:v>0.1651376146788991</c:v>
                </c:pt>
                <c:pt idx="5">
                  <c:v>0.09174311926605505</c:v>
                </c:pt>
                <c:pt idx="6">
                  <c:v>0.05504587155963303</c:v>
                </c:pt>
                <c:pt idx="7">
                  <c:v>0.11009174311926606</c:v>
                </c:pt>
                <c:pt idx="8">
                  <c:v>0.08256880733944955</c:v>
                </c:pt>
                <c:pt idx="9">
                  <c:v>0.07339449541284404</c:v>
                </c:pt>
                <c:pt idx="10">
                  <c:v>0.027522935779816515</c:v>
                </c:pt>
                <c:pt idx="11">
                  <c:v>0.045871559633027525</c:v>
                </c:pt>
                <c:pt idx="12">
                  <c:v>0.027522935779816515</c:v>
                </c:pt>
                <c:pt idx="13">
                  <c:v>0.009174311926605505</c:v>
                </c:pt>
                <c:pt idx="14">
                  <c:v>0.03669724770642202</c:v>
                </c:pt>
                <c:pt idx="15">
                  <c:v>0.01834862385321101</c:v>
                </c:pt>
                <c:pt idx="16">
                  <c:v>0.009174311926605505</c:v>
                </c:pt>
                <c:pt idx="17">
                  <c:v>0</c:v>
                </c:pt>
                <c:pt idx="18">
                  <c:v>0</c:v>
                </c:pt>
                <c:pt idx="19">
                  <c:v>0.009174311926605505</c:v>
                </c:pt>
              </c:numCache>
            </c:numRef>
          </c:val>
        </c:ser>
        <c:axId val="43666232"/>
        <c:axId val="57451769"/>
      </c:barChart>
      <c:catAx>
        <c:axId val="43666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1769"/>
        <c:crosses val="autoZero"/>
        <c:auto val="1"/>
        <c:lblOffset val="100"/>
        <c:noMultiLvlLbl val="0"/>
      </c:catAx>
      <c:valAx>
        <c:axId val="5745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Personal Samples in End 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6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Samples at Different Concentrations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 degre personal'!$A$7</c:f>
              <c:strCache>
                <c:ptCount val="1"/>
                <c:pt idx="0">
                  <c:v>Number of samples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'Alb degre personal'!$B$6:$H$6</c:f>
              <c:strCache/>
            </c:strRef>
          </c:cat>
          <c:val>
            <c:numRef>
              <c:f>'Alb degre personal'!$B$7:$H$7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303874"/>
        <c:axId val="23081683"/>
      </c:barChart>
      <c:catAx>
        <c:axId val="4730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81683"/>
        <c:crosses val="autoZero"/>
        <c:auto val="1"/>
        <c:lblOffset val="100"/>
        <c:noMultiLvlLbl val="0"/>
      </c:catAx>
      <c:valAx>
        <c:axId val="2308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samples in concentration range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'Alb degre personal'!$A$30</c:f>
              <c:strCache>
                <c:ptCount val="1"/>
                <c:pt idx="0">
                  <c:v>Percentage of samples in range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'Alb degre personal'!$B$29:$H$29</c:f>
              <c:strCache/>
            </c:strRef>
          </c:cat>
          <c:val>
            <c:numRef>
              <c:f>'Alb degre personal'!$B$30:$H$30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Vapor Degreasing Samples in Range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 degre personal'!$A$61</c:f>
              <c:strCache>
                <c:ptCount val="1"/>
                <c:pt idx="0">
                  <c:v>Percentage of Samples in 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'Alb degre personal'!$B$60:$H$60</c:f>
              <c:strCache/>
            </c:strRef>
          </c:cat>
          <c:val>
            <c:numRef>
              <c:f>'Alb degre personal'!$B$61:$H$61</c:f>
              <c:numCache>
                <c:ptCount val="7"/>
                <c:pt idx="0">
                  <c:v>0.19207317073170732</c:v>
                </c:pt>
                <c:pt idx="1">
                  <c:v>0.3384146341463415</c:v>
                </c:pt>
                <c:pt idx="2">
                  <c:v>0.16158536585365854</c:v>
                </c:pt>
                <c:pt idx="3">
                  <c:v>0.07317073170731707</c:v>
                </c:pt>
                <c:pt idx="4">
                  <c:v>0.06707317073170732</c:v>
                </c:pt>
                <c:pt idx="5">
                  <c:v>0.03353658536585366</c:v>
                </c:pt>
                <c:pt idx="6">
                  <c:v>0.13414634146341464</c:v>
                </c:pt>
              </c:numCache>
            </c:numRef>
          </c:val>
        </c:ser>
        <c:axId val="6408556"/>
        <c:axId val="57677005"/>
      </c:barChart>
      <c:catAx>
        <c:axId val="640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nPB 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77005"/>
        <c:crosses val="autoZero"/>
        <c:auto val="1"/>
        <c:lblOffset val="100"/>
        <c:noMultiLvlLbl val="0"/>
      </c:catAx>
      <c:valAx>
        <c:axId val="5767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Personal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Albemarle Vapor Degreasing Exposure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 degre personal'!$L$5</c:f>
              <c:strCache>
                <c:ptCount val="1"/>
                <c:pt idx="0">
                  <c:v>Percentage of samples in 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'Alb degre personal'!$M$4:$T$4</c:f>
              <c:strCache/>
            </c:strRef>
          </c:cat>
          <c:val>
            <c:numRef>
              <c:f>'Alb degre personal'!$M$5:$T$5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330998"/>
        <c:axId val="41325799"/>
      </c:barChart>
      <c:catAx>
        <c:axId val="493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25799"/>
        <c:crosses val="autoZero"/>
        <c:auto val="1"/>
        <c:lblOffset val="100"/>
        <c:noMultiLvlLbl val="0"/>
      </c:catAx>
      <c:valAx>
        <c:axId val="4132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3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Exposure Data for Vapor Degreasing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'Alb degre personal'!$L$30</c:f>
              <c:strCache>
                <c:ptCount val="1"/>
                <c:pt idx="0">
                  <c:v>Fraction of Samples in Range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'Alb degre personal'!$M$29:$T$29</c:f>
              <c:strCache/>
            </c:strRef>
          </c:cat>
          <c:val>
            <c:numRef>
              <c:f>'Alb degre personal'!$M$30:$T$30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387872"/>
        <c:axId val="59055393"/>
      </c:barChart>
      <c:catAx>
        <c:axId val="3638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Concentration, 8 Hr TWA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55393"/>
        <c:crosses val="autoZero"/>
        <c:auto val="1"/>
        <c:lblOffset val="100"/>
        <c:noMultiLvlLbl val="0"/>
      </c:catAx>
      <c:valAx>
        <c:axId val="59055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Personal Samples for Vapor Degreasing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87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76200</xdr:rowOff>
    </xdr:from>
    <xdr:to>
      <xdr:col>8</xdr:col>
      <xdr:colOff>561975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2333625" y="13716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31</xdr:row>
      <xdr:rowOff>142875</xdr:rowOff>
    </xdr:from>
    <xdr:to>
      <xdr:col>8</xdr:col>
      <xdr:colOff>428625</xdr:colOff>
      <xdr:row>48</xdr:row>
      <xdr:rowOff>133350</xdr:rowOff>
    </xdr:to>
    <xdr:graphicFrame>
      <xdr:nvGraphicFramePr>
        <xdr:cNvPr id="2" name="Chart 3"/>
        <xdr:cNvGraphicFramePr/>
      </xdr:nvGraphicFramePr>
      <xdr:xfrm>
        <a:off x="2200275" y="516255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63</xdr:row>
      <xdr:rowOff>104775</xdr:rowOff>
    </xdr:from>
    <xdr:to>
      <xdr:col>9</xdr:col>
      <xdr:colOff>38100</xdr:colOff>
      <xdr:row>91</xdr:row>
      <xdr:rowOff>114300</xdr:rowOff>
    </xdr:to>
    <xdr:graphicFrame>
      <xdr:nvGraphicFramePr>
        <xdr:cNvPr id="3" name="Chart 4"/>
        <xdr:cNvGraphicFramePr/>
      </xdr:nvGraphicFramePr>
      <xdr:xfrm>
        <a:off x="2419350" y="10306050"/>
        <a:ext cx="46767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504825</xdr:colOff>
      <xdr:row>8</xdr:row>
      <xdr:rowOff>76200</xdr:rowOff>
    </xdr:from>
    <xdr:to>
      <xdr:col>18</xdr:col>
      <xdr:colOff>304800</xdr:colOff>
      <xdr:row>25</xdr:row>
      <xdr:rowOff>66675</xdr:rowOff>
    </xdr:to>
    <xdr:graphicFrame>
      <xdr:nvGraphicFramePr>
        <xdr:cNvPr id="4" name="Chart 5"/>
        <xdr:cNvGraphicFramePr/>
      </xdr:nvGraphicFramePr>
      <xdr:xfrm>
        <a:off x="8172450" y="1371600"/>
        <a:ext cx="4676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31</xdr:row>
      <xdr:rowOff>152400</xdr:rowOff>
    </xdr:from>
    <xdr:to>
      <xdr:col>18</xdr:col>
      <xdr:colOff>285750</xdr:colOff>
      <xdr:row>48</xdr:row>
      <xdr:rowOff>142875</xdr:rowOff>
    </xdr:to>
    <xdr:graphicFrame>
      <xdr:nvGraphicFramePr>
        <xdr:cNvPr id="5" name="Chart 6"/>
        <xdr:cNvGraphicFramePr/>
      </xdr:nvGraphicFramePr>
      <xdr:xfrm>
        <a:off x="7686675" y="5172075"/>
        <a:ext cx="51435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116</xdr:row>
      <xdr:rowOff>171450</xdr:rowOff>
    </xdr:from>
    <xdr:to>
      <xdr:col>17</xdr:col>
      <xdr:colOff>447675</xdr:colOff>
      <xdr:row>132</xdr:row>
      <xdr:rowOff>447675</xdr:rowOff>
    </xdr:to>
    <xdr:graphicFrame>
      <xdr:nvGraphicFramePr>
        <xdr:cNvPr id="1" name="Chart 5"/>
        <xdr:cNvGraphicFramePr/>
      </xdr:nvGraphicFramePr>
      <xdr:xfrm>
        <a:off x="8705850" y="42757725"/>
        <a:ext cx="512445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66675</xdr:rowOff>
    </xdr:from>
    <xdr:to>
      <xdr:col>9</xdr:col>
      <xdr:colOff>409575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2000250" y="8648700"/>
        <a:ext cx="4676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8</xdr:row>
      <xdr:rowOff>76200</xdr:rowOff>
    </xdr:from>
    <xdr:to>
      <xdr:col>15</xdr:col>
      <xdr:colOff>304800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5553075" y="13716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175</xdr:row>
      <xdr:rowOff>133350</xdr:rowOff>
    </xdr:from>
    <xdr:to>
      <xdr:col>7</xdr:col>
      <xdr:colOff>647700</xdr:colOff>
      <xdr:row>203</xdr:row>
      <xdr:rowOff>0</xdr:rowOff>
    </xdr:to>
    <xdr:graphicFrame>
      <xdr:nvGraphicFramePr>
        <xdr:cNvPr id="1" name="Chart 1"/>
        <xdr:cNvGraphicFramePr/>
      </xdr:nvGraphicFramePr>
      <xdr:xfrm>
        <a:off x="2105025" y="28470225"/>
        <a:ext cx="46767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"/>
  <sheetViews>
    <sheetView workbookViewId="0" topLeftCell="I18">
      <selection activeCell="W36" sqref="W36"/>
    </sheetView>
  </sheetViews>
  <sheetFormatPr defaultColWidth="9.140625" defaultRowHeight="12.75"/>
  <cols>
    <col min="1" max="1" width="18.7109375" style="0" customWidth="1"/>
    <col min="3" max="3" width="13.57421875" style="0" customWidth="1"/>
    <col min="4" max="4" width="13.8515625" style="0" customWidth="1"/>
  </cols>
  <sheetData>
    <row r="1" ht="12.75">
      <c r="A1" t="s">
        <v>6</v>
      </c>
    </row>
    <row r="2" ht="12.75">
      <c r="A2" t="s">
        <v>251</v>
      </c>
    </row>
    <row r="3" spans="2:5" ht="12.75">
      <c r="B3" t="s">
        <v>0</v>
      </c>
      <c r="C3" t="s">
        <v>7</v>
      </c>
      <c r="D3" t="s">
        <v>8</v>
      </c>
      <c r="E3" t="s">
        <v>1</v>
      </c>
    </row>
    <row r="4" spans="1:5" ht="12.75">
      <c r="A4" t="s">
        <v>2</v>
      </c>
      <c r="B4">
        <v>2</v>
      </c>
      <c r="C4">
        <v>5</v>
      </c>
      <c r="D4">
        <v>90</v>
      </c>
      <c r="E4">
        <v>170</v>
      </c>
    </row>
    <row r="5" spans="1:5" ht="12.75">
      <c r="A5" t="s">
        <v>3</v>
      </c>
      <c r="B5">
        <v>28</v>
      </c>
      <c r="D5">
        <v>80</v>
      </c>
      <c r="E5">
        <v>108</v>
      </c>
    </row>
    <row r="6" spans="1:5" ht="12.75">
      <c r="A6" t="s">
        <v>4</v>
      </c>
      <c r="B6">
        <v>5</v>
      </c>
      <c r="C6">
        <v>9</v>
      </c>
      <c r="D6">
        <v>94.6</v>
      </c>
      <c r="E6">
        <v>254</v>
      </c>
    </row>
    <row r="7" spans="1:5" ht="12.75">
      <c r="A7" t="s">
        <v>5</v>
      </c>
      <c r="B7">
        <v>2</v>
      </c>
      <c r="C7">
        <v>19</v>
      </c>
      <c r="D7">
        <v>58.5</v>
      </c>
      <c r="E7">
        <v>381</v>
      </c>
    </row>
    <row r="9" spans="1:3" ht="12.75">
      <c r="A9" t="s">
        <v>318</v>
      </c>
      <c r="C9" t="s">
        <v>252</v>
      </c>
    </row>
    <row r="10" spans="2:6" ht="12.75">
      <c r="B10" t="s">
        <v>319</v>
      </c>
      <c r="C10" t="s">
        <v>321</v>
      </c>
      <c r="D10" t="s">
        <v>322</v>
      </c>
      <c r="E10" t="s">
        <v>320</v>
      </c>
      <c r="F10" t="s">
        <v>277</v>
      </c>
    </row>
    <row r="11" spans="1:5" ht="12.75">
      <c r="A11" t="s">
        <v>335</v>
      </c>
      <c r="B11">
        <v>0.03</v>
      </c>
      <c r="C11" s="12"/>
      <c r="D11" s="7">
        <f>'Vapor Degreasing'!C146</f>
        <v>16.466055045871556</v>
      </c>
      <c r="E11" s="15">
        <f>'Vapor Degreasing'!G51</f>
        <v>170</v>
      </c>
    </row>
    <row r="12" spans="1:5" ht="12.75">
      <c r="A12" t="s">
        <v>336</v>
      </c>
      <c r="B12">
        <v>1</v>
      </c>
      <c r="C12">
        <f>B12</f>
        <v>1</v>
      </c>
      <c r="D12">
        <f>'Cold Cleaning, Handwipe'!C9</f>
        <v>68.19</v>
      </c>
      <c r="E12">
        <v>107.9</v>
      </c>
    </row>
    <row r="13" spans="1:5" ht="12.75">
      <c r="A13" t="s">
        <v>337</v>
      </c>
      <c r="B13">
        <v>5</v>
      </c>
      <c r="C13">
        <f>Aerosols!D45</f>
        <v>9.2</v>
      </c>
      <c r="D13">
        <f>Aerosols!D47</f>
        <v>13.8</v>
      </c>
      <c r="E13">
        <f>Aerosols!C10</f>
        <v>30.2</v>
      </c>
    </row>
    <row r="14" spans="1:5" ht="12.75">
      <c r="A14" t="s">
        <v>338</v>
      </c>
      <c r="B14" s="7">
        <f>Adhesives!C147</f>
        <v>1.2</v>
      </c>
      <c r="C14" s="7">
        <f>Adhesives!C143</f>
        <v>18.295952380952382</v>
      </c>
      <c r="D14" s="7">
        <f>Adhesives!D129</f>
        <v>172.47588888888887</v>
      </c>
      <c r="E14" s="6">
        <f>Adhesives!L74</f>
        <v>381.2</v>
      </c>
    </row>
    <row r="15" spans="2:5" ht="12.75">
      <c r="B15" s="7"/>
      <c r="C15" s="7"/>
      <c r="D15" s="7"/>
      <c r="E15" s="6"/>
    </row>
    <row r="16" ht="12.75">
      <c r="A16" t="s">
        <v>328</v>
      </c>
    </row>
    <row r="17" spans="1:3" ht="12.75">
      <c r="A17" t="s">
        <v>318</v>
      </c>
      <c r="C17" t="s">
        <v>252</v>
      </c>
    </row>
    <row r="18" spans="2:5" ht="12.75">
      <c r="B18" t="s">
        <v>319</v>
      </c>
      <c r="C18" t="s">
        <v>331</v>
      </c>
      <c r="D18" t="s">
        <v>323</v>
      </c>
      <c r="E18" t="s">
        <v>320</v>
      </c>
    </row>
    <row r="19" spans="1:5" ht="12.75">
      <c r="A19" t="s">
        <v>329</v>
      </c>
      <c r="B19">
        <f>'Vapor Degreasing'!C156</f>
        <v>3</v>
      </c>
      <c r="D19">
        <f>'Vapor Degreasing'!C152</f>
        <v>25.669999999999998</v>
      </c>
      <c r="E19">
        <f>'Vapor Degreasing'!C155</f>
        <v>74</v>
      </c>
    </row>
    <row r="20" spans="1:5" ht="12.75">
      <c r="A20" t="s">
        <v>330</v>
      </c>
      <c r="B20">
        <v>0.03</v>
      </c>
      <c r="D20" s="6">
        <f>'Vapor Degreasing'!C158</f>
        <v>14.216666666666665</v>
      </c>
      <c r="E20">
        <v>170</v>
      </c>
    </row>
    <row r="21" spans="1:5" ht="12.75">
      <c r="A21" t="s">
        <v>332</v>
      </c>
      <c r="B21">
        <v>1</v>
      </c>
      <c r="C21">
        <v>1</v>
      </c>
      <c r="D21">
        <f>'Cold Cleaning, Handwipe'!C9</f>
        <v>68.19</v>
      </c>
      <c r="E21">
        <v>107.9</v>
      </c>
    </row>
    <row r="22" spans="1:5" ht="12.75">
      <c r="A22" t="s">
        <v>333</v>
      </c>
      <c r="B22">
        <v>5</v>
      </c>
      <c r="C22">
        <v>9.2</v>
      </c>
      <c r="D22">
        <v>13.8</v>
      </c>
      <c r="E22">
        <v>30.2</v>
      </c>
    </row>
    <row r="23" spans="1:5" ht="12.75">
      <c r="A23" t="s">
        <v>334</v>
      </c>
      <c r="B23" s="7">
        <f>B14</f>
        <v>1.2</v>
      </c>
      <c r="C23" s="7">
        <f>C14</f>
        <v>18.295952380952382</v>
      </c>
      <c r="D23" s="7">
        <f>D14</f>
        <v>172.47588888888887</v>
      </c>
      <c r="E23" s="6">
        <f>E14</f>
        <v>381.2</v>
      </c>
    </row>
    <row r="26" ht="12.75">
      <c r="A26" t="s">
        <v>402</v>
      </c>
    </row>
    <row r="27" spans="1:23" ht="12.75">
      <c r="A27" t="s">
        <v>378</v>
      </c>
      <c r="B27" t="s">
        <v>273</v>
      </c>
      <c r="C27" t="s">
        <v>266</v>
      </c>
      <c r="D27" t="s">
        <v>267</v>
      </c>
      <c r="E27" s="4" t="s">
        <v>268</v>
      </c>
      <c r="F27" t="s">
        <v>269</v>
      </c>
      <c r="G27" t="s">
        <v>274</v>
      </c>
      <c r="H27" t="s">
        <v>340</v>
      </c>
      <c r="I27" t="s">
        <v>341</v>
      </c>
      <c r="J27" t="s">
        <v>342</v>
      </c>
      <c r="K27" t="s">
        <v>343</v>
      </c>
      <c r="L27" t="s">
        <v>344</v>
      </c>
      <c r="M27" t="s">
        <v>345</v>
      </c>
      <c r="N27" t="s">
        <v>346</v>
      </c>
      <c r="O27" t="s">
        <v>347</v>
      </c>
      <c r="P27" t="s">
        <v>348</v>
      </c>
      <c r="Q27" t="s">
        <v>349</v>
      </c>
      <c r="R27" t="s">
        <v>350</v>
      </c>
      <c r="S27" t="s">
        <v>351</v>
      </c>
      <c r="T27" t="s">
        <v>352</v>
      </c>
      <c r="U27" t="s">
        <v>353</v>
      </c>
      <c r="V27" t="s">
        <v>354</v>
      </c>
      <c r="W27" t="s">
        <v>355</v>
      </c>
    </row>
    <row r="28" spans="1:59" ht="12.75">
      <c r="A28" t="s">
        <v>377</v>
      </c>
      <c r="B28" s="14">
        <f>'Alb degre personal'!N30</f>
        <v>0.23061630218687873</v>
      </c>
      <c r="C28" s="14">
        <f>'Alb degre personal'!O30</f>
        <v>0.3240556660039761</v>
      </c>
      <c r="D28" s="14">
        <f>'Alb degre personal'!P30</f>
        <v>0.14314115308151093</v>
      </c>
      <c r="E28" s="14">
        <f>'Alb degre personal'!Q30</f>
        <v>0.06958250497017893</v>
      </c>
      <c r="F28" s="14">
        <f>'Alb degre personal'!R30</f>
        <v>0.06560636182902585</v>
      </c>
      <c r="G28" s="14">
        <f>'Alb degre personal'!S30</f>
        <v>0.039761431411530816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12.75">
      <c r="A29" t="s">
        <v>379</v>
      </c>
      <c r="B29" s="14">
        <f>Aerosols!C51</f>
        <v>0</v>
      </c>
      <c r="C29" s="14">
        <f>Aerosols!D51</f>
        <v>0.125</v>
      </c>
      <c r="D29" s="14">
        <f>Aerosols!E51</f>
        <v>0.25</v>
      </c>
      <c r="E29" s="14">
        <f>Aerosols!F51</f>
        <v>0.375</v>
      </c>
      <c r="F29" s="14">
        <f>Aerosols!G51</f>
        <v>0.125</v>
      </c>
      <c r="G29" s="14">
        <f>Aerosols!H51</f>
        <v>0</v>
      </c>
      <c r="H29" s="14">
        <f>Aerosols!I51</f>
        <v>0.125</v>
      </c>
      <c r="I29" s="14">
        <f>Aerosols!J51</f>
        <v>0</v>
      </c>
      <c r="J29" s="14">
        <f>Aerosols!K51</f>
        <v>0</v>
      </c>
      <c r="K29" s="14">
        <f>Aerosols!L51</f>
        <v>0</v>
      </c>
      <c r="L29" s="14">
        <f>Aerosols!M51</f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12.75">
      <c r="A30" t="s">
        <v>380</v>
      </c>
      <c r="B30" s="14">
        <f>Adhesives!B168</f>
        <v>0</v>
      </c>
      <c r="C30" s="14">
        <f>Adhesives!C168</f>
        <v>0</v>
      </c>
      <c r="D30" s="14">
        <f>Adhesives!D168</f>
        <v>0.021739130434782608</v>
      </c>
      <c r="E30" s="14">
        <f>Adhesives!E168</f>
        <v>0</v>
      </c>
      <c r="F30" s="14">
        <f>Adhesives!F168</f>
        <v>0.06521739130434782</v>
      </c>
      <c r="G30" s="14">
        <f>Adhesives!G168</f>
        <v>0.021739130434782608</v>
      </c>
      <c r="H30" s="14">
        <f>Adhesives!H168</f>
        <v>0.043478260869565216</v>
      </c>
      <c r="I30" s="14">
        <f>Adhesives!I168</f>
        <v>0.10869565217391304</v>
      </c>
      <c r="J30" s="14">
        <f>Adhesives!J168</f>
        <v>0.17391304347826086</v>
      </c>
      <c r="K30" s="14">
        <f>Adhesives!K168</f>
        <v>0.13043478260869565</v>
      </c>
      <c r="L30" s="14">
        <f>Adhesives!L168</f>
        <v>0.06521739130434782</v>
      </c>
      <c r="M30" s="14">
        <f>Adhesives!M168</f>
        <v>0.10869565217391304</v>
      </c>
      <c r="N30" s="14">
        <f>Adhesives!N168</f>
        <v>0.06521739130434782</v>
      </c>
      <c r="O30" s="14">
        <f>Adhesives!O168</f>
        <v>0.021739130434782608</v>
      </c>
      <c r="P30" s="14">
        <f>Adhesives!P168</f>
        <v>0.08695652173913043</v>
      </c>
      <c r="Q30" s="14">
        <f>Adhesives!Q168</f>
        <v>0.043478260869565216</v>
      </c>
      <c r="R30" s="14">
        <f>Adhesives!R168</f>
        <v>0.021739130434782608</v>
      </c>
      <c r="S30" s="14">
        <f>Adhesives!S168</f>
        <v>0</v>
      </c>
      <c r="T30" s="14">
        <f>Adhesives!T168</f>
        <v>0</v>
      </c>
      <c r="U30" s="14">
        <f>Adhesives!U168</f>
        <v>0.021739130434782608</v>
      </c>
      <c r="V30" s="14">
        <f>Adhesives!V168</f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22" ht="12.75">
      <c r="A31" t="s">
        <v>381</v>
      </c>
      <c r="B31" s="14">
        <f>Adhesives!B162</f>
        <v>0</v>
      </c>
      <c r="C31" s="14">
        <f>Adhesives!C162</f>
        <v>0.14285714285714285</v>
      </c>
      <c r="D31" s="14">
        <f>Adhesives!D162</f>
        <v>0.06349206349206349</v>
      </c>
      <c r="E31" s="14">
        <f>Adhesives!E162</f>
        <v>0.19047619047619047</v>
      </c>
      <c r="F31" s="14">
        <f>Adhesives!F162</f>
        <v>0.23809523809523808</v>
      </c>
      <c r="G31" s="14">
        <f>Adhesives!G162</f>
        <v>0.14285714285714285</v>
      </c>
      <c r="H31" s="14">
        <f>Adhesives!H162</f>
        <v>0.06349206349206349</v>
      </c>
      <c r="I31" s="14">
        <f>Adhesives!I162</f>
        <v>0.1111111111111111</v>
      </c>
      <c r="J31" s="14">
        <f>Adhesives!J162</f>
        <v>0.015873015873015872</v>
      </c>
      <c r="K31" s="14">
        <f>Adhesives!K162</f>
        <v>0.031746031746031744</v>
      </c>
      <c r="L31" s="14">
        <f>Adhesives!L162</f>
        <v>0</v>
      </c>
      <c r="M31" s="14">
        <f>Adhesives!M162</f>
        <v>0</v>
      </c>
      <c r="N31" s="14">
        <f>Adhesives!N162</f>
        <v>0</v>
      </c>
      <c r="O31" s="14">
        <f>Adhesives!O162</f>
        <v>0</v>
      </c>
      <c r="P31" s="14">
        <f>Adhesives!P162</f>
        <v>0</v>
      </c>
      <c r="Q31" s="14">
        <f>Adhesives!Q162</f>
        <v>0</v>
      </c>
      <c r="R31" s="14">
        <f>Adhesives!R162</f>
        <v>0</v>
      </c>
      <c r="S31" s="14">
        <f>Adhesives!S162</f>
        <v>0</v>
      </c>
      <c r="T31" s="14">
        <f>Adhesives!T162</f>
        <v>0</v>
      </c>
      <c r="U31" s="14">
        <f>Adhesives!U162</f>
        <v>0</v>
      </c>
      <c r="V31" s="14">
        <f>Adhesives!V162</f>
        <v>0</v>
      </c>
    </row>
    <row r="34" ht="12.75">
      <c r="A34" t="s">
        <v>403</v>
      </c>
    </row>
    <row r="35" spans="1:23" ht="12.75">
      <c r="A35" t="s">
        <v>378</v>
      </c>
      <c r="B35" t="s">
        <v>273</v>
      </c>
      <c r="C35" t="s">
        <v>266</v>
      </c>
      <c r="D35" t="s">
        <v>267</v>
      </c>
      <c r="E35" s="4" t="s">
        <v>268</v>
      </c>
      <c r="F35" t="s">
        <v>269</v>
      </c>
      <c r="G35" t="s">
        <v>274</v>
      </c>
      <c r="H35" t="s">
        <v>340</v>
      </c>
      <c r="I35" t="s">
        <v>341</v>
      </c>
      <c r="J35" t="s">
        <v>342</v>
      </c>
      <c r="K35" t="s">
        <v>343</v>
      </c>
      <c r="L35" t="s">
        <v>344</v>
      </c>
      <c r="M35" t="s">
        <v>345</v>
      </c>
      <c r="N35" t="s">
        <v>346</v>
      </c>
      <c r="O35" t="s">
        <v>347</v>
      </c>
      <c r="P35" t="s">
        <v>348</v>
      </c>
      <c r="Q35" t="s">
        <v>349</v>
      </c>
      <c r="R35" t="s">
        <v>350</v>
      </c>
      <c r="S35" t="s">
        <v>351</v>
      </c>
      <c r="T35" t="s">
        <v>352</v>
      </c>
      <c r="U35" t="s">
        <v>353</v>
      </c>
      <c r="V35" t="s">
        <v>354</v>
      </c>
      <c r="W35" t="s">
        <v>355</v>
      </c>
    </row>
    <row r="36" spans="1:23" ht="12.75">
      <c r="A36" t="s">
        <v>377</v>
      </c>
      <c r="B36">
        <f>'Alb degre personal'!N31</f>
        <v>116</v>
      </c>
      <c r="C36">
        <f>'Alb degre personal'!O31</f>
        <v>163</v>
      </c>
      <c r="D36">
        <f>'Alb degre personal'!P31</f>
        <v>72</v>
      </c>
      <c r="E36">
        <f>'Alb degre personal'!Q31</f>
        <v>35</v>
      </c>
      <c r="F36">
        <f>'Alb degre personal'!R31</f>
        <v>33</v>
      </c>
      <c r="G36">
        <f>'Alb degre personal'!S31</f>
        <v>20</v>
      </c>
      <c r="H36">
        <f>'Vapor Degreasing'!N138</f>
        <v>6</v>
      </c>
      <c r="I36">
        <f>'Vapor Degreasing'!O138</f>
        <v>4</v>
      </c>
      <c r="J36">
        <f>'Vapor Degreasing'!P138</f>
        <v>8</v>
      </c>
      <c r="K36">
        <f>'Vapor Degreasing'!Q138</f>
        <v>1</v>
      </c>
      <c r="W36">
        <f>SUM(B36:V36)</f>
        <v>458</v>
      </c>
    </row>
    <row r="37" spans="1:23" ht="12.75">
      <c r="A37" t="s">
        <v>379</v>
      </c>
      <c r="B37">
        <f>Aerosols!C52</f>
        <v>0</v>
      </c>
      <c r="C37">
        <f>Aerosols!D52</f>
        <v>1</v>
      </c>
      <c r="D37">
        <f>Aerosols!E52</f>
        <v>2</v>
      </c>
      <c r="E37">
        <f>Aerosols!F52</f>
        <v>3</v>
      </c>
      <c r="F37">
        <f>Aerosols!G52</f>
        <v>1</v>
      </c>
      <c r="G37">
        <f>Aerosols!H52</f>
        <v>0</v>
      </c>
      <c r="H37">
        <f>Aerosols!I52</f>
        <v>1</v>
      </c>
      <c r="I37">
        <f>Aerosols!J52</f>
        <v>0</v>
      </c>
      <c r="J37">
        <f>Aerosols!K52</f>
        <v>0</v>
      </c>
      <c r="K37">
        <f>Aerosols!L52</f>
        <v>0</v>
      </c>
      <c r="N37">
        <f>Aerosols!O52</f>
        <v>0</v>
      </c>
      <c r="W37">
        <f>SUM(B37:N37)</f>
        <v>8</v>
      </c>
    </row>
    <row r="38" spans="1:23" ht="12.75">
      <c r="A38" t="s">
        <v>380</v>
      </c>
      <c r="B38">
        <f>Adhesives!B169</f>
        <v>0</v>
      </c>
      <c r="C38">
        <f>Adhesives!C169</f>
        <v>0</v>
      </c>
      <c r="D38">
        <f>Adhesives!D169</f>
        <v>1</v>
      </c>
      <c r="E38">
        <f>Adhesives!E169</f>
        <v>0</v>
      </c>
      <c r="F38">
        <f>Adhesives!F169</f>
        <v>3</v>
      </c>
      <c r="G38">
        <f>Adhesives!G169</f>
        <v>1</v>
      </c>
      <c r="H38">
        <f>Adhesives!H169</f>
        <v>2</v>
      </c>
      <c r="I38">
        <f>Adhesives!I169</f>
        <v>5</v>
      </c>
      <c r="J38">
        <f>Adhesives!J169</f>
        <v>8</v>
      </c>
      <c r="K38">
        <f>Adhesives!K169</f>
        <v>6</v>
      </c>
      <c r="L38">
        <f>Adhesives!L169</f>
        <v>3</v>
      </c>
      <c r="M38">
        <f>Adhesives!M169</f>
        <v>5</v>
      </c>
      <c r="N38">
        <f>Adhesives!N169</f>
        <v>3</v>
      </c>
      <c r="O38">
        <f>Adhesives!O169</f>
        <v>1</v>
      </c>
      <c r="P38">
        <f>Adhesives!P169</f>
        <v>4</v>
      </c>
      <c r="Q38">
        <f>Adhesives!Q169</f>
        <v>2</v>
      </c>
      <c r="R38">
        <f>Adhesives!R169</f>
        <v>1</v>
      </c>
      <c r="S38">
        <f>Adhesives!S169</f>
        <v>0</v>
      </c>
      <c r="T38">
        <f>Adhesives!T169</f>
        <v>0</v>
      </c>
      <c r="U38">
        <f>Adhesives!U169</f>
        <v>1</v>
      </c>
      <c r="V38">
        <f>Adhesives!V169</f>
        <v>0</v>
      </c>
      <c r="W38">
        <f>SUM(B38:V38)</f>
        <v>46</v>
      </c>
    </row>
    <row r="39" spans="1:23" ht="12.75">
      <c r="A39" t="s">
        <v>381</v>
      </c>
      <c r="B39">
        <f>Adhesives!B163</f>
        <v>0</v>
      </c>
      <c r="C39">
        <f>Adhesives!C163</f>
        <v>9</v>
      </c>
      <c r="D39">
        <f>Adhesives!D163</f>
        <v>4</v>
      </c>
      <c r="E39">
        <f>Adhesives!E163</f>
        <v>12</v>
      </c>
      <c r="F39">
        <f>Adhesives!F163</f>
        <v>15</v>
      </c>
      <c r="G39">
        <f>Adhesives!G163</f>
        <v>9</v>
      </c>
      <c r="H39">
        <f>Adhesives!H163</f>
        <v>4</v>
      </c>
      <c r="I39">
        <f>Adhesives!I163</f>
        <v>7</v>
      </c>
      <c r="J39">
        <f>Adhesives!J163</f>
        <v>1</v>
      </c>
      <c r="K39">
        <f>Adhesives!K163</f>
        <v>2</v>
      </c>
      <c r="L39">
        <f>Adhesives!L163</f>
        <v>0</v>
      </c>
      <c r="M39">
        <f>Adhesives!M163</f>
        <v>0</v>
      </c>
      <c r="N39">
        <f>Adhesives!N163</f>
        <v>0</v>
      </c>
      <c r="O39">
        <f>Adhesives!O163</f>
        <v>0</v>
      </c>
      <c r="P39">
        <f>Adhesives!P163</f>
        <v>0</v>
      </c>
      <c r="Q39">
        <f>Adhesives!Q163</f>
        <v>0</v>
      </c>
      <c r="R39">
        <f>Adhesives!R163</f>
        <v>0</v>
      </c>
      <c r="S39">
        <f>Adhesives!S163</f>
        <v>0</v>
      </c>
      <c r="T39">
        <f>Adhesives!T163</f>
        <v>0</v>
      </c>
      <c r="U39">
        <f>Adhesives!U163</f>
        <v>0</v>
      </c>
      <c r="V39">
        <f>Adhesives!V163</f>
        <v>0</v>
      </c>
      <c r="W39">
        <f>SUM(B39:V39)</f>
        <v>63</v>
      </c>
    </row>
    <row r="40" spans="1:23" ht="12.75">
      <c r="A40" t="s">
        <v>404</v>
      </c>
      <c r="B40">
        <f>SUM(B38:B39)</f>
        <v>0</v>
      </c>
      <c r="C40">
        <f aca="true" t="shared" si="0" ref="C40:W40">SUM(C38:C39)</f>
        <v>9</v>
      </c>
      <c r="D40">
        <f t="shared" si="0"/>
        <v>5</v>
      </c>
      <c r="E40">
        <f t="shared" si="0"/>
        <v>12</v>
      </c>
      <c r="F40">
        <f t="shared" si="0"/>
        <v>18</v>
      </c>
      <c r="G40">
        <f t="shared" si="0"/>
        <v>10</v>
      </c>
      <c r="H40">
        <f t="shared" si="0"/>
        <v>6</v>
      </c>
      <c r="I40">
        <f t="shared" si="0"/>
        <v>12</v>
      </c>
      <c r="J40">
        <f t="shared" si="0"/>
        <v>9</v>
      </c>
      <c r="K40">
        <f t="shared" si="0"/>
        <v>8</v>
      </c>
      <c r="L40">
        <f t="shared" si="0"/>
        <v>3</v>
      </c>
      <c r="M40">
        <f t="shared" si="0"/>
        <v>5</v>
      </c>
      <c r="N40">
        <f t="shared" si="0"/>
        <v>3</v>
      </c>
      <c r="O40">
        <f t="shared" si="0"/>
        <v>1</v>
      </c>
      <c r="P40">
        <f t="shared" si="0"/>
        <v>4</v>
      </c>
      <c r="Q40">
        <f t="shared" si="0"/>
        <v>2</v>
      </c>
      <c r="R40">
        <f t="shared" si="0"/>
        <v>1</v>
      </c>
      <c r="S40">
        <f t="shared" si="0"/>
        <v>0</v>
      </c>
      <c r="T40">
        <f t="shared" si="0"/>
        <v>0</v>
      </c>
      <c r="U40">
        <f t="shared" si="0"/>
        <v>1</v>
      </c>
      <c r="V40">
        <f t="shared" si="0"/>
        <v>0</v>
      </c>
      <c r="W40">
        <f t="shared" si="0"/>
        <v>109</v>
      </c>
    </row>
    <row r="42" ht="12.75">
      <c r="A42" t="s">
        <v>402</v>
      </c>
    </row>
    <row r="43" spans="1:22" ht="12.75">
      <c r="A43" t="s">
        <v>378</v>
      </c>
      <c r="B43" t="s">
        <v>273</v>
      </c>
      <c r="C43" t="s">
        <v>266</v>
      </c>
      <c r="D43" t="s">
        <v>267</v>
      </c>
      <c r="E43" s="4" t="s">
        <v>268</v>
      </c>
      <c r="F43" t="s">
        <v>269</v>
      </c>
      <c r="G43" t="s">
        <v>274</v>
      </c>
      <c r="H43" t="s">
        <v>340</v>
      </c>
      <c r="I43" t="s">
        <v>341</v>
      </c>
      <c r="J43" t="s">
        <v>342</v>
      </c>
      <c r="K43" t="s">
        <v>343</v>
      </c>
      <c r="L43" t="s">
        <v>344</v>
      </c>
      <c r="M43" t="s">
        <v>345</v>
      </c>
      <c r="N43" t="s">
        <v>346</v>
      </c>
      <c r="O43" t="s">
        <v>347</v>
      </c>
      <c r="P43" t="s">
        <v>348</v>
      </c>
      <c r="Q43" t="s">
        <v>349</v>
      </c>
      <c r="R43" t="s">
        <v>350</v>
      </c>
      <c r="S43" t="s">
        <v>351</v>
      </c>
      <c r="T43" t="s">
        <v>352</v>
      </c>
      <c r="U43" t="s">
        <v>353</v>
      </c>
      <c r="V43" t="s">
        <v>354</v>
      </c>
    </row>
    <row r="44" spans="1:7" ht="12.75">
      <c r="A44" t="s">
        <v>377</v>
      </c>
      <c r="B44" s="14">
        <f aca="true" t="shared" si="1" ref="B44:G44">B28</f>
        <v>0.23061630218687873</v>
      </c>
      <c r="C44" s="14">
        <f t="shared" si="1"/>
        <v>0.3240556660039761</v>
      </c>
      <c r="D44" s="14">
        <f t="shared" si="1"/>
        <v>0.14314115308151093</v>
      </c>
      <c r="E44" s="14">
        <f t="shared" si="1"/>
        <v>0.06958250497017893</v>
      </c>
      <c r="F44" s="14">
        <f t="shared" si="1"/>
        <v>0.06560636182902585</v>
      </c>
      <c r="G44" s="14">
        <f t="shared" si="1"/>
        <v>0.039761431411530816</v>
      </c>
    </row>
    <row r="45" spans="1:13" ht="12.75">
      <c r="A45" t="s">
        <v>379</v>
      </c>
      <c r="B45" s="14">
        <f>B29</f>
        <v>0</v>
      </c>
      <c r="C45" s="14">
        <f aca="true" t="shared" si="2" ref="C45:M45">C29</f>
        <v>0.125</v>
      </c>
      <c r="D45" s="14">
        <f t="shared" si="2"/>
        <v>0.25</v>
      </c>
      <c r="E45" s="14">
        <f t="shared" si="2"/>
        <v>0.375</v>
      </c>
      <c r="F45" s="14">
        <f t="shared" si="2"/>
        <v>0.125</v>
      </c>
      <c r="G45" s="14">
        <f t="shared" si="2"/>
        <v>0</v>
      </c>
      <c r="H45" s="14">
        <f t="shared" si="2"/>
        <v>0.125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14">
        <f t="shared" si="2"/>
        <v>0</v>
      </c>
    </row>
    <row r="46" spans="1:22" ht="12.75">
      <c r="A46" t="s">
        <v>405</v>
      </c>
      <c r="B46" s="14">
        <f>B40/$W$40</f>
        <v>0</v>
      </c>
      <c r="C46" s="14">
        <f aca="true" t="shared" si="3" ref="C46:V46">C40/$W$40</f>
        <v>0.08256880733944955</v>
      </c>
      <c r="D46" s="14">
        <f t="shared" si="3"/>
        <v>0.045871559633027525</v>
      </c>
      <c r="E46" s="14">
        <f t="shared" si="3"/>
        <v>0.11009174311926606</v>
      </c>
      <c r="F46" s="14">
        <f t="shared" si="3"/>
        <v>0.1651376146788991</v>
      </c>
      <c r="G46" s="14">
        <f t="shared" si="3"/>
        <v>0.09174311926605505</v>
      </c>
      <c r="H46" s="14">
        <f t="shared" si="3"/>
        <v>0.05504587155963303</v>
      </c>
      <c r="I46" s="14">
        <f t="shared" si="3"/>
        <v>0.11009174311926606</v>
      </c>
      <c r="J46" s="14">
        <f t="shared" si="3"/>
        <v>0.08256880733944955</v>
      </c>
      <c r="K46" s="14">
        <f t="shared" si="3"/>
        <v>0.07339449541284404</v>
      </c>
      <c r="L46" s="14">
        <f t="shared" si="3"/>
        <v>0.027522935779816515</v>
      </c>
      <c r="M46" s="14">
        <f t="shared" si="3"/>
        <v>0.045871559633027525</v>
      </c>
      <c r="N46" s="14">
        <f t="shared" si="3"/>
        <v>0.027522935779816515</v>
      </c>
      <c r="O46" s="14">
        <f t="shared" si="3"/>
        <v>0.009174311926605505</v>
      </c>
      <c r="P46" s="14">
        <f t="shared" si="3"/>
        <v>0.03669724770642202</v>
      </c>
      <c r="Q46" s="14">
        <f t="shared" si="3"/>
        <v>0.01834862385321101</v>
      </c>
      <c r="R46" s="14">
        <f t="shared" si="3"/>
        <v>0.009174311926605505</v>
      </c>
      <c r="S46" s="14">
        <f t="shared" si="3"/>
        <v>0</v>
      </c>
      <c r="T46" s="14">
        <f t="shared" si="3"/>
        <v>0</v>
      </c>
      <c r="U46" s="14">
        <f t="shared" si="3"/>
        <v>0.009174311926605505</v>
      </c>
      <c r="V46" s="14">
        <f t="shared" si="3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G20">
      <selection activeCell="U46" sqref="U46"/>
    </sheetView>
  </sheetViews>
  <sheetFormatPr defaultColWidth="9.140625" defaultRowHeight="12.75"/>
  <cols>
    <col min="1" max="1" width="32.7109375" style="0" customWidth="1"/>
  </cols>
  <sheetData>
    <row r="1" ht="12.75">
      <c r="A1" t="s">
        <v>262</v>
      </c>
    </row>
    <row r="2" ht="12.75">
      <c r="L2" t="s">
        <v>400</v>
      </c>
    </row>
    <row r="3" spans="1:12" ht="12.75">
      <c r="A3" t="s">
        <v>263</v>
      </c>
      <c r="L3" t="s">
        <v>372</v>
      </c>
    </row>
    <row r="4" spans="1:21" ht="12.75">
      <c r="A4" t="s">
        <v>270</v>
      </c>
      <c r="B4">
        <v>1</v>
      </c>
      <c r="C4">
        <v>5</v>
      </c>
      <c r="D4">
        <v>10</v>
      </c>
      <c r="E4" s="4">
        <v>15</v>
      </c>
      <c r="F4">
        <v>20</v>
      </c>
      <c r="G4">
        <v>25</v>
      </c>
      <c r="H4">
        <v>170</v>
      </c>
      <c r="L4" t="s">
        <v>272</v>
      </c>
      <c r="N4" t="s">
        <v>273</v>
      </c>
      <c r="O4" t="s">
        <v>266</v>
      </c>
      <c r="P4" t="s">
        <v>267</v>
      </c>
      <c r="Q4" s="4" t="s">
        <v>268</v>
      </c>
      <c r="R4" t="s">
        <v>269</v>
      </c>
      <c r="S4" t="s">
        <v>274</v>
      </c>
      <c r="T4" t="s">
        <v>275</v>
      </c>
      <c r="U4" t="s">
        <v>355</v>
      </c>
    </row>
    <row r="5" spans="1:21" ht="12.75">
      <c r="A5" t="s">
        <v>271</v>
      </c>
      <c r="B5">
        <v>0</v>
      </c>
      <c r="C5">
        <v>1</v>
      </c>
      <c r="D5">
        <v>6</v>
      </c>
      <c r="E5" s="4">
        <v>11</v>
      </c>
      <c r="F5">
        <v>16</v>
      </c>
      <c r="G5">
        <v>21</v>
      </c>
      <c r="H5">
        <v>26</v>
      </c>
      <c r="L5" t="s">
        <v>265</v>
      </c>
      <c r="N5" s="14">
        <f>N6/$U$6</f>
        <v>0.2645631067961165</v>
      </c>
      <c r="O5" s="14">
        <f aca="true" t="shared" si="0" ref="O5:T5">O6/$U$6</f>
        <v>0.33737864077669905</v>
      </c>
      <c r="P5" s="14">
        <f t="shared" si="0"/>
        <v>0.13349514563106796</v>
      </c>
      <c r="Q5" s="14">
        <f t="shared" si="0"/>
        <v>0.06310679611650485</v>
      </c>
      <c r="R5" s="14">
        <f t="shared" si="0"/>
        <v>0.05825242718446602</v>
      </c>
      <c r="S5" s="14">
        <f t="shared" si="0"/>
        <v>0.03398058252427184</v>
      </c>
      <c r="T5" s="14">
        <f t="shared" si="0"/>
        <v>0.10922330097087378</v>
      </c>
      <c r="U5" s="14">
        <f>SUM(N5:T5)</f>
        <v>0.9999999999999999</v>
      </c>
    </row>
    <row r="6" spans="1:21" ht="12.75">
      <c r="A6" t="s">
        <v>272</v>
      </c>
      <c r="B6" t="s">
        <v>273</v>
      </c>
      <c r="C6" t="s">
        <v>266</v>
      </c>
      <c r="D6" t="s">
        <v>267</v>
      </c>
      <c r="E6" s="4" t="s">
        <v>268</v>
      </c>
      <c r="F6" t="s">
        <v>269</v>
      </c>
      <c r="G6" t="s">
        <v>274</v>
      </c>
      <c r="H6" t="s">
        <v>275</v>
      </c>
      <c r="L6" t="s">
        <v>264</v>
      </c>
      <c r="N6">
        <v>109</v>
      </c>
      <c r="O6">
        <v>139</v>
      </c>
      <c r="P6">
        <v>55</v>
      </c>
      <c r="Q6">
        <v>26</v>
      </c>
      <c r="R6">
        <v>24</v>
      </c>
      <c r="S6">
        <v>14</v>
      </c>
      <c r="T6">
        <v>45</v>
      </c>
      <c r="U6">
        <f>SUM(N6:T6)</f>
        <v>412</v>
      </c>
    </row>
    <row r="7" spans="1:10" ht="12.75">
      <c r="A7" t="s">
        <v>264</v>
      </c>
      <c r="B7">
        <v>56</v>
      </c>
      <c r="C7">
        <v>87</v>
      </c>
      <c r="D7">
        <v>36</v>
      </c>
      <c r="E7">
        <v>15</v>
      </c>
      <c r="F7">
        <v>13</v>
      </c>
      <c r="G7">
        <v>5</v>
      </c>
      <c r="H7">
        <v>19</v>
      </c>
      <c r="I7" t="s">
        <v>276</v>
      </c>
      <c r="J7">
        <v>231</v>
      </c>
    </row>
    <row r="8" spans="1:8" ht="12.75">
      <c r="A8" t="s">
        <v>265</v>
      </c>
      <c r="B8" s="14">
        <f>B7/$J$7</f>
        <v>0.24242424242424243</v>
      </c>
      <c r="C8" s="14">
        <f aca="true" t="shared" si="1" ref="C8:H8">C7/$J$7</f>
        <v>0.37662337662337664</v>
      </c>
      <c r="D8" s="14">
        <f t="shared" si="1"/>
        <v>0.15584415584415584</v>
      </c>
      <c r="E8" s="14">
        <f t="shared" si="1"/>
        <v>0.06493506493506493</v>
      </c>
      <c r="F8" s="14">
        <f t="shared" si="1"/>
        <v>0.05627705627705628</v>
      </c>
      <c r="G8" s="14">
        <f t="shared" si="1"/>
        <v>0.021645021645021644</v>
      </c>
      <c r="H8" s="14">
        <f t="shared" si="1"/>
        <v>0.08225108225108226</v>
      </c>
    </row>
    <row r="27" ht="12.75">
      <c r="L27" t="s">
        <v>401</v>
      </c>
    </row>
    <row r="28" spans="1:12" ht="12.75">
      <c r="A28" t="s">
        <v>372</v>
      </c>
      <c r="L28" t="s">
        <v>356</v>
      </c>
    </row>
    <row r="29" spans="1:21" ht="12.75">
      <c r="A29" t="s">
        <v>272</v>
      </c>
      <c r="B29" t="s">
        <v>273</v>
      </c>
      <c r="C29" t="s">
        <v>266</v>
      </c>
      <c r="D29" t="s">
        <v>267</v>
      </c>
      <c r="E29" s="4" t="s">
        <v>268</v>
      </c>
      <c r="F29" t="s">
        <v>269</v>
      </c>
      <c r="G29" t="s">
        <v>274</v>
      </c>
      <c r="H29" t="s">
        <v>275</v>
      </c>
      <c r="L29" t="s">
        <v>272</v>
      </c>
      <c r="N29" t="s">
        <v>273</v>
      </c>
      <c r="O29" t="s">
        <v>266</v>
      </c>
      <c r="P29" t="s">
        <v>267</v>
      </c>
      <c r="Q29" s="4" t="s">
        <v>268</v>
      </c>
      <c r="R29" t="s">
        <v>269</v>
      </c>
      <c r="S29" t="s">
        <v>274</v>
      </c>
      <c r="T29" t="s">
        <v>376</v>
      </c>
      <c r="U29" t="s">
        <v>355</v>
      </c>
    </row>
    <row r="30" spans="1:21" ht="12.75">
      <c r="A30" t="s">
        <v>265</v>
      </c>
      <c r="B30" s="14">
        <f aca="true" t="shared" si="2" ref="B30:H30">B31/$J$7</f>
        <v>0.24242424242424243</v>
      </c>
      <c r="C30" s="14">
        <f t="shared" si="2"/>
        <v>0.37662337662337664</v>
      </c>
      <c r="D30" s="14">
        <f t="shared" si="2"/>
        <v>0.15584415584415584</v>
      </c>
      <c r="E30" s="14">
        <f t="shared" si="2"/>
        <v>0.06493506493506493</v>
      </c>
      <c r="F30" s="14">
        <f t="shared" si="2"/>
        <v>0.05627705627705628</v>
      </c>
      <c r="G30" s="14">
        <f t="shared" si="2"/>
        <v>0.021645021645021644</v>
      </c>
      <c r="H30" s="14">
        <f t="shared" si="2"/>
        <v>0.08225108225108226</v>
      </c>
      <c r="L30" t="s">
        <v>441</v>
      </c>
      <c r="N30" s="14">
        <f>N31/$U$31</f>
        <v>0.23061630218687873</v>
      </c>
      <c r="O30" s="14">
        <f aca="true" t="shared" si="3" ref="O30:T30">O31/$U$31</f>
        <v>0.3240556660039761</v>
      </c>
      <c r="P30" s="14">
        <f t="shared" si="3"/>
        <v>0.14314115308151093</v>
      </c>
      <c r="Q30" s="14">
        <f t="shared" si="3"/>
        <v>0.06958250497017893</v>
      </c>
      <c r="R30" s="14">
        <f t="shared" si="3"/>
        <v>0.06560636182902585</v>
      </c>
      <c r="S30" s="14">
        <f t="shared" si="3"/>
        <v>0.039761431411530816</v>
      </c>
      <c r="T30" s="14">
        <f t="shared" si="3"/>
        <v>0.1272365805168986</v>
      </c>
      <c r="U30" s="14">
        <f>SUM(N30:T30)</f>
        <v>0.9999999999999998</v>
      </c>
    </row>
    <row r="31" spans="1:21" ht="12.75">
      <c r="A31" t="s">
        <v>264</v>
      </c>
      <c r="B31">
        <v>56</v>
      </c>
      <c r="C31">
        <v>87</v>
      </c>
      <c r="D31">
        <v>36</v>
      </c>
      <c r="E31">
        <v>15</v>
      </c>
      <c r="F31">
        <v>13</v>
      </c>
      <c r="G31">
        <v>5</v>
      </c>
      <c r="H31">
        <v>19</v>
      </c>
      <c r="I31" t="s">
        <v>276</v>
      </c>
      <c r="J31">
        <v>231</v>
      </c>
      <c r="L31" t="s">
        <v>375</v>
      </c>
      <c r="N31">
        <f>N6+'Vapor Degreasing'!H138</f>
        <v>116</v>
      </c>
      <c r="O31">
        <f>O6+'Vapor Degreasing'!I138</f>
        <v>163</v>
      </c>
      <c r="P31">
        <f>P6+'Vapor Degreasing'!J138</f>
        <v>72</v>
      </c>
      <c r="Q31">
        <f>Q6+'Vapor Degreasing'!K138</f>
        <v>35</v>
      </c>
      <c r="R31">
        <f>R6+'Vapor Degreasing'!L138</f>
        <v>33</v>
      </c>
      <c r="S31">
        <f>S6+'Vapor Degreasing'!M138</f>
        <v>20</v>
      </c>
      <c r="T31">
        <f>T6+'Vapor Degreasing'!N138+'Vapor Degreasing'!O138+'Vapor Degreasing'!P138+'Vapor Degreasing'!Q138</f>
        <v>64</v>
      </c>
      <c r="U31">
        <f>SUM(N31:T31)</f>
        <v>503</v>
      </c>
    </row>
    <row r="52" ht="12.75">
      <c r="A52" t="s">
        <v>369</v>
      </c>
    </row>
    <row r="53" ht="12.75">
      <c r="A53" t="s">
        <v>356</v>
      </c>
    </row>
    <row r="54" spans="1:17" ht="12.75">
      <c r="A54" t="s">
        <v>272</v>
      </c>
      <c r="B54" t="s">
        <v>273</v>
      </c>
      <c r="C54" t="s">
        <v>266</v>
      </c>
      <c r="D54" t="s">
        <v>267</v>
      </c>
      <c r="E54" s="4" t="s">
        <v>268</v>
      </c>
      <c r="F54" t="s">
        <v>269</v>
      </c>
      <c r="G54" t="s">
        <v>274</v>
      </c>
      <c r="H54" t="s">
        <v>340</v>
      </c>
      <c r="I54" t="s">
        <v>341</v>
      </c>
      <c r="J54" t="s">
        <v>342</v>
      </c>
      <c r="K54" t="s">
        <v>343</v>
      </c>
      <c r="L54" t="s">
        <v>344</v>
      </c>
      <c r="M54" t="s">
        <v>345</v>
      </c>
      <c r="N54" t="s">
        <v>346</v>
      </c>
      <c r="O54" t="s">
        <v>347</v>
      </c>
      <c r="P54" t="s">
        <v>370</v>
      </c>
      <c r="Q54" t="s">
        <v>355</v>
      </c>
    </row>
    <row r="55" spans="1:17" ht="12.75">
      <c r="A55" t="s">
        <v>371</v>
      </c>
      <c r="B55" s="14">
        <f>B56/$Q$56</f>
        <v>0.07692307692307693</v>
      </c>
      <c r="C55" s="14">
        <f aca="true" t="shared" si="4" ref="C55:P55">C56/$Q$56</f>
        <v>0.26373626373626374</v>
      </c>
      <c r="D55" s="14">
        <f t="shared" si="4"/>
        <v>0.18681318681318682</v>
      </c>
      <c r="E55" s="14">
        <f t="shared" si="4"/>
        <v>0.0989010989010989</v>
      </c>
      <c r="F55" s="14">
        <f t="shared" si="4"/>
        <v>0.0989010989010989</v>
      </c>
      <c r="G55" s="14">
        <f t="shared" si="4"/>
        <v>0.06593406593406594</v>
      </c>
      <c r="H55" s="14">
        <f t="shared" si="4"/>
        <v>0.06593406593406594</v>
      </c>
      <c r="I55" s="14">
        <f t="shared" si="4"/>
        <v>0.04395604395604396</v>
      </c>
      <c r="J55" s="14">
        <f t="shared" si="4"/>
        <v>0.08791208791208792</v>
      </c>
      <c r="K55" s="14">
        <f t="shared" si="4"/>
        <v>0.01098901098901099</v>
      </c>
      <c r="L55" s="14">
        <f t="shared" si="4"/>
        <v>0</v>
      </c>
      <c r="M55" s="14">
        <f t="shared" si="4"/>
        <v>0</v>
      </c>
      <c r="N55" s="14">
        <f t="shared" si="4"/>
        <v>0</v>
      </c>
      <c r="O55" s="14">
        <f t="shared" si="4"/>
        <v>0</v>
      </c>
      <c r="P55" s="14">
        <f t="shared" si="4"/>
        <v>0</v>
      </c>
      <c r="Q55" s="14"/>
    </row>
    <row r="56" spans="1:17" ht="12.75">
      <c r="A56" t="s">
        <v>264</v>
      </c>
      <c r="B56">
        <f>'Vapor Degreasing'!H138</f>
        <v>7</v>
      </c>
      <c r="C56">
        <f>'Vapor Degreasing'!I138</f>
        <v>24</v>
      </c>
      <c r="D56">
        <f>'Vapor Degreasing'!J138</f>
        <v>17</v>
      </c>
      <c r="E56">
        <f>'Vapor Degreasing'!K138</f>
        <v>9</v>
      </c>
      <c r="F56">
        <f>'Vapor Degreasing'!L138</f>
        <v>9</v>
      </c>
      <c r="G56">
        <f>'Vapor Degreasing'!M138</f>
        <v>6</v>
      </c>
      <c r="H56">
        <f>'Vapor Degreasing'!N138</f>
        <v>6</v>
      </c>
      <c r="I56">
        <f>'Vapor Degreasing'!O138</f>
        <v>4</v>
      </c>
      <c r="J56">
        <f>'Vapor Degreasing'!P138</f>
        <v>8</v>
      </c>
      <c r="K56">
        <f>'Vapor Degreasing'!Q138</f>
        <v>1</v>
      </c>
      <c r="L56">
        <f>'Vapor Degreasing'!R138</f>
        <v>0</v>
      </c>
      <c r="M56">
        <f>'Vapor Degreasing'!S138</f>
        <v>0</v>
      </c>
      <c r="N56">
        <f>'Vapor Degreasing'!T138</f>
        <v>0</v>
      </c>
      <c r="O56">
        <f>'Vapor Degreasing'!U138</f>
        <v>0</v>
      </c>
      <c r="P56">
        <f>'Vapor Degreasing'!V138</f>
        <v>0</v>
      </c>
      <c r="Q56">
        <f>'Vapor Degreasing'!W138</f>
        <v>91</v>
      </c>
    </row>
    <row r="58" ht="12.75">
      <c r="A58" t="s">
        <v>373</v>
      </c>
    </row>
    <row r="59" ht="12.75">
      <c r="A59" t="s">
        <v>356</v>
      </c>
    </row>
    <row r="60" spans="1:17" ht="12.75">
      <c r="A60" t="s">
        <v>272</v>
      </c>
      <c r="B60" t="s">
        <v>273</v>
      </c>
      <c r="C60" t="s">
        <v>266</v>
      </c>
      <c r="D60" t="s">
        <v>267</v>
      </c>
      <c r="E60" s="4" t="s">
        <v>268</v>
      </c>
      <c r="F60" t="s">
        <v>269</v>
      </c>
      <c r="G60" t="s">
        <v>274</v>
      </c>
      <c r="H60" t="s">
        <v>376</v>
      </c>
      <c r="I60" t="s">
        <v>355</v>
      </c>
      <c r="Q60" t="s">
        <v>355</v>
      </c>
    </row>
    <row r="61" spans="1:8" ht="12.75">
      <c r="A61" t="s">
        <v>374</v>
      </c>
      <c r="B61" s="14">
        <f>B62/$I$62</f>
        <v>0.19207317073170732</v>
      </c>
      <c r="C61" s="14">
        <f aca="true" t="shared" si="5" ref="C61:H61">C62/$I$62</f>
        <v>0.3384146341463415</v>
      </c>
      <c r="D61" s="14">
        <f t="shared" si="5"/>
        <v>0.16158536585365854</v>
      </c>
      <c r="E61" s="14">
        <f t="shared" si="5"/>
        <v>0.07317073170731707</v>
      </c>
      <c r="F61" s="14">
        <f t="shared" si="5"/>
        <v>0.06707317073170732</v>
      </c>
      <c r="G61" s="14">
        <f t="shared" si="5"/>
        <v>0.03353658536585366</v>
      </c>
      <c r="H61" s="14">
        <f t="shared" si="5"/>
        <v>0.13414634146341464</v>
      </c>
    </row>
    <row r="62" spans="1:19" ht="12.75">
      <c r="A62" t="s">
        <v>375</v>
      </c>
      <c r="B62">
        <f>B56+B31</f>
        <v>63</v>
      </c>
      <c r="C62">
        <f aca="true" t="shared" si="6" ref="C62:S62">C56+C31</f>
        <v>111</v>
      </c>
      <c r="D62">
        <f t="shared" si="6"/>
        <v>53</v>
      </c>
      <c r="E62">
        <f t="shared" si="6"/>
        <v>24</v>
      </c>
      <c r="F62">
        <f t="shared" si="6"/>
        <v>22</v>
      </c>
      <c r="G62">
        <f t="shared" si="6"/>
        <v>11</v>
      </c>
      <c r="H62">
        <f>H31+H56+H56+I56+J56+K56</f>
        <v>44</v>
      </c>
      <c r="I62">
        <f>SUM(B62:H62)</f>
        <v>328</v>
      </c>
      <c r="Q62">
        <f t="shared" si="6"/>
        <v>126</v>
      </c>
      <c r="R62">
        <f t="shared" si="6"/>
        <v>33</v>
      </c>
      <c r="S62">
        <f t="shared" si="6"/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2"/>
  <sheetViews>
    <sheetView tabSelected="1" workbookViewId="0" topLeftCell="F1">
      <selection activeCell="O36" sqref="O36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3.00390625" style="0" customWidth="1"/>
    <col min="4" max="4" width="11.28125" style="0" customWidth="1"/>
    <col min="6" max="6" width="18.8515625" style="0" customWidth="1"/>
    <col min="7" max="7" width="16.57421875" style="0" customWidth="1"/>
    <col min="8" max="8" width="12.7109375" style="0" customWidth="1"/>
    <col min="12" max="12" width="15.8515625" style="0" customWidth="1"/>
  </cols>
  <sheetData>
    <row r="1" spans="1:6" ht="12.75">
      <c r="A1" t="s">
        <v>109</v>
      </c>
      <c r="F1" t="s">
        <v>259</v>
      </c>
    </row>
    <row r="2" spans="1:6" ht="12.75">
      <c r="A2" t="s">
        <v>107</v>
      </c>
      <c r="F2" t="s">
        <v>110</v>
      </c>
    </row>
    <row r="3" spans="1:3" ht="25.5">
      <c r="A3" s="16" t="s">
        <v>64</v>
      </c>
      <c r="B3" s="16" t="s">
        <v>65</v>
      </c>
      <c r="C3" s="17" t="s">
        <v>66</v>
      </c>
    </row>
    <row r="4" spans="1:13" ht="25.5">
      <c r="A4" s="16" t="s">
        <v>67</v>
      </c>
      <c r="B4" s="16" t="s">
        <v>68</v>
      </c>
      <c r="C4" s="16">
        <v>6.7</v>
      </c>
      <c r="F4" t="s">
        <v>112</v>
      </c>
      <c r="L4" t="s">
        <v>137</v>
      </c>
      <c r="M4" t="s">
        <v>113</v>
      </c>
    </row>
    <row r="5" spans="1:13" ht="25.5">
      <c r="A5" s="16" t="s">
        <v>67</v>
      </c>
      <c r="B5" s="16" t="s">
        <v>68</v>
      </c>
      <c r="C5" s="18">
        <v>16</v>
      </c>
      <c r="F5" t="s">
        <v>111</v>
      </c>
      <c r="L5" t="s">
        <v>427</v>
      </c>
      <c r="M5">
        <v>3</v>
      </c>
    </row>
    <row r="6" spans="1:13" ht="25.5">
      <c r="A6" s="16" t="s">
        <v>67</v>
      </c>
      <c r="B6" s="16" t="s">
        <v>68</v>
      </c>
      <c r="C6" s="18">
        <v>18</v>
      </c>
      <c r="L6" t="s">
        <v>428</v>
      </c>
      <c r="M6">
        <v>3</v>
      </c>
    </row>
    <row r="7" spans="1:13" ht="25.5">
      <c r="A7" s="16" t="s">
        <v>67</v>
      </c>
      <c r="B7" s="16" t="s">
        <v>68</v>
      </c>
      <c r="C7" s="18">
        <v>35</v>
      </c>
      <c r="F7" t="s">
        <v>137</v>
      </c>
      <c r="G7" t="s">
        <v>113</v>
      </c>
      <c r="L7" t="s">
        <v>429</v>
      </c>
      <c r="M7">
        <v>2</v>
      </c>
    </row>
    <row r="8" spans="1:13" ht="25.5">
      <c r="A8" s="16" t="s">
        <v>67</v>
      </c>
      <c r="B8" s="16" t="s">
        <v>68</v>
      </c>
      <c r="C8" s="18">
        <v>26</v>
      </c>
      <c r="F8" t="s">
        <v>427</v>
      </c>
      <c r="G8">
        <v>3</v>
      </c>
      <c r="L8" t="s">
        <v>430</v>
      </c>
      <c r="M8">
        <v>1</v>
      </c>
    </row>
    <row r="9" spans="1:13" ht="25.5">
      <c r="A9" s="16" t="s">
        <v>67</v>
      </c>
      <c r="B9" s="16" t="s">
        <v>68</v>
      </c>
      <c r="C9" s="18">
        <v>15</v>
      </c>
      <c r="F9" t="s">
        <v>136</v>
      </c>
      <c r="G9">
        <v>2</v>
      </c>
      <c r="L9" t="s">
        <v>136</v>
      </c>
      <c r="M9">
        <v>2</v>
      </c>
    </row>
    <row r="10" spans="1:13" ht="25.5">
      <c r="A10" s="16" t="s">
        <v>67</v>
      </c>
      <c r="B10" s="16" t="s">
        <v>68</v>
      </c>
      <c r="C10" s="18">
        <v>6.7</v>
      </c>
      <c r="L10" t="s">
        <v>141</v>
      </c>
      <c r="M10">
        <v>2</v>
      </c>
    </row>
    <row r="11" spans="1:3" ht="25.5">
      <c r="A11" s="16" t="s">
        <v>67</v>
      </c>
      <c r="B11" s="16" t="s">
        <v>68</v>
      </c>
      <c r="C11" s="16">
        <v>14</v>
      </c>
    </row>
    <row r="12" spans="1:14" ht="25.5">
      <c r="A12" s="16" t="s">
        <v>67</v>
      </c>
      <c r="B12" s="16" t="s">
        <v>68</v>
      </c>
      <c r="C12" s="16" t="s">
        <v>69</v>
      </c>
      <c r="F12" t="s">
        <v>138</v>
      </c>
      <c r="G12" t="s">
        <v>113</v>
      </c>
      <c r="L12" t="s">
        <v>382</v>
      </c>
      <c r="N12" t="s">
        <v>187</v>
      </c>
    </row>
    <row r="13" spans="1:14" ht="25.5">
      <c r="A13" s="16" t="s">
        <v>67</v>
      </c>
      <c r="B13" s="16" t="s">
        <v>68</v>
      </c>
      <c r="C13" s="16">
        <v>3.9</v>
      </c>
      <c r="F13" t="s">
        <v>139</v>
      </c>
      <c r="G13">
        <v>62</v>
      </c>
      <c r="L13" t="s">
        <v>431</v>
      </c>
      <c r="N13">
        <v>72</v>
      </c>
    </row>
    <row r="14" spans="1:14" ht="25.5">
      <c r="A14" s="16" t="s">
        <v>67</v>
      </c>
      <c r="B14" s="16" t="s">
        <v>70</v>
      </c>
      <c r="C14" s="16">
        <v>19</v>
      </c>
      <c r="F14" t="s">
        <v>140</v>
      </c>
      <c r="G14">
        <v>74</v>
      </c>
      <c r="L14" t="s">
        <v>432</v>
      </c>
      <c r="N14">
        <v>66</v>
      </c>
    </row>
    <row r="15" spans="1:16" ht="38.25">
      <c r="A15" s="16" t="s">
        <v>67</v>
      </c>
      <c r="B15" s="16" t="s">
        <v>71</v>
      </c>
      <c r="C15" s="16">
        <v>33</v>
      </c>
      <c r="F15" t="s">
        <v>141</v>
      </c>
      <c r="G15">
        <v>66</v>
      </c>
      <c r="L15" t="s">
        <v>433</v>
      </c>
      <c r="N15">
        <v>16</v>
      </c>
      <c r="P15" t="s">
        <v>413</v>
      </c>
    </row>
    <row r="16" spans="1:14" ht="25.5">
      <c r="A16" s="16" t="s">
        <v>67</v>
      </c>
      <c r="B16" s="16" t="s">
        <v>72</v>
      </c>
      <c r="C16" s="16">
        <v>33</v>
      </c>
      <c r="F16" t="s">
        <v>142</v>
      </c>
      <c r="G16">
        <v>72</v>
      </c>
      <c r="L16" t="s">
        <v>434</v>
      </c>
      <c r="N16">
        <v>21</v>
      </c>
    </row>
    <row r="17" spans="1:14" ht="25.5">
      <c r="A17" s="16" t="s">
        <v>67</v>
      </c>
      <c r="B17" s="16" t="s">
        <v>72</v>
      </c>
      <c r="C17" s="16">
        <v>47</v>
      </c>
      <c r="L17" t="s">
        <v>435</v>
      </c>
      <c r="N17">
        <v>24</v>
      </c>
    </row>
    <row r="18" spans="1:14" ht="25.5">
      <c r="A18" s="16" t="s">
        <v>67</v>
      </c>
      <c r="B18" s="16" t="s">
        <v>68</v>
      </c>
      <c r="C18" s="16">
        <v>3.7</v>
      </c>
      <c r="L18" t="s">
        <v>436</v>
      </c>
      <c r="N18">
        <v>74</v>
      </c>
    </row>
    <row r="19" spans="1:14" ht="25.5">
      <c r="A19" s="16" t="s">
        <v>67</v>
      </c>
      <c r="B19" s="16" t="s">
        <v>73</v>
      </c>
      <c r="C19" s="16">
        <v>11</v>
      </c>
      <c r="L19" t="s">
        <v>437</v>
      </c>
      <c r="N19">
        <v>62</v>
      </c>
    </row>
    <row r="20" spans="1:14" ht="25.5">
      <c r="A20" s="16" t="s">
        <v>67</v>
      </c>
      <c r="B20" s="16" t="s">
        <v>73</v>
      </c>
      <c r="C20" s="16">
        <v>16</v>
      </c>
      <c r="L20" t="s">
        <v>450</v>
      </c>
      <c r="N20">
        <v>86</v>
      </c>
    </row>
    <row r="21" spans="1:3" ht="25.5">
      <c r="A21" s="16" t="s">
        <v>67</v>
      </c>
      <c r="B21" s="16" t="s">
        <v>73</v>
      </c>
      <c r="C21" s="16">
        <v>6.6</v>
      </c>
    </row>
    <row r="22" spans="1:16" ht="25.5">
      <c r="A22" s="16" t="s">
        <v>67</v>
      </c>
      <c r="B22" s="16" t="s">
        <v>73</v>
      </c>
      <c r="C22" s="16">
        <v>11</v>
      </c>
      <c r="F22" t="s">
        <v>143</v>
      </c>
      <c r="G22" t="s">
        <v>113</v>
      </c>
      <c r="L22" t="s">
        <v>383</v>
      </c>
      <c r="N22" t="s">
        <v>187</v>
      </c>
      <c r="P22" t="s">
        <v>407</v>
      </c>
    </row>
    <row r="23" spans="1:14" ht="25.5">
      <c r="A23" s="16" t="s">
        <v>67</v>
      </c>
      <c r="B23" s="16" t="s">
        <v>73</v>
      </c>
      <c r="C23" s="16">
        <v>12</v>
      </c>
      <c r="F23" t="s">
        <v>429</v>
      </c>
      <c r="G23">
        <v>6</v>
      </c>
      <c r="L23" t="s">
        <v>384</v>
      </c>
      <c r="N23">
        <v>6</v>
      </c>
    </row>
    <row r="24" spans="1:14" ht="25.5">
      <c r="A24" s="16" t="s">
        <v>67</v>
      </c>
      <c r="B24" s="16" t="s">
        <v>73</v>
      </c>
      <c r="C24" s="16">
        <v>9.5</v>
      </c>
      <c r="F24" t="s">
        <v>438</v>
      </c>
      <c r="G24">
        <v>15</v>
      </c>
      <c r="L24" t="s">
        <v>387</v>
      </c>
      <c r="N24">
        <v>15</v>
      </c>
    </row>
    <row r="25" spans="1:14" ht="25.5">
      <c r="A25" s="16" t="s">
        <v>67</v>
      </c>
      <c r="B25" s="16" t="s">
        <v>73</v>
      </c>
      <c r="C25" s="16">
        <v>33</v>
      </c>
      <c r="F25" t="s">
        <v>144</v>
      </c>
      <c r="G25">
        <v>42</v>
      </c>
      <c r="L25" t="s">
        <v>385</v>
      </c>
      <c r="N25">
        <v>42</v>
      </c>
    </row>
    <row r="26" spans="1:14" ht="25.5">
      <c r="A26" s="16" t="s">
        <v>67</v>
      </c>
      <c r="B26" s="16" t="s">
        <v>73</v>
      </c>
      <c r="C26" s="16">
        <v>8.4</v>
      </c>
      <c r="F26" t="s">
        <v>145</v>
      </c>
      <c r="G26">
        <v>35</v>
      </c>
      <c r="L26" t="s">
        <v>386</v>
      </c>
      <c r="N26">
        <v>35</v>
      </c>
    </row>
    <row r="27" spans="1:3" ht="38.25">
      <c r="A27" s="16" t="s">
        <v>67</v>
      </c>
      <c r="B27" s="16" t="s">
        <v>74</v>
      </c>
      <c r="C27" s="16">
        <v>8.2</v>
      </c>
    </row>
    <row r="28" spans="1:14" ht="25.5">
      <c r="A28" s="16" t="s">
        <v>67</v>
      </c>
      <c r="B28" s="16" t="s">
        <v>73</v>
      </c>
      <c r="C28" s="16">
        <v>0.35</v>
      </c>
      <c r="F28" t="s">
        <v>146</v>
      </c>
      <c r="G28" t="s">
        <v>113</v>
      </c>
      <c r="L28" t="s">
        <v>388</v>
      </c>
      <c r="N28" t="s">
        <v>187</v>
      </c>
    </row>
    <row r="29" spans="1:14" ht="25.5">
      <c r="A29" s="19" t="s">
        <v>67</v>
      </c>
      <c r="B29" s="19" t="s">
        <v>73</v>
      </c>
      <c r="C29" s="16">
        <v>7.3</v>
      </c>
      <c r="F29" t="s">
        <v>147</v>
      </c>
      <c r="G29">
        <v>30</v>
      </c>
      <c r="L29" t="s">
        <v>389</v>
      </c>
      <c r="N29">
        <v>3</v>
      </c>
    </row>
    <row r="30" spans="1:14" ht="25.5">
      <c r="A30" s="19" t="s">
        <v>67</v>
      </c>
      <c r="B30" s="19" t="s">
        <v>73</v>
      </c>
      <c r="C30" s="16">
        <v>14</v>
      </c>
      <c r="F30" t="s">
        <v>148</v>
      </c>
      <c r="G30">
        <v>3</v>
      </c>
      <c r="L30" t="s">
        <v>390</v>
      </c>
      <c r="N30">
        <v>344</v>
      </c>
    </row>
    <row r="31" spans="1:14" ht="25.5">
      <c r="A31" s="19" t="s">
        <v>67</v>
      </c>
      <c r="B31" s="19" t="s">
        <v>73</v>
      </c>
      <c r="C31" s="16">
        <v>2.4</v>
      </c>
      <c r="L31" t="s">
        <v>391</v>
      </c>
      <c r="N31">
        <v>3</v>
      </c>
    </row>
    <row r="32" spans="1:14" ht="25.5">
      <c r="A32" s="19" t="s">
        <v>67</v>
      </c>
      <c r="B32" s="19" t="s">
        <v>73</v>
      </c>
      <c r="C32" s="16">
        <v>1.3</v>
      </c>
      <c r="L32" t="s">
        <v>392</v>
      </c>
      <c r="N32">
        <v>3</v>
      </c>
    </row>
    <row r="33" spans="1:3" ht="25.5">
      <c r="A33" s="19" t="s">
        <v>67</v>
      </c>
      <c r="B33" s="19" t="s">
        <v>73</v>
      </c>
      <c r="C33" s="16">
        <v>3.9</v>
      </c>
    </row>
    <row r="34" spans="1:14" ht="25.5">
      <c r="A34" s="19" t="s">
        <v>67</v>
      </c>
      <c r="B34" s="19" t="s">
        <v>73</v>
      </c>
      <c r="C34" s="16">
        <v>1.7</v>
      </c>
      <c r="F34" t="s">
        <v>149</v>
      </c>
      <c r="G34" t="s">
        <v>113</v>
      </c>
      <c r="L34" t="s">
        <v>393</v>
      </c>
      <c r="N34" t="s">
        <v>187</v>
      </c>
    </row>
    <row r="35" spans="1:14" ht="38.25">
      <c r="A35" s="16" t="s">
        <v>67</v>
      </c>
      <c r="B35" s="16" t="s">
        <v>75</v>
      </c>
      <c r="C35" s="16">
        <v>2.5</v>
      </c>
      <c r="F35" t="s">
        <v>150</v>
      </c>
      <c r="G35" t="s">
        <v>151</v>
      </c>
      <c r="L35" t="s">
        <v>394</v>
      </c>
      <c r="N35">
        <v>5</v>
      </c>
    </row>
    <row r="36" spans="1:14" ht="38.25">
      <c r="A36" s="16" t="s">
        <v>67</v>
      </c>
      <c r="B36" s="16" t="s">
        <v>76</v>
      </c>
      <c r="C36" s="16">
        <v>3.7</v>
      </c>
      <c r="F36" t="s">
        <v>152</v>
      </c>
      <c r="G36" t="s">
        <v>153</v>
      </c>
      <c r="L36" t="s">
        <v>395</v>
      </c>
      <c r="N36">
        <v>13</v>
      </c>
    </row>
    <row r="37" spans="1:14" ht="51" customHeight="1">
      <c r="A37" s="16" t="s">
        <v>67</v>
      </c>
      <c r="B37" s="16" t="s">
        <v>73</v>
      </c>
      <c r="C37" s="16">
        <v>41</v>
      </c>
      <c r="L37" t="s">
        <v>396</v>
      </c>
      <c r="N37">
        <v>42</v>
      </c>
    </row>
    <row r="38" spans="1:14" ht="25.5">
      <c r="A38" s="16" t="s">
        <v>67</v>
      </c>
      <c r="B38" s="16" t="s">
        <v>73</v>
      </c>
      <c r="C38" s="16">
        <v>3</v>
      </c>
      <c r="L38" t="s">
        <v>397</v>
      </c>
      <c r="N38">
        <v>4</v>
      </c>
    </row>
    <row r="39" spans="1:14" ht="25.5">
      <c r="A39" s="16" t="s">
        <v>67</v>
      </c>
      <c r="B39" s="19" t="s">
        <v>73</v>
      </c>
      <c r="C39" s="16">
        <v>1.8</v>
      </c>
      <c r="L39" t="s">
        <v>398</v>
      </c>
      <c r="N39">
        <v>5</v>
      </c>
    </row>
    <row r="40" spans="1:14" ht="25.5">
      <c r="A40" s="16" t="s">
        <v>67</v>
      </c>
      <c r="B40" s="19" t="s">
        <v>73</v>
      </c>
      <c r="C40" s="16">
        <v>2.6</v>
      </c>
      <c r="L40" t="s">
        <v>399</v>
      </c>
      <c r="N40">
        <v>6</v>
      </c>
    </row>
    <row r="41" spans="1:14" ht="38.25">
      <c r="A41" s="16" t="s">
        <v>67</v>
      </c>
      <c r="B41" s="19" t="s">
        <v>77</v>
      </c>
      <c r="C41" s="16">
        <v>18</v>
      </c>
      <c r="L41" t="s">
        <v>426</v>
      </c>
      <c r="N41">
        <v>5</v>
      </c>
    </row>
    <row r="42" spans="1:14" ht="25.5">
      <c r="A42" s="16" t="s">
        <v>67</v>
      </c>
      <c r="B42" s="16" t="s">
        <v>73</v>
      </c>
      <c r="C42" s="16">
        <v>3.6</v>
      </c>
      <c r="F42" t="s">
        <v>161</v>
      </c>
      <c r="G42" t="s">
        <v>113</v>
      </c>
      <c r="L42" t="s">
        <v>451</v>
      </c>
      <c r="N42">
        <v>1</v>
      </c>
    </row>
    <row r="43" spans="1:14" ht="25.5">
      <c r="A43" s="16" t="s">
        <v>67</v>
      </c>
      <c r="B43" s="16" t="s">
        <v>73</v>
      </c>
      <c r="C43" s="16">
        <v>1.6</v>
      </c>
      <c r="F43" t="s">
        <v>408</v>
      </c>
      <c r="G43">
        <v>0.1</v>
      </c>
      <c r="L43" t="s">
        <v>452</v>
      </c>
      <c r="N43">
        <v>2</v>
      </c>
    </row>
    <row r="44" spans="1:14" ht="25.5">
      <c r="A44" s="16" t="s">
        <v>67</v>
      </c>
      <c r="B44" s="16" t="s">
        <v>70</v>
      </c>
      <c r="C44" s="16">
        <v>30</v>
      </c>
      <c r="F44" t="s">
        <v>409</v>
      </c>
      <c r="G44">
        <v>45.9</v>
      </c>
      <c r="L44" t="s">
        <v>453</v>
      </c>
      <c r="N44">
        <v>4</v>
      </c>
    </row>
    <row r="45" spans="1:14" ht="25.5">
      <c r="A45" s="16" t="s">
        <v>67</v>
      </c>
      <c r="B45" s="16" t="s">
        <v>73</v>
      </c>
      <c r="C45" s="16">
        <v>6.9</v>
      </c>
      <c r="F45" t="s">
        <v>410</v>
      </c>
      <c r="G45">
        <v>0.1</v>
      </c>
      <c r="L45" t="s">
        <v>454</v>
      </c>
      <c r="N45">
        <v>12</v>
      </c>
    </row>
    <row r="46" spans="1:14" ht="25.5">
      <c r="A46" s="16" t="s">
        <v>67</v>
      </c>
      <c r="B46" s="16" t="s">
        <v>73</v>
      </c>
      <c r="C46" s="16">
        <v>7.2</v>
      </c>
      <c r="F46" t="s">
        <v>411</v>
      </c>
      <c r="G46">
        <v>0.1</v>
      </c>
      <c r="L46" t="s">
        <v>455</v>
      </c>
      <c r="N46">
        <v>1</v>
      </c>
    </row>
    <row r="47" spans="1:14" ht="51">
      <c r="A47" s="16" t="s">
        <v>67</v>
      </c>
      <c r="B47" s="16" t="s">
        <v>78</v>
      </c>
      <c r="C47" s="16">
        <v>6.2</v>
      </c>
      <c r="F47" t="s">
        <v>412</v>
      </c>
      <c r="G47">
        <v>0.3</v>
      </c>
      <c r="L47" t="s">
        <v>456</v>
      </c>
      <c r="N47">
        <v>7</v>
      </c>
    </row>
    <row r="48" spans="1:14" ht="51">
      <c r="A48" s="16" t="s">
        <v>67</v>
      </c>
      <c r="B48" s="16" t="s">
        <v>79</v>
      </c>
      <c r="C48" s="16">
        <v>35</v>
      </c>
      <c r="L48" t="s">
        <v>457</v>
      </c>
      <c r="N48">
        <v>1</v>
      </c>
    </row>
    <row r="49" spans="1:14" ht="51">
      <c r="A49" s="16" t="s">
        <v>67</v>
      </c>
      <c r="B49" s="16" t="s">
        <v>80</v>
      </c>
      <c r="C49" s="16">
        <v>6.2</v>
      </c>
      <c r="F49" t="s">
        <v>261</v>
      </c>
      <c r="L49" t="s">
        <v>458</v>
      </c>
      <c r="N49">
        <v>5</v>
      </c>
    </row>
    <row r="50" spans="1:8" ht="63.75">
      <c r="A50" s="16" t="s">
        <v>67</v>
      </c>
      <c r="B50" s="16" t="s">
        <v>73</v>
      </c>
      <c r="C50" s="16">
        <v>4.3</v>
      </c>
      <c r="F50" s="11" t="s">
        <v>260</v>
      </c>
      <c r="G50" s="11" t="s">
        <v>255</v>
      </c>
      <c r="H50" s="11" t="s">
        <v>256</v>
      </c>
    </row>
    <row r="51" spans="1:12" ht="25.5">
      <c r="A51" s="16" t="s">
        <v>67</v>
      </c>
      <c r="B51" s="16" t="s">
        <v>73</v>
      </c>
      <c r="C51" s="16">
        <v>2</v>
      </c>
      <c r="F51" t="s">
        <v>254</v>
      </c>
      <c r="G51">
        <v>170</v>
      </c>
      <c r="H51">
        <v>20</v>
      </c>
      <c r="L51" t="s">
        <v>460</v>
      </c>
    </row>
    <row r="52" spans="1:14" ht="63.75">
      <c r="A52" s="16" t="s">
        <v>67</v>
      </c>
      <c r="B52" s="16" t="s">
        <v>81</v>
      </c>
      <c r="C52" s="16">
        <v>3.8</v>
      </c>
      <c r="F52" t="s">
        <v>257</v>
      </c>
      <c r="G52">
        <v>80</v>
      </c>
      <c r="H52">
        <v>10</v>
      </c>
      <c r="L52" t="s">
        <v>461</v>
      </c>
      <c r="N52">
        <v>0.7</v>
      </c>
    </row>
    <row r="53" spans="1:14" ht="76.5">
      <c r="A53" s="16" t="s">
        <v>67</v>
      </c>
      <c r="B53" s="16" t="s">
        <v>82</v>
      </c>
      <c r="C53" s="16">
        <v>25</v>
      </c>
      <c r="F53" t="s">
        <v>258</v>
      </c>
      <c r="G53">
        <v>20</v>
      </c>
      <c r="H53">
        <v>1</v>
      </c>
      <c r="L53" t="s">
        <v>462</v>
      </c>
      <c r="N53">
        <v>11</v>
      </c>
    </row>
    <row r="54" spans="1:14" ht="38.25">
      <c r="A54" s="16" t="s">
        <v>67</v>
      </c>
      <c r="B54" s="16" t="s">
        <v>83</v>
      </c>
      <c r="C54" s="16">
        <v>0.64</v>
      </c>
      <c r="L54" t="s">
        <v>463</v>
      </c>
      <c r="N54">
        <v>58</v>
      </c>
    </row>
    <row r="55" spans="1:14" ht="38.25">
      <c r="A55" s="16" t="s">
        <v>67</v>
      </c>
      <c r="B55" s="16" t="s">
        <v>84</v>
      </c>
      <c r="C55" s="16">
        <v>0.66</v>
      </c>
      <c r="L55" t="s">
        <v>464</v>
      </c>
      <c r="N55">
        <v>4</v>
      </c>
    </row>
    <row r="56" spans="1:14" ht="38.25">
      <c r="A56" s="16" t="s">
        <v>67</v>
      </c>
      <c r="B56" s="16" t="s">
        <v>83</v>
      </c>
      <c r="C56" s="16">
        <v>0.76</v>
      </c>
      <c r="L56" t="s">
        <v>459</v>
      </c>
      <c r="N56">
        <v>9</v>
      </c>
    </row>
    <row r="57" spans="1:3" ht="51">
      <c r="A57" s="16" t="s">
        <v>67</v>
      </c>
      <c r="B57" s="16" t="s">
        <v>78</v>
      </c>
      <c r="C57" s="16">
        <v>3.1</v>
      </c>
    </row>
    <row r="58" spans="1:3" ht="38.25">
      <c r="A58" s="16" t="s">
        <v>67</v>
      </c>
      <c r="B58" s="16" t="s">
        <v>85</v>
      </c>
      <c r="C58" s="16">
        <v>9</v>
      </c>
    </row>
    <row r="59" spans="1:3" ht="25.5">
      <c r="A59" s="16" t="s">
        <v>67</v>
      </c>
      <c r="B59" s="16" t="s">
        <v>70</v>
      </c>
      <c r="C59" s="16">
        <v>8.5</v>
      </c>
    </row>
    <row r="60" spans="1:3" ht="25.5">
      <c r="A60" s="16" t="s">
        <v>67</v>
      </c>
      <c r="B60" s="16" t="s">
        <v>70</v>
      </c>
      <c r="C60" s="16">
        <v>2.3</v>
      </c>
    </row>
    <row r="61" spans="1:3" ht="25.5">
      <c r="A61" s="16" t="s">
        <v>67</v>
      </c>
      <c r="B61" s="16" t="s">
        <v>70</v>
      </c>
      <c r="C61" s="16">
        <v>4.6</v>
      </c>
    </row>
    <row r="62" spans="1:3" ht="25.5">
      <c r="A62" s="16" t="s">
        <v>67</v>
      </c>
      <c r="B62" s="16" t="s">
        <v>70</v>
      </c>
      <c r="C62" s="16">
        <v>44</v>
      </c>
    </row>
    <row r="63" spans="1:3" ht="25.5">
      <c r="A63" s="16" t="s">
        <v>67</v>
      </c>
      <c r="B63" s="16" t="s">
        <v>70</v>
      </c>
      <c r="C63" s="16">
        <v>10</v>
      </c>
    </row>
    <row r="64" spans="1:3" ht="25.5">
      <c r="A64" s="16" t="s">
        <v>67</v>
      </c>
      <c r="B64" s="16" t="s">
        <v>70</v>
      </c>
      <c r="C64" s="16">
        <v>27</v>
      </c>
    </row>
    <row r="65" spans="1:3" ht="25.5">
      <c r="A65" s="16" t="s">
        <v>67</v>
      </c>
      <c r="B65" s="16" t="s">
        <v>70</v>
      </c>
      <c r="C65" s="16">
        <v>23</v>
      </c>
    </row>
    <row r="66" spans="1:3" ht="25.5">
      <c r="A66" s="16" t="s">
        <v>67</v>
      </c>
      <c r="B66" s="16" t="s">
        <v>70</v>
      </c>
      <c r="C66" s="16">
        <v>26</v>
      </c>
    </row>
    <row r="67" spans="1:3" ht="25.5">
      <c r="A67" s="16" t="s">
        <v>67</v>
      </c>
      <c r="B67" s="16" t="s">
        <v>70</v>
      </c>
      <c r="C67" s="16">
        <v>29</v>
      </c>
    </row>
    <row r="68" spans="1:3" ht="25.5">
      <c r="A68" s="16" t="s">
        <v>67</v>
      </c>
      <c r="B68" s="16" t="s">
        <v>70</v>
      </c>
      <c r="C68" s="16">
        <v>43</v>
      </c>
    </row>
    <row r="69" spans="1:3" ht="25.5">
      <c r="A69" s="16" t="s">
        <v>67</v>
      </c>
      <c r="B69" s="16" t="s">
        <v>70</v>
      </c>
      <c r="C69" s="16">
        <v>22</v>
      </c>
    </row>
    <row r="70" spans="1:3" ht="25.5">
      <c r="A70" s="16" t="s">
        <v>67</v>
      </c>
      <c r="B70" s="16" t="s">
        <v>70</v>
      </c>
      <c r="C70" s="16">
        <v>50</v>
      </c>
    </row>
    <row r="71" spans="1:3" ht="25.5">
      <c r="A71" s="16" t="s">
        <v>67</v>
      </c>
      <c r="B71" s="16" t="s">
        <v>70</v>
      </c>
      <c r="C71" s="16">
        <v>8.8</v>
      </c>
    </row>
    <row r="72" spans="1:3" ht="25.5">
      <c r="A72" s="16" t="s">
        <v>67</v>
      </c>
      <c r="B72" s="16" t="s">
        <v>70</v>
      </c>
      <c r="C72" s="16">
        <v>4.2</v>
      </c>
    </row>
    <row r="73" spans="1:3" ht="25.5">
      <c r="A73" s="16" t="s">
        <v>67</v>
      </c>
      <c r="B73" s="16" t="s">
        <v>70</v>
      </c>
      <c r="C73" s="16">
        <v>49</v>
      </c>
    </row>
    <row r="74" spans="1:3" ht="25.5">
      <c r="A74" s="16" t="s">
        <v>67</v>
      </c>
      <c r="B74" s="16" t="s">
        <v>70</v>
      </c>
      <c r="C74" s="16">
        <v>6.5</v>
      </c>
    </row>
    <row r="75" spans="1:3" ht="25.5">
      <c r="A75" s="16" t="s">
        <v>67</v>
      </c>
      <c r="B75" s="16" t="s">
        <v>70</v>
      </c>
      <c r="C75" s="16">
        <v>14</v>
      </c>
    </row>
    <row r="76" spans="1:3" ht="25.5">
      <c r="A76" s="16" t="s">
        <v>67</v>
      </c>
      <c r="B76" s="16" t="s">
        <v>70</v>
      </c>
      <c r="C76" s="16">
        <v>12</v>
      </c>
    </row>
    <row r="77" spans="1:3" ht="25.5">
      <c r="A77" s="16" t="s">
        <v>67</v>
      </c>
      <c r="B77" s="16" t="s">
        <v>70</v>
      </c>
      <c r="C77" s="16">
        <v>55</v>
      </c>
    </row>
    <row r="78" spans="1:3" ht="25.5">
      <c r="A78" s="16" t="s">
        <v>67</v>
      </c>
      <c r="B78" s="16" t="s">
        <v>70</v>
      </c>
      <c r="C78" s="16">
        <v>3.8</v>
      </c>
    </row>
    <row r="79" spans="1:3" ht="25.5">
      <c r="A79" s="16" t="s">
        <v>67</v>
      </c>
      <c r="B79" s="16" t="s">
        <v>70</v>
      </c>
      <c r="C79" s="16" t="s">
        <v>86</v>
      </c>
    </row>
    <row r="80" spans="1:3" ht="25.5">
      <c r="A80" s="16" t="s">
        <v>67</v>
      </c>
      <c r="B80" s="16" t="s">
        <v>70</v>
      </c>
      <c r="C80" s="16">
        <v>5.8</v>
      </c>
    </row>
    <row r="81" spans="1:3" ht="25.5">
      <c r="A81" s="16" t="s">
        <v>67</v>
      </c>
      <c r="B81" s="16" t="s">
        <v>70</v>
      </c>
      <c r="C81" s="16" t="s">
        <v>87</v>
      </c>
    </row>
    <row r="82" spans="1:3" ht="25.5">
      <c r="A82" s="19" t="s">
        <v>67</v>
      </c>
      <c r="B82" s="19" t="s">
        <v>88</v>
      </c>
      <c r="C82" s="16">
        <v>19</v>
      </c>
    </row>
    <row r="83" spans="1:3" ht="25.5">
      <c r="A83" s="19" t="s">
        <v>67</v>
      </c>
      <c r="B83" s="19" t="s">
        <v>89</v>
      </c>
      <c r="C83" s="16">
        <v>38</v>
      </c>
    </row>
    <row r="84" spans="1:3" ht="25.5">
      <c r="A84" s="19" t="s">
        <v>67</v>
      </c>
      <c r="B84" s="19" t="s">
        <v>70</v>
      </c>
      <c r="C84" s="16">
        <v>48</v>
      </c>
    </row>
    <row r="85" spans="1:3" ht="25.5">
      <c r="A85" s="19" t="s">
        <v>67</v>
      </c>
      <c r="B85" s="19" t="s">
        <v>70</v>
      </c>
      <c r="C85" s="16">
        <v>23</v>
      </c>
    </row>
    <row r="86" spans="1:3" ht="25.5">
      <c r="A86" s="19" t="s">
        <v>67</v>
      </c>
      <c r="B86" s="19" t="s">
        <v>89</v>
      </c>
      <c r="C86" s="16">
        <v>18</v>
      </c>
    </row>
    <row r="87" spans="1:3" ht="25.5">
      <c r="A87" s="19" t="s">
        <v>67</v>
      </c>
      <c r="B87" s="19" t="s">
        <v>89</v>
      </c>
      <c r="C87" s="16">
        <v>14</v>
      </c>
    </row>
    <row r="88" spans="1:3" ht="25.5">
      <c r="A88" s="19" t="s">
        <v>67</v>
      </c>
      <c r="B88" s="19" t="s">
        <v>89</v>
      </c>
      <c r="C88" s="16">
        <v>34</v>
      </c>
    </row>
    <row r="89" spans="1:3" ht="51">
      <c r="A89" s="19" t="s">
        <v>67</v>
      </c>
      <c r="B89" s="19" t="s">
        <v>90</v>
      </c>
      <c r="C89" s="16">
        <v>1.5</v>
      </c>
    </row>
    <row r="90" spans="1:3" ht="25.5">
      <c r="A90" s="16" t="s">
        <v>67</v>
      </c>
      <c r="B90" s="16" t="s">
        <v>70</v>
      </c>
      <c r="C90" s="16">
        <v>7.4</v>
      </c>
    </row>
    <row r="91" spans="1:3" ht="25.5">
      <c r="A91" s="16" t="s">
        <v>67</v>
      </c>
      <c r="B91" s="16" t="s">
        <v>70</v>
      </c>
      <c r="C91" s="16">
        <v>17</v>
      </c>
    </row>
    <row r="92" spans="1:3" ht="25.5">
      <c r="A92" s="16" t="s">
        <v>67</v>
      </c>
      <c r="B92" s="16" t="s">
        <v>70</v>
      </c>
      <c r="C92" s="16">
        <v>0.26</v>
      </c>
    </row>
    <row r="93" spans="1:3" ht="25.5">
      <c r="A93" s="16" t="s">
        <v>67</v>
      </c>
      <c r="B93" s="16" t="s">
        <v>70</v>
      </c>
      <c r="C93" s="16">
        <v>5.4</v>
      </c>
    </row>
    <row r="94" spans="1:3" ht="25.5">
      <c r="A94" s="16" t="s">
        <v>67</v>
      </c>
      <c r="B94" s="16" t="s">
        <v>70</v>
      </c>
      <c r="C94" s="16">
        <v>0.34</v>
      </c>
    </row>
    <row r="95" spans="1:3" ht="25.5">
      <c r="A95" s="16" t="s">
        <v>67</v>
      </c>
      <c r="B95" s="16" t="s">
        <v>70</v>
      </c>
      <c r="C95" s="16">
        <v>0.25</v>
      </c>
    </row>
    <row r="96" spans="1:3" ht="25.5">
      <c r="A96" s="16" t="s">
        <v>67</v>
      </c>
      <c r="B96" s="16" t="s">
        <v>70</v>
      </c>
      <c r="C96" s="16">
        <v>28</v>
      </c>
    </row>
    <row r="97" spans="1:3" ht="25.5">
      <c r="A97" s="16" t="s">
        <v>67</v>
      </c>
      <c r="B97" s="16" t="s">
        <v>70</v>
      </c>
      <c r="C97" s="16">
        <v>4.9</v>
      </c>
    </row>
    <row r="98" spans="1:3" ht="25.5">
      <c r="A98" s="19" t="s">
        <v>67</v>
      </c>
      <c r="B98" s="19" t="s">
        <v>91</v>
      </c>
      <c r="C98" s="16">
        <v>1</v>
      </c>
    </row>
    <row r="99" spans="1:3" ht="25.5">
      <c r="A99" s="16" t="s">
        <v>67</v>
      </c>
      <c r="B99" s="16" t="s">
        <v>91</v>
      </c>
      <c r="C99" s="16">
        <v>3.8</v>
      </c>
    </row>
    <row r="100" spans="1:3" ht="25.5">
      <c r="A100" s="16" t="s">
        <v>67</v>
      </c>
      <c r="B100" s="16" t="s">
        <v>70</v>
      </c>
      <c r="C100" s="16">
        <v>3</v>
      </c>
    </row>
    <row r="101" spans="1:3" ht="25.5">
      <c r="A101" s="19" t="s">
        <v>67</v>
      </c>
      <c r="B101" s="19" t="s">
        <v>92</v>
      </c>
      <c r="C101" s="16">
        <v>19</v>
      </c>
    </row>
    <row r="102" spans="1:3" ht="25.5">
      <c r="A102" s="19" t="s">
        <v>67</v>
      </c>
      <c r="B102" s="19" t="s">
        <v>70</v>
      </c>
      <c r="C102" s="20">
        <v>10</v>
      </c>
    </row>
    <row r="103" spans="1:3" ht="25.5">
      <c r="A103" s="19" t="s">
        <v>67</v>
      </c>
      <c r="B103" s="19" t="s">
        <v>93</v>
      </c>
      <c r="C103" s="20">
        <v>0.059</v>
      </c>
    </row>
    <row r="104" spans="1:3" ht="25.5">
      <c r="A104" s="19" t="s">
        <v>67</v>
      </c>
      <c r="B104" s="19" t="s">
        <v>70</v>
      </c>
      <c r="C104" s="20">
        <v>18</v>
      </c>
    </row>
    <row r="105" spans="1:3" ht="25.5">
      <c r="A105" s="19" t="s">
        <v>67</v>
      </c>
      <c r="B105" s="19" t="s">
        <v>70</v>
      </c>
      <c r="C105" s="20">
        <v>4.2</v>
      </c>
    </row>
    <row r="106" spans="1:3" ht="25.5">
      <c r="A106" s="16" t="s">
        <v>67</v>
      </c>
      <c r="B106" s="16" t="s">
        <v>70</v>
      </c>
      <c r="C106" s="20">
        <v>1.5</v>
      </c>
    </row>
    <row r="107" spans="1:3" ht="25.5">
      <c r="A107" s="16" t="s">
        <v>67</v>
      </c>
      <c r="B107" s="16" t="s">
        <v>70</v>
      </c>
      <c r="C107" s="20">
        <v>17</v>
      </c>
    </row>
    <row r="108" spans="1:3" ht="25.5">
      <c r="A108" s="19" t="s">
        <v>67</v>
      </c>
      <c r="B108" s="19" t="s">
        <v>94</v>
      </c>
      <c r="C108" s="20">
        <v>12</v>
      </c>
    </row>
    <row r="109" spans="1:3" ht="25.5">
      <c r="A109" s="16" t="s">
        <v>67</v>
      </c>
      <c r="B109" s="16" t="s">
        <v>95</v>
      </c>
      <c r="C109" s="20">
        <v>20</v>
      </c>
    </row>
    <row r="110" spans="1:3" ht="25.5">
      <c r="A110" s="19" t="s">
        <v>67</v>
      </c>
      <c r="B110" s="19" t="s">
        <v>70</v>
      </c>
      <c r="C110" s="20">
        <v>6.8</v>
      </c>
    </row>
    <row r="111" spans="1:3" ht="25.5">
      <c r="A111" s="19" t="s">
        <v>67</v>
      </c>
      <c r="B111" s="19" t="s">
        <v>70</v>
      </c>
      <c r="C111" s="20">
        <v>16</v>
      </c>
    </row>
    <row r="112" spans="1:3" ht="25.5">
      <c r="A112" s="16" t="s">
        <v>67</v>
      </c>
      <c r="B112" s="16" t="s">
        <v>70</v>
      </c>
      <c r="C112" s="20">
        <v>43</v>
      </c>
    </row>
    <row r="113" spans="1:3" ht="25.5">
      <c r="A113" s="16" t="s">
        <v>67</v>
      </c>
      <c r="B113" s="16" t="s">
        <v>70</v>
      </c>
      <c r="C113" s="20">
        <v>44</v>
      </c>
    </row>
    <row r="114" spans="1:3" ht="25.5">
      <c r="A114" s="16" t="s">
        <v>67</v>
      </c>
      <c r="B114" s="16" t="s">
        <v>70</v>
      </c>
      <c r="C114" s="20">
        <v>1.6</v>
      </c>
    </row>
    <row r="115" spans="1:3" ht="51">
      <c r="A115" s="16" t="s">
        <v>96</v>
      </c>
      <c r="B115" s="16" t="s">
        <v>97</v>
      </c>
      <c r="C115" s="20">
        <v>4.75</v>
      </c>
    </row>
    <row r="116" spans="1:3" ht="25.5">
      <c r="A116" s="16" t="s">
        <v>67</v>
      </c>
      <c r="B116" s="16" t="s">
        <v>70</v>
      </c>
      <c r="C116" s="20">
        <v>31</v>
      </c>
    </row>
    <row r="117" spans="1:3" ht="25.5">
      <c r="A117" s="16" t="s">
        <v>67</v>
      </c>
      <c r="B117" s="16" t="s">
        <v>70</v>
      </c>
      <c r="C117" s="20">
        <v>0.5</v>
      </c>
    </row>
    <row r="118" spans="1:3" ht="25.5">
      <c r="A118" s="16" t="s">
        <v>67</v>
      </c>
      <c r="B118" s="16" t="s">
        <v>70</v>
      </c>
      <c r="C118" s="20">
        <v>22</v>
      </c>
    </row>
    <row r="119" spans="1:3" ht="25.5">
      <c r="A119" s="16" t="s">
        <v>67</v>
      </c>
      <c r="B119" s="16" t="s">
        <v>70</v>
      </c>
      <c r="C119" s="20">
        <v>1.8</v>
      </c>
    </row>
    <row r="120" spans="1:3" ht="25.5">
      <c r="A120" s="16" t="s">
        <v>67</v>
      </c>
      <c r="B120" s="16" t="s">
        <v>70</v>
      </c>
      <c r="C120" s="20">
        <v>33</v>
      </c>
    </row>
    <row r="121" spans="1:3" ht="25.5">
      <c r="A121" s="16" t="s">
        <v>67</v>
      </c>
      <c r="B121" s="16" t="s">
        <v>70</v>
      </c>
      <c r="C121" s="20">
        <v>6.1</v>
      </c>
    </row>
    <row r="122" spans="1:3" ht="25.5">
      <c r="A122" s="16" t="s">
        <v>67</v>
      </c>
      <c r="B122" s="16" t="s">
        <v>70</v>
      </c>
      <c r="C122" s="20">
        <v>11</v>
      </c>
    </row>
    <row r="123" spans="1:3" ht="25.5">
      <c r="A123" s="16" t="s">
        <v>67</v>
      </c>
      <c r="B123" s="16" t="s">
        <v>70</v>
      </c>
      <c r="C123" s="20">
        <v>20</v>
      </c>
    </row>
    <row r="124" spans="1:3" ht="38.25">
      <c r="A124" s="16" t="s">
        <v>96</v>
      </c>
      <c r="B124" s="16" t="s">
        <v>70</v>
      </c>
      <c r="C124" s="20">
        <v>22.5</v>
      </c>
    </row>
    <row r="125" spans="1:3" ht="38.25">
      <c r="A125" s="16" t="s">
        <v>96</v>
      </c>
      <c r="B125" s="16" t="s">
        <v>98</v>
      </c>
      <c r="C125" s="20">
        <v>15.1</v>
      </c>
    </row>
    <row r="126" spans="1:3" ht="38.25">
      <c r="A126" s="16" t="s">
        <v>96</v>
      </c>
      <c r="B126" s="16" t="s">
        <v>99</v>
      </c>
      <c r="C126" s="20">
        <v>36.2</v>
      </c>
    </row>
    <row r="127" spans="1:3" ht="38.25">
      <c r="A127" s="16" t="s">
        <v>96</v>
      </c>
      <c r="B127" s="16" t="s">
        <v>100</v>
      </c>
      <c r="C127" s="20">
        <v>17.8</v>
      </c>
    </row>
    <row r="128" spans="1:3" ht="38.25">
      <c r="A128" s="16" t="s">
        <v>96</v>
      </c>
      <c r="B128" s="16" t="s">
        <v>101</v>
      </c>
      <c r="C128" s="20">
        <v>21.9</v>
      </c>
    </row>
    <row r="129" spans="1:3" ht="38.25">
      <c r="A129" s="16" t="s">
        <v>96</v>
      </c>
      <c r="B129" s="16" t="s">
        <v>102</v>
      </c>
      <c r="C129" s="20">
        <v>22.5</v>
      </c>
    </row>
    <row r="130" spans="1:3" ht="38.25">
      <c r="A130" s="16" t="s">
        <v>96</v>
      </c>
      <c r="B130" s="16" t="s">
        <v>103</v>
      </c>
      <c r="C130" s="20">
        <v>26.9</v>
      </c>
    </row>
    <row r="131" spans="1:3" ht="38.25">
      <c r="A131" s="16" t="s">
        <v>96</v>
      </c>
      <c r="B131" s="16" t="s">
        <v>104</v>
      </c>
      <c r="C131" s="20">
        <v>45</v>
      </c>
    </row>
    <row r="132" spans="1:3" ht="51">
      <c r="A132" s="16" t="s">
        <v>96</v>
      </c>
      <c r="B132" s="16" t="s">
        <v>105</v>
      </c>
      <c r="C132" s="20">
        <v>0.88</v>
      </c>
    </row>
    <row r="133" spans="1:3" ht="51">
      <c r="A133" s="16" t="s">
        <v>96</v>
      </c>
      <c r="B133" s="16" t="s">
        <v>106</v>
      </c>
      <c r="C133" s="20">
        <v>44.2</v>
      </c>
    </row>
    <row r="134" ht="12.75">
      <c r="G134" t="s">
        <v>369</v>
      </c>
    </row>
    <row r="135" spans="4:7" ht="12.75">
      <c r="D135" s="4"/>
      <c r="G135" t="s">
        <v>356</v>
      </c>
    </row>
    <row r="136" spans="3:23" ht="12.75">
      <c r="C136" s="7"/>
      <c r="G136" t="s">
        <v>272</v>
      </c>
      <c r="H136" t="s">
        <v>273</v>
      </c>
      <c r="I136" t="s">
        <v>266</v>
      </c>
      <c r="J136" t="s">
        <v>267</v>
      </c>
      <c r="K136" s="4" t="s">
        <v>268</v>
      </c>
      <c r="L136" t="s">
        <v>269</v>
      </c>
      <c r="M136" t="s">
        <v>274</v>
      </c>
      <c r="N136" t="s">
        <v>340</v>
      </c>
      <c r="O136" t="s">
        <v>341</v>
      </c>
      <c r="P136" t="s">
        <v>342</v>
      </c>
      <c r="Q136" t="s">
        <v>343</v>
      </c>
      <c r="R136" t="s">
        <v>344</v>
      </c>
      <c r="S136" t="s">
        <v>345</v>
      </c>
      <c r="T136" t="s">
        <v>346</v>
      </c>
      <c r="U136" t="s">
        <v>347</v>
      </c>
      <c r="V136" t="s">
        <v>370</v>
      </c>
      <c r="W136" t="s">
        <v>355</v>
      </c>
    </row>
    <row r="137" spans="3:25" ht="12.75">
      <c r="C137" s="7"/>
      <c r="G137" t="s">
        <v>371</v>
      </c>
      <c r="H137" s="14">
        <f>H138/$W$138</f>
        <v>0.07692307692307693</v>
      </c>
      <c r="I137" s="14">
        <f aca="true" t="shared" si="0" ref="I137:V137">I138/$W$138</f>
        <v>0.26373626373626374</v>
      </c>
      <c r="J137" s="14">
        <f t="shared" si="0"/>
        <v>0.18681318681318682</v>
      </c>
      <c r="K137" s="14">
        <f t="shared" si="0"/>
        <v>0.0989010989010989</v>
      </c>
      <c r="L137" s="14">
        <f t="shared" si="0"/>
        <v>0.0989010989010989</v>
      </c>
      <c r="M137" s="14">
        <f t="shared" si="0"/>
        <v>0.06593406593406594</v>
      </c>
      <c r="N137" s="14">
        <f t="shared" si="0"/>
        <v>0.06593406593406594</v>
      </c>
      <c r="O137" s="14">
        <f t="shared" si="0"/>
        <v>0.04395604395604396</v>
      </c>
      <c r="P137" s="14">
        <f t="shared" si="0"/>
        <v>0.08791208791208792</v>
      </c>
      <c r="Q137" s="14">
        <f t="shared" si="0"/>
        <v>0.01098901098901099</v>
      </c>
      <c r="R137" s="14">
        <f t="shared" si="0"/>
        <v>0</v>
      </c>
      <c r="S137" s="14">
        <f t="shared" si="0"/>
        <v>0</v>
      </c>
      <c r="T137" s="14">
        <f t="shared" si="0"/>
        <v>0</v>
      </c>
      <c r="U137" s="14">
        <f t="shared" si="0"/>
        <v>0</v>
      </c>
      <c r="V137" s="14">
        <f t="shared" si="0"/>
        <v>0</v>
      </c>
      <c r="W137" s="14"/>
      <c r="X137" s="14"/>
      <c r="Y137" s="14"/>
    </row>
    <row r="138" spans="3:23" ht="12.75">
      <c r="C138" s="7"/>
      <c r="G138" t="s">
        <v>264</v>
      </c>
      <c r="H138">
        <f>COUNT(C28,C54,C56,C92,C94,C95,C117)</f>
        <v>7</v>
      </c>
      <c r="I138">
        <f>COUNT(C13,C18,C31:C34,C38:C40,C42:C43,C50:C51,C60:C61,C72,C78,C93,C97,C100,C105,C106,C114,C119)</f>
        <v>24</v>
      </c>
      <c r="J138">
        <f>COUNT(C4,C10,C21,C24,C26,C29,C45:C46,C59,C63,C71,C74,C80,C90,C102,C110,C121)</f>
        <v>17</v>
      </c>
      <c r="K138">
        <f>COUNT(C9,C11,C19,C22:C23,C30,C75:C76,C122)</f>
        <v>9</v>
      </c>
      <c r="L138">
        <f>COUNT(C5:C6,C14,C20,C91,C104,C107,C111,C123)</f>
        <v>9</v>
      </c>
      <c r="M138">
        <f>COUNT(C65,C69,C85,C118,C124,C128)</f>
        <v>6</v>
      </c>
      <c r="N138">
        <f>COUNT(C8,C44,C64,C66:C67,C96)</f>
        <v>6</v>
      </c>
      <c r="O138">
        <f>COUNT(C7,C25,C116,C120)</f>
        <v>4</v>
      </c>
      <c r="P138">
        <f>COUNT(C37,C62,C68,C70,C73,C84,C112:C113)</f>
        <v>8</v>
      </c>
      <c r="Q138">
        <f>COUNT(C77)</f>
        <v>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f>SUM(H138:V138)</f>
        <v>91</v>
      </c>
    </row>
    <row r="139" spans="1:5" ht="12.75">
      <c r="A139" t="s">
        <v>214</v>
      </c>
      <c r="C139" s="7"/>
      <c r="D139" s="4" t="s">
        <v>339</v>
      </c>
      <c r="E139">
        <f>COUNT(C15:C17,C27,C35,C36,C41,C48,C49,C52,C53,C55,C82,C89,C98,C99,C101,C103,C115,C125:C127,C129:C133,G9,G15,G16,G25,G26,G30,N18:N19,N29:N32)</f>
        <v>39</v>
      </c>
    </row>
    <row r="140" spans="2:3" ht="12.75">
      <c r="B140" t="s">
        <v>215</v>
      </c>
      <c r="C140" s="7">
        <f>AVERAGE(C15:C17,C27,C35,C36,C41,C48,C49,C52,C53,C55,C82,C89,C98,C99,C101,C103,C115,C125:C127,C129:C133,G9,G15,G16,G25,G26,G30,N18:N19,N29:N32)</f>
        <v>30.326897435897436</v>
      </c>
    </row>
    <row r="141" spans="2:3" ht="12.75">
      <c r="B141" t="s">
        <v>216</v>
      </c>
      <c r="C141" s="7">
        <f>MEDIAN(C15:C17,C27,C35,C36,C41,C48,C49,C52,C53,C55,C82,C89,C98,C99,C101,C103,C115,C125:C127,C129:C133,G9,G15,G16,G25,G26,G30,N18:N19,N29:N32)</f>
        <v>18</v>
      </c>
    </row>
    <row r="142" spans="2:3" ht="12.75">
      <c r="B142" t="s">
        <v>245</v>
      </c>
      <c r="C142" s="7">
        <f>STDEV(C15:C17,C27,C35,C36,C41,C48,C49,C52,C53,C55,C82,C89,C98,C99,C101,C103,C115,C125:C127,C129:C133,G9,G15,G16,G25,G26,G30,N18:N19,N29:N32)</f>
        <v>55.933279888582135</v>
      </c>
    </row>
    <row r="143" spans="2:3" ht="12.75">
      <c r="B143" t="s">
        <v>247</v>
      </c>
      <c r="C143" s="7">
        <f>N30</f>
        <v>344</v>
      </c>
    </row>
    <row r="144" spans="2:3" ht="12.75">
      <c r="B144" t="s">
        <v>248</v>
      </c>
      <c r="C144" s="7" t="str">
        <f>C12</f>
        <v>&lt;0.054</v>
      </c>
    </row>
    <row r="145" spans="1:5" ht="12.75">
      <c r="A145" t="s">
        <v>246</v>
      </c>
      <c r="C145" s="7"/>
      <c r="D145" s="4" t="s">
        <v>339</v>
      </c>
      <c r="E145">
        <f>COUNT(C4:C14,C18:C26,C28:C34,C37:C40,C42:C47,C50:C51,C57,C59:C81,C84:C85,C90:C97,C100,C102,C105:C114,C116:C124,G8,G13,G14,G23:G24,G29,N13:N17,N35:N41)</f>
        <v>109</v>
      </c>
    </row>
    <row r="146" spans="2:3" ht="12.75">
      <c r="B146" t="s">
        <v>215</v>
      </c>
      <c r="C146" s="7">
        <f>AVERAGE(C4:C14,C18:C26,C28:C34,C37:C40,C42:C47,C50:C51,C57,C59:C81,C84:C85,C90:C97,C100,C102,C105:C114,C116:C124,G8,G13,G14,G23:G24,G29,N13:N17,N35:N41)</f>
        <v>16.466055045871556</v>
      </c>
    </row>
    <row r="147" spans="2:3" ht="12.75">
      <c r="B147" t="s">
        <v>216</v>
      </c>
      <c r="C147" s="7">
        <f>MEDIAN(C4:C14,C18:C26,C28:C34,C37:C40,C42:C47,C50:C51,C57,C59:C81,C84:C85,C90:C97,C100,C102,C105:C114,C116:C124,G8,G13,G14,G23:G24,G29,N13:N17,N35:N41)</f>
        <v>10</v>
      </c>
    </row>
    <row r="148" spans="2:3" ht="12.75">
      <c r="B148" t="s">
        <v>245</v>
      </c>
      <c r="C148" s="7">
        <f>STDEV(C4:C14,C18:C26,C28:C34,C37:C40,C42:C47,C50:C51,C57,C59:C81,C84:C85,C90:C97,C100,C102,C105:C114,C116:C124,G8,G13,G14,G23:G24,G29,N13:N17,N35:N41)</f>
        <v>16.818522803541285</v>
      </c>
    </row>
    <row r="149" spans="2:3" ht="12.75">
      <c r="B149" t="s">
        <v>247</v>
      </c>
      <c r="C149" s="7">
        <f>G14</f>
        <v>74</v>
      </c>
    </row>
    <row r="150" spans="2:3" ht="12.75">
      <c r="B150" t="s">
        <v>248</v>
      </c>
      <c r="C150" s="7" t="str">
        <f>C79</f>
        <v>&lt;0.03</v>
      </c>
    </row>
    <row r="151" spans="1:5" ht="12.75">
      <c r="A151" t="s">
        <v>326</v>
      </c>
      <c r="D151" s="4" t="s">
        <v>339</v>
      </c>
      <c r="E151">
        <f>COUNT(G8,G13,G14,G23,G24,G29,C124,C128,N13:N17,N35:N41)</f>
        <v>20</v>
      </c>
    </row>
    <row r="152" spans="2:3" ht="12.75">
      <c r="B152" t="s">
        <v>215</v>
      </c>
      <c r="C152">
        <f>AVERAGE(G8,G13,G14,G23,G24,G29,C124,C128,N13:N17,N35:N41)</f>
        <v>25.669999999999998</v>
      </c>
    </row>
    <row r="153" spans="2:3" ht="12.75">
      <c r="B153" t="s">
        <v>216</v>
      </c>
      <c r="C153">
        <f>MEDIAN(G8,G13,G14,G23,G24,G29,C124,C128,N13:N17,N35:N41)</f>
        <v>18.5</v>
      </c>
    </row>
    <row r="154" spans="2:3" ht="12.75">
      <c r="B154" t="s">
        <v>245</v>
      </c>
      <c r="C154" s="7">
        <f>STDEV(G8,G13,G14,G23,G24,G29,C124,C128,N13:N17,N35:N41)</f>
        <v>24.246412648385526</v>
      </c>
    </row>
    <row r="155" spans="2:3" ht="12.75">
      <c r="B155" t="s">
        <v>247</v>
      </c>
      <c r="C155">
        <f>G14</f>
        <v>74</v>
      </c>
    </row>
    <row r="156" spans="2:3" ht="12.75">
      <c r="B156" t="s">
        <v>248</v>
      </c>
      <c r="C156">
        <f>G8</f>
        <v>3</v>
      </c>
    </row>
    <row r="157" spans="1:5" ht="12.75">
      <c r="A157" t="s">
        <v>327</v>
      </c>
      <c r="D157" s="4" t="s">
        <v>339</v>
      </c>
      <c r="E157">
        <f>COUNT(C4:C14,C18:C26,C28:C34,C37:C40,C42:C47,C50:C51,C54,C56,C59:C81,C84:C85,C90:C97,C100,C102,C104:C114)</f>
        <v>84</v>
      </c>
    </row>
    <row r="158" spans="2:3" ht="12.75">
      <c r="B158" t="s">
        <v>215</v>
      </c>
      <c r="C158" s="6">
        <f>AVERAGE(C4:C14,C18:C26,C28:C34,C37:C40,C42:C47,C50:C51,C54,C56,C59:C81,C84:C85,C90:C97,C100,C102,C104:C114)</f>
        <v>14.216666666666665</v>
      </c>
    </row>
    <row r="159" spans="2:3" ht="12.75">
      <c r="B159" t="s">
        <v>216</v>
      </c>
      <c r="C159" s="6">
        <f>MEDIAN(C4:C14,C18:C26,C28:C34,C37:C40,C42:C47,C50:C51,C54,C56,C59:C81,C84:C85,C90:C97,C100,C102,C104:C114)</f>
        <v>8.65</v>
      </c>
    </row>
    <row r="160" spans="2:3" ht="12.75">
      <c r="B160" t="s">
        <v>245</v>
      </c>
      <c r="C160" s="7">
        <f>STDEV(C4:C14,C18:C26,C28:C34,C37:C40,C42:C47,C50:C51,C54,C56,C59:C81,C84:C85,C90:C97,C100,C102,C104:C114)</f>
        <v>14.088930999434533</v>
      </c>
    </row>
    <row r="161" spans="2:3" ht="12.75">
      <c r="B161" t="s">
        <v>247</v>
      </c>
      <c r="C161">
        <f>C77</f>
        <v>55</v>
      </c>
    </row>
    <row r="162" spans="2:3" ht="12.75">
      <c r="B162" t="s">
        <v>248</v>
      </c>
      <c r="C162" t="str">
        <f>C79</f>
        <v>&lt;0.03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A1">
      <selection activeCell="B10" sqref="B10"/>
    </sheetView>
  </sheetViews>
  <sheetFormatPr defaultColWidth="9.140625" defaultRowHeight="12.75"/>
  <cols>
    <col min="1" max="1" width="25.140625" style="0" customWidth="1"/>
  </cols>
  <sheetData>
    <row r="2" ht="12.75">
      <c r="A2" t="s">
        <v>108</v>
      </c>
    </row>
    <row r="3" spans="1:2" ht="12.75">
      <c r="A3" t="s">
        <v>154</v>
      </c>
      <c r="B3" t="s">
        <v>113</v>
      </c>
    </row>
    <row r="4" spans="1:4" ht="12.75">
      <c r="A4" t="s">
        <v>155</v>
      </c>
      <c r="B4" t="s">
        <v>156</v>
      </c>
      <c r="D4" t="s">
        <v>157</v>
      </c>
    </row>
    <row r="5" spans="1:4" ht="12.75">
      <c r="A5" t="s">
        <v>158</v>
      </c>
      <c r="B5" t="s">
        <v>159</v>
      </c>
      <c r="D5" t="s">
        <v>160</v>
      </c>
    </row>
    <row r="6" spans="2:4" ht="12.75">
      <c r="B6" t="s">
        <v>227</v>
      </c>
      <c r="C6" t="s">
        <v>228</v>
      </c>
      <c r="D6" t="s">
        <v>230</v>
      </c>
    </row>
    <row r="7" spans="1:4" ht="12.75">
      <c r="A7" t="s">
        <v>241</v>
      </c>
      <c r="B7">
        <v>5</v>
      </c>
      <c r="C7">
        <v>89.3</v>
      </c>
      <c r="D7" t="s">
        <v>243</v>
      </c>
    </row>
    <row r="8" spans="1:4" ht="12.75">
      <c r="A8" t="s">
        <v>242</v>
      </c>
      <c r="B8">
        <v>2</v>
      </c>
      <c r="C8">
        <v>79.7</v>
      </c>
      <c r="D8" t="s">
        <v>244</v>
      </c>
    </row>
    <row r="9" spans="1:3" ht="12.75">
      <c r="A9" t="s">
        <v>215</v>
      </c>
      <c r="C9">
        <f>(5*C7+2*C8+28+47+1)/10</f>
        <v>68.19</v>
      </c>
    </row>
    <row r="11" spans="1:4" ht="12.75">
      <c r="A11" t="s">
        <v>416</v>
      </c>
      <c r="D11" t="s">
        <v>417</v>
      </c>
    </row>
    <row r="12" spans="1:4" ht="12.75">
      <c r="A12" t="s">
        <v>414</v>
      </c>
      <c r="D12">
        <v>5</v>
      </c>
    </row>
    <row r="13" spans="1:4" ht="12.75">
      <c r="A13" t="s">
        <v>415</v>
      </c>
      <c r="D13">
        <v>13</v>
      </c>
    </row>
    <row r="14" spans="1:4" ht="12.75">
      <c r="A14" t="s">
        <v>424</v>
      </c>
      <c r="D14">
        <v>42</v>
      </c>
    </row>
    <row r="17" spans="1:6" ht="12.75">
      <c r="A17" t="s">
        <v>423</v>
      </c>
      <c r="D17" t="s">
        <v>417</v>
      </c>
      <c r="F17" t="s">
        <v>439</v>
      </c>
    </row>
    <row r="18" spans="1:4" ht="12.75">
      <c r="A18" t="s">
        <v>418</v>
      </c>
      <c r="D18">
        <v>28</v>
      </c>
    </row>
    <row r="19" spans="1:5" ht="12.75">
      <c r="A19" t="s">
        <v>419</v>
      </c>
      <c r="E19" t="s">
        <v>425</v>
      </c>
    </row>
    <row r="20" spans="1:5" ht="12.75">
      <c r="A20" t="s">
        <v>421</v>
      </c>
      <c r="E20" t="s">
        <v>425</v>
      </c>
    </row>
    <row r="21" spans="1:4" ht="12.75">
      <c r="A21" t="s">
        <v>422</v>
      </c>
      <c r="D21">
        <v>47</v>
      </c>
    </row>
    <row r="22" spans="1:6" ht="12.75">
      <c r="A22" t="s">
        <v>420</v>
      </c>
      <c r="D22" t="s">
        <v>273</v>
      </c>
      <c r="F22" t="s">
        <v>440</v>
      </c>
    </row>
    <row r="25" spans="1:4" ht="12.75">
      <c r="A25" t="s">
        <v>162</v>
      </c>
      <c r="B25" s="9">
        <v>36836</v>
      </c>
      <c r="D25" t="s">
        <v>181</v>
      </c>
    </row>
    <row r="26" spans="1:4" ht="12.75">
      <c r="A26" t="s">
        <v>163</v>
      </c>
      <c r="B26" t="s">
        <v>165</v>
      </c>
      <c r="D26" t="s">
        <v>406</v>
      </c>
    </row>
    <row r="27" spans="1:2" ht="12.75">
      <c r="A27" t="s">
        <v>172</v>
      </c>
      <c r="B27" t="s">
        <v>164</v>
      </c>
    </row>
    <row r="28" spans="1:2" ht="12.75">
      <c r="A28" t="s">
        <v>166</v>
      </c>
      <c r="B28">
        <v>0.02</v>
      </c>
    </row>
    <row r="29" spans="1:2" ht="12.75">
      <c r="A29" t="s">
        <v>166</v>
      </c>
      <c r="B29">
        <v>0.18</v>
      </c>
    </row>
    <row r="30" spans="1:2" ht="12.75">
      <c r="A30" t="s">
        <v>166</v>
      </c>
      <c r="B30">
        <v>-0.01</v>
      </c>
    </row>
    <row r="31" spans="1:2" ht="12.75">
      <c r="A31" t="s">
        <v>166</v>
      </c>
      <c r="B31">
        <v>-0.02</v>
      </c>
    </row>
    <row r="32" spans="1:2" ht="12.75">
      <c r="A32" t="s">
        <v>167</v>
      </c>
      <c r="B32">
        <v>0.02</v>
      </c>
    </row>
    <row r="33" spans="1:2" ht="12.75">
      <c r="A33" t="s">
        <v>167</v>
      </c>
      <c r="B33">
        <v>0.02</v>
      </c>
    </row>
    <row r="34" spans="1:2" ht="12.75">
      <c r="A34" t="s">
        <v>167</v>
      </c>
      <c r="B34">
        <v>0.02</v>
      </c>
    </row>
    <row r="35" spans="1:2" ht="12.75">
      <c r="A35" t="s">
        <v>168</v>
      </c>
      <c r="B35">
        <v>0.08</v>
      </c>
    </row>
    <row r="36" spans="1:2" ht="12.75">
      <c r="A36" t="s">
        <v>168</v>
      </c>
      <c r="B36">
        <v>0.02</v>
      </c>
    </row>
    <row r="37" spans="1:2" ht="12.75">
      <c r="A37" t="s">
        <v>168</v>
      </c>
      <c r="B37">
        <v>0.02</v>
      </c>
    </row>
    <row r="38" spans="1:2" ht="12.75">
      <c r="A38" t="s">
        <v>169</v>
      </c>
      <c r="B38">
        <v>0.17</v>
      </c>
    </row>
    <row r="39" spans="1:2" ht="12.75">
      <c r="A39" t="s">
        <v>169</v>
      </c>
      <c r="B39">
        <v>0.04</v>
      </c>
    </row>
    <row r="40" spans="1:2" ht="12.75">
      <c r="A40" t="s">
        <v>169</v>
      </c>
      <c r="B40">
        <v>-0.02</v>
      </c>
    </row>
    <row r="41" spans="1:2" ht="12.75">
      <c r="A41" t="s">
        <v>169</v>
      </c>
      <c r="B41">
        <v>0.05</v>
      </c>
    </row>
    <row r="42" spans="1:2" ht="12.75">
      <c r="A42" t="s">
        <v>169</v>
      </c>
      <c r="B42">
        <v>-0.01</v>
      </c>
    </row>
    <row r="43" spans="1:2" ht="12.75">
      <c r="A43" t="s">
        <v>170</v>
      </c>
      <c r="B43">
        <v>-0.02</v>
      </c>
    </row>
    <row r="44" spans="1:2" ht="12.75">
      <c r="A44" t="s">
        <v>170</v>
      </c>
      <c r="B44">
        <v>-0.02</v>
      </c>
    </row>
    <row r="45" spans="1:2" ht="12.75">
      <c r="A45" t="s">
        <v>170</v>
      </c>
      <c r="B45">
        <v>0.02</v>
      </c>
    </row>
    <row r="46" spans="1:2" ht="12.75">
      <c r="A46" t="s">
        <v>170</v>
      </c>
      <c r="B46">
        <v>0.08</v>
      </c>
    </row>
    <row r="47" spans="1:2" ht="12.75">
      <c r="A47" t="s">
        <v>171</v>
      </c>
      <c r="B47">
        <v>0.63</v>
      </c>
    </row>
    <row r="49" ht="12.75">
      <c r="A49" t="s">
        <v>173</v>
      </c>
    </row>
    <row r="50" spans="1:2" ht="12.75">
      <c r="A50" t="s">
        <v>174</v>
      </c>
      <c r="B50">
        <v>4.42</v>
      </c>
    </row>
    <row r="51" spans="1:2" ht="12.75">
      <c r="A51" t="s">
        <v>175</v>
      </c>
      <c r="B51">
        <v>1.7</v>
      </c>
    </row>
    <row r="52" spans="1:2" ht="12.75">
      <c r="A52" t="s">
        <v>178</v>
      </c>
      <c r="B52">
        <v>0.03</v>
      </c>
    </row>
    <row r="53" spans="1:2" ht="12.75">
      <c r="A53" t="s">
        <v>179</v>
      </c>
      <c r="B53">
        <v>0.02</v>
      </c>
    </row>
    <row r="54" spans="1:2" ht="12.75">
      <c r="A54" t="s">
        <v>180</v>
      </c>
      <c r="B54">
        <v>0.02</v>
      </c>
    </row>
    <row r="55" spans="1:2" ht="12.75">
      <c r="A55" t="s">
        <v>176</v>
      </c>
      <c r="B55">
        <v>0.02</v>
      </c>
    </row>
    <row r="56" spans="1:2" ht="12.75">
      <c r="A56" t="s">
        <v>177</v>
      </c>
      <c r="B56">
        <v>0.02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4">
      <selection activeCell="I6" sqref="I6"/>
    </sheetView>
  </sheetViews>
  <sheetFormatPr defaultColWidth="9.140625" defaultRowHeight="12.75"/>
  <cols>
    <col min="2" max="2" width="20.8515625" style="0" customWidth="1"/>
  </cols>
  <sheetData>
    <row r="1" ht="12.75">
      <c r="A1" t="s">
        <v>184</v>
      </c>
    </row>
    <row r="3" spans="1:9" ht="12.75">
      <c r="A3" t="s">
        <v>182</v>
      </c>
      <c r="I3" t="s">
        <v>364</v>
      </c>
    </row>
    <row r="4" spans="1:9" ht="12.75">
      <c r="A4" t="s">
        <v>183</v>
      </c>
      <c r="D4" t="s">
        <v>190</v>
      </c>
      <c r="I4" t="s">
        <v>356</v>
      </c>
    </row>
    <row r="5" spans="3:17" ht="12.75">
      <c r="C5" t="s">
        <v>187</v>
      </c>
      <c r="I5" t="s">
        <v>272</v>
      </c>
      <c r="K5" t="s">
        <v>365</v>
      </c>
      <c r="L5" t="s">
        <v>366</v>
      </c>
      <c r="M5" t="s">
        <v>367</v>
      </c>
      <c r="N5" t="s">
        <v>368</v>
      </c>
      <c r="O5" t="s">
        <v>352</v>
      </c>
      <c r="P5" t="s">
        <v>353</v>
      </c>
      <c r="Q5" t="s">
        <v>355</v>
      </c>
    </row>
    <row r="6" spans="1:16" ht="12.75">
      <c r="A6" t="s">
        <v>185</v>
      </c>
      <c r="B6" t="s">
        <v>191</v>
      </c>
      <c r="C6" t="s">
        <v>188</v>
      </c>
      <c r="D6" t="s">
        <v>189</v>
      </c>
      <c r="I6" t="s">
        <v>443</v>
      </c>
      <c r="K6" s="14">
        <f aca="true" t="shared" si="0" ref="K6:P6">K7/$Q$7</f>
        <v>0.125</v>
      </c>
      <c r="L6" s="14">
        <f t="shared" si="0"/>
        <v>0.25</v>
      </c>
      <c r="M6" s="14">
        <f t="shared" si="0"/>
        <v>0.25</v>
      </c>
      <c r="N6" s="14">
        <f t="shared" si="0"/>
        <v>0.125</v>
      </c>
      <c r="O6" s="14">
        <f t="shared" si="0"/>
        <v>0.125</v>
      </c>
      <c r="P6" s="14">
        <f t="shared" si="0"/>
        <v>0.125</v>
      </c>
    </row>
    <row r="7" spans="1:17" ht="12.75">
      <c r="A7" t="s">
        <v>186</v>
      </c>
      <c r="B7" t="s">
        <v>192</v>
      </c>
      <c r="C7">
        <v>15.1</v>
      </c>
      <c r="I7" t="s">
        <v>264</v>
      </c>
      <c r="K7">
        <f>COUNT(D13)</f>
        <v>1</v>
      </c>
      <c r="L7">
        <f>COUNT(D11,D18)</f>
        <v>2</v>
      </c>
      <c r="M7">
        <f>COUNT(D16,D17)</f>
        <v>2</v>
      </c>
      <c r="N7">
        <f>COUNT(D15)</f>
        <v>1</v>
      </c>
      <c r="O7">
        <f>COUNT(D14)</f>
        <v>1</v>
      </c>
      <c r="P7">
        <f>COUNT(D12)</f>
        <v>1</v>
      </c>
      <c r="Q7">
        <f>SUM(K7:P7)</f>
        <v>8</v>
      </c>
    </row>
    <row r="8" spans="1:3" ht="12.75">
      <c r="A8" t="s">
        <v>199</v>
      </c>
      <c r="B8" t="s">
        <v>193</v>
      </c>
      <c r="C8">
        <v>11.3</v>
      </c>
    </row>
    <row r="9" spans="1:3" ht="12.75">
      <c r="A9" t="s">
        <v>200</v>
      </c>
      <c r="B9" t="s">
        <v>193</v>
      </c>
      <c r="C9">
        <v>17</v>
      </c>
    </row>
    <row r="10" spans="1:3" ht="12.75">
      <c r="A10" t="s">
        <v>201</v>
      </c>
      <c r="B10" t="s">
        <v>194</v>
      </c>
      <c r="C10">
        <v>30.2</v>
      </c>
    </row>
    <row r="11" spans="1:4" ht="12.75">
      <c r="A11" t="s">
        <v>206</v>
      </c>
      <c r="B11" t="s">
        <v>193</v>
      </c>
      <c r="D11">
        <v>57.5</v>
      </c>
    </row>
    <row r="12" spans="1:4" ht="12.75">
      <c r="A12" t="s">
        <v>207</v>
      </c>
      <c r="B12" t="s">
        <v>194</v>
      </c>
      <c r="D12">
        <v>254</v>
      </c>
    </row>
    <row r="13" spans="1:4" ht="12.75">
      <c r="A13" t="s">
        <v>208</v>
      </c>
      <c r="B13" t="s">
        <v>193</v>
      </c>
      <c r="D13">
        <v>45.1</v>
      </c>
    </row>
    <row r="14" spans="1:4" ht="12.75">
      <c r="A14" t="s">
        <v>209</v>
      </c>
      <c r="B14" t="s">
        <v>194</v>
      </c>
      <c r="D14">
        <v>243</v>
      </c>
    </row>
    <row r="15" spans="1:4" ht="12.75">
      <c r="A15" t="s">
        <v>210</v>
      </c>
      <c r="B15" t="s">
        <v>193</v>
      </c>
      <c r="D15">
        <v>151</v>
      </c>
    </row>
    <row r="16" spans="1:4" ht="12.75">
      <c r="A16" t="s">
        <v>211</v>
      </c>
      <c r="B16" t="s">
        <v>192</v>
      </c>
      <c r="D16">
        <v>134</v>
      </c>
    </row>
    <row r="17" spans="1:4" ht="12.75">
      <c r="A17" t="s">
        <v>212</v>
      </c>
      <c r="B17" t="s">
        <v>193</v>
      </c>
      <c r="D17">
        <v>123</v>
      </c>
    </row>
    <row r="18" spans="1:4" ht="12.75">
      <c r="A18" t="s">
        <v>213</v>
      </c>
      <c r="B18" t="s">
        <v>192</v>
      </c>
      <c r="D18">
        <v>92.8</v>
      </c>
    </row>
    <row r="20" spans="1:3" ht="12.75">
      <c r="A20" t="s">
        <v>202</v>
      </c>
      <c r="B20" t="s">
        <v>195</v>
      </c>
      <c r="C20">
        <v>93.8</v>
      </c>
    </row>
    <row r="21" spans="1:3" ht="12.75">
      <c r="A21" t="s">
        <v>203</v>
      </c>
      <c r="B21" t="s">
        <v>196</v>
      </c>
      <c r="C21">
        <v>194</v>
      </c>
    </row>
    <row r="22" spans="1:3" ht="12.75">
      <c r="A22" t="s">
        <v>204</v>
      </c>
      <c r="B22" t="s">
        <v>197</v>
      </c>
      <c r="C22">
        <v>21.2</v>
      </c>
    </row>
    <row r="23" spans="1:3" ht="12.75">
      <c r="A23" t="s">
        <v>205</v>
      </c>
      <c r="B23" t="s">
        <v>198</v>
      </c>
      <c r="C23">
        <v>8.76</v>
      </c>
    </row>
    <row r="25" spans="1:5" ht="12.75">
      <c r="A25" t="s">
        <v>214</v>
      </c>
      <c r="D25" s="4" t="s">
        <v>339</v>
      </c>
      <c r="E25">
        <f>COUNT(C20:C23)</f>
        <v>4</v>
      </c>
    </row>
    <row r="26" spans="2:3" ht="12.75">
      <c r="B26" t="s">
        <v>215</v>
      </c>
      <c r="C26">
        <f>AVERAGE(C20:C23)</f>
        <v>79.44</v>
      </c>
    </row>
    <row r="27" spans="2:3" ht="12.75">
      <c r="B27" t="s">
        <v>216</v>
      </c>
      <c r="C27">
        <f>MEDIAN(C20:C23)</f>
        <v>57.5</v>
      </c>
    </row>
    <row r="28" spans="2:3" ht="12.75">
      <c r="B28" t="s">
        <v>217</v>
      </c>
      <c r="C28">
        <f>STDEV(C20:C23)</f>
        <v>85.08380809531272</v>
      </c>
    </row>
    <row r="29" spans="2:3" ht="12.75">
      <c r="B29" t="s">
        <v>247</v>
      </c>
      <c r="C29">
        <f>C21</f>
        <v>194</v>
      </c>
    </row>
    <row r="30" spans="2:3" ht="12.75">
      <c r="B30" t="s">
        <v>248</v>
      </c>
      <c r="C30">
        <f>C23</f>
        <v>8.76</v>
      </c>
    </row>
    <row r="31" spans="1:5" ht="12.75">
      <c r="A31" t="s">
        <v>218</v>
      </c>
      <c r="D31" s="4" t="s">
        <v>339</v>
      </c>
      <c r="E31">
        <f>COUNT(C7:C10)</f>
        <v>4</v>
      </c>
    </row>
    <row r="32" spans="2:3" ht="12.75">
      <c r="B32" t="s">
        <v>215</v>
      </c>
      <c r="C32">
        <f>AVERAGE(C7:C10)</f>
        <v>18.4</v>
      </c>
    </row>
    <row r="33" spans="2:3" ht="12.75">
      <c r="B33" t="s">
        <v>216</v>
      </c>
      <c r="C33">
        <f>MEDIAN(C7:C10)</f>
        <v>16.05</v>
      </c>
    </row>
    <row r="34" spans="2:3" ht="12.75">
      <c r="B34" t="s">
        <v>217</v>
      </c>
      <c r="C34">
        <f>STDEV(C7:C10)</f>
        <v>8.215838362577497</v>
      </c>
    </row>
    <row r="35" spans="2:3" ht="12.75">
      <c r="B35" t="s">
        <v>247</v>
      </c>
      <c r="C35">
        <f>C10</f>
        <v>30.2</v>
      </c>
    </row>
    <row r="36" spans="2:3" ht="12.75">
      <c r="B36" t="s">
        <v>248</v>
      </c>
      <c r="C36">
        <f>C8</f>
        <v>11.3</v>
      </c>
    </row>
    <row r="37" spans="1:5" ht="12.75">
      <c r="A37" t="s">
        <v>219</v>
      </c>
      <c r="D37" s="4" t="s">
        <v>339</v>
      </c>
      <c r="E37">
        <f>COUNT(D11:D18)</f>
        <v>8</v>
      </c>
    </row>
    <row r="38" spans="2:3" ht="12.75">
      <c r="B38" t="s">
        <v>215</v>
      </c>
      <c r="C38">
        <f>AVERAGE(D11:D18)</f>
        <v>137.55</v>
      </c>
    </row>
    <row r="39" spans="2:3" ht="12.75">
      <c r="B39" t="s">
        <v>216</v>
      </c>
      <c r="C39">
        <f>MEDIAN(D11:D18)</f>
        <v>128.5</v>
      </c>
    </row>
    <row r="40" spans="2:3" ht="12.75">
      <c r="B40" t="s">
        <v>217</v>
      </c>
      <c r="C40">
        <f>STDEV(D11:D18)</f>
        <v>77.4993824860191</v>
      </c>
    </row>
    <row r="41" spans="2:3" ht="12.75">
      <c r="B41" t="s">
        <v>247</v>
      </c>
      <c r="C41">
        <f>D12</f>
        <v>254</v>
      </c>
    </row>
    <row r="42" spans="2:3" ht="12.75">
      <c r="B42" t="s">
        <v>248</v>
      </c>
      <c r="C42">
        <f>D13</f>
        <v>45.1</v>
      </c>
    </row>
    <row r="44" spans="1:5" ht="12.75">
      <c r="A44" t="s">
        <v>220</v>
      </c>
      <c r="C44" t="s">
        <v>223</v>
      </c>
      <c r="D44" t="s">
        <v>225</v>
      </c>
      <c r="E44" t="s">
        <v>224</v>
      </c>
    </row>
    <row r="45" spans="1:5" ht="12.75">
      <c r="A45" t="s">
        <v>221</v>
      </c>
      <c r="B45" t="s">
        <v>222</v>
      </c>
      <c r="C45">
        <v>4</v>
      </c>
      <c r="D45">
        <v>9.2</v>
      </c>
      <c r="E45" t="s">
        <v>226</v>
      </c>
    </row>
    <row r="47" spans="1:4" ht="12.75">
      <c r="A47" t="s">
        <v>253</v>
      </c>
      <c r="D47">
        <f>(4*9.2+15.1+11.3+17+30.2)/8</f>
        <v>13.8</v>
      </c>
    </row>
    <row r="48" ht="12.75">
      <c r="A48" t="s">
        <v>363</v>
      </c>
    </row>
    <row r="49" ht="12.75">
      <c r="A49" t="s">
        <v>356</v>
      </c>
    </row>
    <row r="50" spans="1:13" ht="12.75">
      <c r="A50" t="s">
        <v>272</v>
      </c>
      <c r="C50" t="s">
        <v>273</v>
      </c>
      <c r="D50" t="s">
        <v>266</v>
      </c>
      <c r="E50" t="s">
        <v>267</v>
      </c>
      <c r="F50" s="4" t="s">
        <v>268</v>
      </c>
      <c r="G50" t="s">
        <v>269</v>
      </c>
      <c r="H50" t="s">
        <v>274</v>
      </c>
      <c r="I50" t="s">
        <v>340</v>
      </c>
      <c r="J50" t="s">
        <v>341</v>
      </c>
      <c r="K50" t="s">
        <v>342</v>
      </c>
      <c r="L50" t="s">
        <v>343</v>
      </c>
      <c r="M50" t="s">
        <v>355</v>
      </c>
    </row>
    <row r="51" spans="1:12" ht="12.75">
      <c r="A51" t="s">
        <v>442</v>
      </c>
      <c r="C51" s="14">
        <f>C52/$M$52</f>
        <v>0</v>
      </c>
      <c r="D51" s="14">
        <f aca="true" t="shared" si="1" ref="D51:L51">D52/$M$52</f>
        <v>0.125</v>
      </c>
      <c r="E51" s="14">
        <f t="shared" si="1"/>
        <v>0.25</v>
      </c>
      <c r="F51" s="14">
        <f t="shared" si="1"/>
        <v>0.375</v>
      </c>
      <c r="G51" s="14">
        <f t="shared" si="1"/>
        <v>0.125</v>
      </c>
      <c r="H51" s="14">
        <f t="shared" si="1"/>
        <v>0</v>
      </c>
      <c r="I51" s="14">
        <f t="shared" si="1"/>
        <v>0.125</v>
      </c>
      <c r="J51" s="14">
        <f t="shared" si="1"/>
        <v>0</v>
      </c>
      <c r="K51" s="14">
        <f t="shared" si="1"/>
        <v>0</v>
      </c>
      <c r="L51" s="14">
        <f t="shared" si="1"/>
        <v>0</v>
      </c>
    </row>
    <row r="52" spans="1:13" ht="12.75">
      <c r="A52" t="s">
        <v>264</v>
      </c>
      <c r="C52">
        <v>0</v>
      </c>
      <c r="D52">
        <v>1</v>
      </c>
      <c r="E52">
        <v>2</v>
      </c>
      <c r="F52">
        <f>1+COUNT(C8,C7)</f>
        <v>3</v>
      </c>
      <c r="G52">
        <f>COUNT(C9)</f>
        <v>1</v>
      </c>
      <c r="H52">
        <v>0</v>
      </c>
      <c r="I52">
        <f>COUNT(C10)</f>
        <v>1</v>
      </c>
      <c r="J52">
        <v>0</v>
      </c>
      <c r="K52">
        <v>0</v>
      </c>
      <c r="L52">
        <v>0</v>
      </c>
      <c r="M52">
        <f>SUM(C52:L52)</f>
        <v>8</v>
      </c>
    </row>
    <row r="53" ht="12.75">
      <c r="E53" t="s">
        <v>362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5"/>
  <sheetViews>
    <sheetView workbookViewId="0" topLeftCell="A123">
      <selection activeCell="C153" sqref="C153"/>
    </sheetView>
  </sheetViews>
  <sheetFormatPr defaultColWidth="9.140625" defaultRowHeight="12.75"/>
  <cols>
    <col min="1" max="1" width="32.28125" style="0" customWidth="1"/>
    <col min="7" max="7" width="14.00390625" style="0" customWidth="1"/>
    <col min="8" max="8" width="13.8515625" style="0" customWidth="1"/>
    <col min="11" max="11" width="7.421875" style="0" customWidth="1"/>
    <col min="15" max="15" width="15.00390625" style="0" customWidth="1"/>
  </cols>
  <sheetData>
    <row r="1" ht="12.75">
      <c r="A1" s="8" t="s">
        <v>19</v>
      </c>
    </row>
    <row r="2" spans="1:15" ht="12.75">
      <c r="A2" t="s">
        <v>325</v>
      </c>
      <c r="O2" t="s">
        <v>22</v>
      </c>
    </row>
    <row r="3" spans="1:18" ht="12.75">
      <c r="A3" t="s">
        <v>22</v>
      </c>
      <c r="C3" s="1"/>
      <c r="D3" s="2"/>
      <c r="O3" t="s">
        <v>52</v>
      </c>
      <c r="P3" t="s">
        <v>53</v>
      </c>
      <c r="R3" t="s">
        <v>324</v>
      </c>
    </row>
    <row r="4" spans="1:16" ht="12.75">
      <c r="A4" t="s">
        <v>9</v>
      </c>
      <c r="B4" t="s">
        <v>10</v>
      </c>
      <c r="D4" t="s">
        <v>324</v>
      </c>
      <c r="O4" s="3" t="s">
        <v>50</v>
      </c>
      <c r="P4" t="s">
        <v>63</v>
      </c>
    </row>
    <row r="5" spans="1:18" ht="12.75">
      <c r="A5" s="3" t="s">
        <v>21</v>
      </c>
      <c r="B5" t="s">
        <v>20</v>
      </c>
      <c r="O5" t="s">
        <v>278</v>
      </c>
      <c r="Q5" s="22" t="s">
        <v>11</v>
      </c>
      <c r="R5" s="22"/>
    </row>
    <row r="6" spans="3:18" ht="12.75">
      <c r="C6" s="22" t="s">
        <v>11</v>
      </c>
      <c r="D6" s="22"/>
      <c r="F6" s="22" t="s">
        <v>11</v>
      </c>
      <c r="G6" s="22"/>
      <c r="I6" s="22" t="s">
        <v>11</v>
      </c>
      <c r="J6" s="22"/>
      <c r="L6" s="22" t="s">
        <v>11</v>
      </c>
      <c r="M6" s="22"/>
      <c r="O6" t="s">
        <v>25</v>
      </c>
      <c r="P6" t="s">
        <v>26</v>
      </c>
      <c r="Q6" t="s">
        <v>14</v>
      </c>
      <c r="R6" t="s">
        <v>15</v>
      </c>
    </row>
    <row r="7" spans="1:18" ht="12.75">
      <c r="A7" t="s">
        <v>12</v>
      </c>
      <c r="B7" t="s">
        <v>13</v>
      </c>
      <c r="C7" t="s">
        <v>14</v>
      </c>
      <c r="D7" t="s">
        <v>15</v>
      </c>
      <c r="E7" t="s">
        <v>13</v>
      </c>
      <c r="F7" t="s">
        <v>14</v>
      </c>
      <c r="G7" t="s">
        <v>15</v>
      </c>
      <c r="H7" t="s">
        <v>13</v>
      </c>
      <c r="I7" t="s">
        <v>14</v>
      </c>
      <c r="J7" t="s">
        <v>15</v>
      </c>
      <c r="K7" t="s">
        <v>16</v>
      </c>
      <c r="L7" t="s">
        <v>14</v>
      </c>
      <c r="M7" t="s">
        <v>15</v>
      </c>
      <c r="O7" t="s">
        <v>29</v>
      </c>
      <c r="P7" t="s">
        <v>54</v>
      </c>
      <c r="Q7" s="13">
        <v>41.3</v>
      </c>
      <c r="R7" s="7">
        <v>0.45</v>
      </c>
    </row>
    <row r="8" spans="1:18" ht="12.75">
      <c r="A8" s="4">
        <v>1</v>
      </c>
      <c r="B8" s="5">
        <v>37103</v>
      </c>
      <c r="C8" s="6">
        <v>8.8</v>
      </c>
      <c r="D8" s="7">
        <v>0.1</v>
      </c>
      <c r="E8" s="5">
        <v>37104</v>
      </c>
      <c r="H8" s="5">
        <v>37105</v>
      </c>
      <c r="I8" s="6"/>
      <c r="J8" s="7"/>
      <c r="O8" t="s">
        <v>29</v>
      </c>
      <c r="P8" t="s">
        <v>54</v>
      </c>
      <c r="Q8" s="13">
        <v>143</v>
      </c>
      <c r="R8" s="12">
        <v>1.35</v>
      </c>
    </row>
    <row r="9" spans="1:18" ht="12.75">
      <c r="A9">
        <v>2</v>
      </c>
      <c r="B9" s="5">
        <v>37103</v>
      </c>
      <c r="C9" s="6">
        <v>15</v>
      </c>
      <c r="D9" s="7">
        <v>0.2</v>
      </c>
      <c r="E9" s="5">
        <v>37104</v>
      </c>
      <c r="F9" s="6">
        <v>10.6</v>
      </c>
      <c r="G9" s="7">
        <v>0.1</v>
      </c>
      <c r="H9" s="5">
        <v>37105</v>
      </c>
      <c r="I9" s="6">
        <v>20.7</v>
      </c>
      <c r="J9" s="7">
        <v>0.1</v>
      </c>
      <c r="K9" t="s">
        <v>16</v>
      </c>
      <c r="L9" s="6">
        <f>AVERAGE(C9,F9,I9)</f>
        <v>15.433333333333332</v>
      </c>
      <c r="M9" s="6">
        <f>AVERAGE(D9,G9,J9)</f>
        <v>0.13333333333333333</v>
      </c>
      <c r="O9" t="s">
        <v>29</v>
      </c>
      <c r="P9" t="s">
        <v>54</v>
      </c>
      <c r="Q9" s="13">
        <v>72.4</v>
      </c>
      <c r="R9" s="7">
        <v>0.78</v>
      </c>
    </row>
    <row r="10" spans="1:18" ht="12.75">
      <c r="A10">
        <v>3</v>
      </c>
      <c r="B10" s="5">
        <v>37103</v>
      </c>
      <c r="C10" s="6">
        <v>15.1</v>
      </c>
      <c r="D10" s="7">
        <v>0.1</v>
      </c>
      <c r="E10" s="5">
        <v>37104</v>
      </c>
      <c r="F10" s="6">
        <v>14.2</v>
      </c>
      <c r="G10" s="7">
        <v>0.1</v>
      </c>
      <c r="H10" s="5">
        <v>37105</v>
      </c>
      <c r="I10" s="6">
        <v>24.8</v>
      </c>
      <c r="J10" s="7">
        <v>0.2</v>
      </c>
      <c r="K10" t="s">
        <v>16</v>
      </c>
      <c r="L10" s="6">
        <f aca="true" t="shared" si="0" ref="L10:M19">AVERAGE(C10,F10,I10)</f>
        <v>18.03333333333333</v>
      </c>
      <c r="M10" s="6">
        <f t="shared" si="0"/>
        <v>0.13333333333333333</v>
      </c>
      <c r="O10" t="s">
        <v>29</v>
      </c>
      <c r="P10" t="s">
        <v>54</v>
      </c>
      <c r="Q10" s="13">
        <v>47.6</v>
      </c>
      <c r="R10" s="7">
        <v>0.33</v>
      </c>
    </row>
    <row r="11" spans="1:18" ht="12.75">
      <c r="A11">
        <v>4</v>
      </c>
      <c r="B11" s="5">
        <v>37103</v>
      </c>
      <c r="C11" s="6">
        <v>21.1</v>
      </c>
      <c r="D11" s="7">
        <v>0.2</v>
      </c>
      <c r="E11" s="5">
        <v>37104</v>
      </c>
      <c r="F11" s="6">
        <v>16.3</v>
      </c>
      <c r="G11" s="7">
        <v>0.2</v>
      </c>
      <c r="H11" s="5">
        <v>37105</v>
      </c>
      <c r="I11" s="6">
        <v>19.9</v>
      </c>
      <c r="J11" s="7">
        <v>0.2</v>
      </c>
      <c r="K11" t="s">
        <v>16</v>
      </c>
      <c r="L11" s="6">
        <f t="shared" si="0"/>
        <v>19.1</v>
      </c>
      <c r="M11" s="6">
        <f t="shared" si="0"/>
        <v>0.20000000000000004</v>
      </c>
      <c r="O11" t="s">
        <v>29</v>
      </c>
      <c r="P11" t="s">
        <v>54</v>
      </c>
      <c r="Q11" s="13">
        <v>73.4</v>
      </c>
      <c r="R11" s="7">
        <v>0.69</v>
      </c>
    </row>
    <row r="12" spans="1:18" ht="12.75">
      <c r="A12">
        <v>5</v>
      </c>
      <c r="B12" s="5">
        <v>37103</v>
      </c>
      <c r="C12" s="6">
        <v>14.7</v>
      </c>
      <c r="D12" s="7">
        <v>0.2</v>
      </c>
      <c r="E12" s="5">
        <v>37104</v>
      </c>
      <c r="F12" s="6">
        <v>16.11</v>
      </c>
      <c r="G12" s="7">
        <v>0.2</v>
      </c>
      <c r="H12" s="5">
        <v>37105</v>
      </c>
      <c r="I12" s="6">
        <v>23.8</v>
      </c>
      <c r="J12" s="7">
        <v>0.2</v>
      </c>
      <c r="K12" t="s">
        <v>16</v>
      </c>
      <c r="L12" s="6">
        <f t="shared" si="0"/>
        <v>18.203333333333333</v>
      </c>
      <c r="M12" s="6">
        <f t="shared" si="0"/>
        <v>0.20000000000000004</v>
      </c>
      <c r="O12" t="s">
        <v>29</v>
      </c>
      <c r="P12" t="s">
        <v>54</v>
      </c>
      <c r="Q12" s="13">
        <v>48.6</v>
      </c>
      <c r="R12" s="7">
        <v>0.49</v>
      </c>
    </row>
    <row r="13" spans="1:18" ht="12.75">
      <c r="A13">
        <v>6</v>
      </c>
      <c r="B13" s="5">
        <v>37103</v>
      </c>
      <c r="C13" s="13">
        <v>31.9</v>
      </c>
      <c r="D13" s="7">
        <v>0.3</v>
      </c>
      <c r="E13" s="5">
        <v>37104</v>
      </c>
      <c r="F13" s="6">
        <v>17</v>
      </c>
      <c r="G13" s="7">
        <v>0.1</v>
      </c>
      <c r="H13" s="5">
        <v>37105</v>
      </c>
      <c r="I13" s="13">
        <v>34.9</v>
      </c>
      <c r="J13" s="7">
        <v>0.4</v>
      </c>
      <c r="K13" t="s">
        <v>16</v>
      </c>
      <c r="L13" s="13">
        <f t="shared" si="0"/>
        <v>27.933333333333334</v>
      </c>
      <c r="M13" s="6">
        <f t="shared" si="0"/>
        <v>0.26666666666666666</v>
      </c>
      <c r="O13" t="s">
        <v>29</v>
      </c>
      <c r="P13" t="s">
        <v>54</v>
      </c>
      <c r="Q13" s="13">
        <v>75.8</v>
      </c>
      <c r="R13" s="7">
        <v>0.77</v>
      </c>
    </row>
    <row r="14" spans="1:18" ht="12.75">
      <c r="A14">
        <v>7</v>
      </c>
      <c r="B14" s="5">
        <v>37103</v>
      </c>
      <c r="C14" s="6">
        <v>16.5</v>
      </c>
      <c r="D14" s="7">
        <v>0.1</v>
      </c>
      <c r="E14" s="5">
        <v>37104</v>
      </c>
      <c r="F14" s="6">
        <v>17.3</v>
      </c>
      <c r="G14" s="7">
        <v>0.2</v>
      </c>
      <c r="H14" s="5">
        <v>37105</v>
      </c>
      <c r="I14" s="6">
        <v>15.3</v>
      </c>
      <c r="J14" s="7">
        <v>0.2</v>
      </c>
      <c r="K14" t="s">
        <v>16</v>
      </c>
      <c r="L14" s="6">
        <f t="shared" si="0"/>
        <v>16.366666666666664</v>
      </c>
      <c r="M14" s="6">
        <f t="shared" si="0"/>
        <v>0.16666666666666666</v>
      </c>
      <c r="O14" t="s">
        <v>29</v>
      </c>
      <c r="P14" t="s">
        <v>54</v>
      </c>
      <c r="Q14" s="13">
        <v>78.3</v>
      </c>
      <c r="R14" s="7">
        <v>0.74</v>
      </c>
    </row>
    <row r="15" spans="1:18" ht="12.75">
      <c r="A15">
        <v>8</v>
      </c>
      <c r="B15" s="5">
        <v>37103</v>
      </c>
      <c r="C15" s="6">
        <v>13.91</v>
      </c>
      <c r="D15" s="7">
        <v>0.1</v>
      </c>
      <c r="E15" s="5">
        <v>37104</v>
      </c>
      <c r="F15" s="6">
        <v>17.5</v>
      </c>
      <c r="G15" s="7">
        <v>0.1</v>
      </c>
      <c r="H15" s="5">
        <v>37105</v>
      </c>
      <c r="I15" s="6">
        <v>14.3</v>
      </c>
      <c r="J15" s="7">
        <v>0.2</v>
      </c>
      <c r="K15" t="s">
        <v>16</v>
      </c>
      <c r="L15" s="6">
        <f t="shared" si="0"/>
        <v>15.236666666666666</v>
      </c>
      <c r="M15" s="6">
        <f t="shared" si="0"/>
        <v>0.13333333333333333</v>
      </c>
      <c r="O15" t="s">
        <v>29</v>
      </c>
      <c r="P15" t="s">
        <v>54</v>
      </c>
      <c r="Q15" s="13">
        <v>51.3</v>
      </c>
      <c r="R15" s="7">
        <v>0.57</v>
      </c>
    </row>
    <row r="16" spans="1:18" ht="12.75">
      <c r="A16">
        <v>9</v>
      </c>
      <c r="B16" s="5">
        <v>37103</v>
      </c>
      <c r="C16" s="6">
        <v>15.11</v>
      </c>
      <c r="D16" s="7">
        <v>0.2</v>
      </c>
      <c r="E16" s="5">
        <v>37104</v>
      </c>
      <c r="F16" s="6">
        <v>7.7</v>
      </c>
      <c r="G16" s="7">
        <v>0.1</v>
      </c>
      <c r="H16" s="5">
        <v>37105</v>
      </c>
      <c r="I16" s="13">
        <v>28.43</v>
      </c>
      <c r="J16" s="7">
        <v>0.3</v>
      </c>
      <c r="K16" t="s">
        <v>16</v>
      </c>
      <c r="L16" s="6">
        <f t="shared" si="0"/>
        <v>17.08</v>
      </c>
      <c r="M16" s="6">
        <f t="shared" si="0"/>
        <v>0.20000000000000004</v>
      </c>
      <c r="O16" t="s">
        <v>55</v>
      </c>
      <c r="P16" t="s">
        <v>54</v>
      </c>
      <c r="Q16" s="13">
        <v>47.6</v>
      </c>
      <c r="R16" s="7">
        <v>0.52</v>
      </c>
    </row>
    <row r="17" spans="1:18" ht="12.75">
      <c r="A17">
        <v>10</v>
      </c>
      <c r="B17" s="5">
        <v>37103</v>
      </c>
      <c r="C17" s="6">
        <v>11.8</v>
      </c>
      <c r="D17" s="7">
        <v>0.1</v>
      </c>
      <c r="E17" s="5">
        <v>37104</v>
      </c>
      <c r="F17" s="6">
        <v>21.81</v>
      </c>
      <c r="G17" s="7">
        <v>0.2</v>
      </c>
      <c r="H17" s="5">
        <v>37105</v>
      </c>
      <c r="I17" s="6">
        <v>17.8</v>
      </c>
      <c r="J17" s="7">
        <v>0.2</v>
      </c>
      <c r="K17" t="s">
        <v>16</v>
      </c>
      <c r="L17" s="6">
        <f t="shared" si="0"/>
        <v>17.136666666666667</v>
      </c>
      <c r="M17" s="6">
        <f t="shared" si="0"/>
        <v>0.16666666666666666</v>
      </c>
      <c r="O17" t="s">
        <v>55</v>
      </c>
      <c r="P17" t="s">
        <v>54</v>
      </c>
      <c r="Q17" s="13">
        <v>54.9</v>
      </c>
      <c r="R17" s="7">
        <v>0.56</v>
      </c>
    </row>
    <row r="18" spans="1:18" ht="12.75">
      <c r="A18">
        <v>11</v>
      </c>
      <c r="B18" s="5">
        <v>37103</v>
      </c>
      <c r="C18" s="6">
        <v>15.81</v>
      </c>
      <c r="D18" s="7">
        <v>0.2</v>
      </c>
      <c r="E18" s="5">
        <v>37104</v>
      </c>
      <c r="F18" s="13">
        <v>29</v>
      </c>
      <c r="G18" s="7">
        <v>0.2</v>
      </c>
      <c r="H18" s="5">
        <v>37105</v>
      </c>
      <c r="I18" s="13">
        <v>32.71</v>
      </c>
      <c r="J18" s="7">
        <v>0.3</v>
      </c>
      <c r="K18" t="s">
        <v>16</v>
      </c>
      <c r="L18" s="13">
        <f t="shared" si="0"/>
        <v>25.840000000000003</v>
      </c>
      <c r="M18" s="6">
        <f t="shared" si="0"/>
        <v>0.2333333333333333</v>
      </c>
      <c r="O18" t="s">
        <v>55</v>
      </c>
      <c r="P18" t="s">
        <v>54</v>
      </c>
      <c r="Q18" s="13">
        <v>56.7</v>
      </c>
      <c r="R18" s="7">
        <v>0.65</v>
      </c>
    </row>
    <row r="19" spans="1:18" ht="12.75">
      <c r="A19">
        <v>12</v>
      </c>
      <c r="B19" s="5">
        <v>37103</v>
      </c>
      <c r="C19" s="6">
        <v>18.9</v>
      </c>
      <c r="D19" s="7">
        <v>0.2</v>
      </c>
      <c r="E19" s="5">
        <v>37104</v>
      </c>
      <c r="F19" s="6">
        <v>17.81</v>
      </c>
      <c r="G19" s="7">
        <v>0.2</v>
      </c>
      <c r="H19" s="5">
        <v>37105</v>
      </c>
      <c r="I19" s="6">
        <v>24.1</v>
      </c>
      <c r="J19" s="7">
        <v>0.2</v>
      </c>
      <c r="K19" t="s">
        <v>16</v>
      </c>
      <c r="L19" s="6">
        <f t="shared" si="0"/>
        <v>20.27</v>
      </c>
      <c r="M19" s="6">
        <f t="shared" si="0"/>
        <v>0.20000000000000004</v>
      </c>
      <c r="O19" t="s">
        <v>56</v>
      </c>
      <c r="P19" t="s">
        <v>54</v>
      </c>
      <c r="Q19" s="6">
        <v>8.7</v>
      </c>
      <c r="R19" s="7">
        <v>0.19</v>
      </c>
    </row>
    <row r="20" spans="3:18" ht="12.75">
      <c r="C20" s="6"/>
      <c r="D20" s="7"/>
      <c r="O20" t="s">
        <v>56</v>
      </c>
      <c r="P20" t="s">
        <v>54</v>
      </c>
      <c r="Q20" s="6">
        <v>19.4</v>
      </c>
      <c r="R20" s="7">
        <v>0.28</v>
      </c>
    </row>
    <row r="21" spans="3:4" ht="12.75">
      <c r="C21" s="6"/>
      <c r="D21" s="7"/>
    </row>
    <row r="22" spans="15:18" ht="12.75">
      <c r="O22" t="s">
        <v>17</v>
      </c>
      <c r="Q22" s="12">
        <f>AVERAGE(Q7:Q20)</f>
        <v>58.50000000000001</v>
      </c>
      <c r="R22" s="1">
        <f>AVERAGE(R7:R20)</f>
        <v>0.5978571428571428</v>
      </c>
    </row>
    <row r="23" spans="1:18" ht="12.75">
      <c r="A23" t="s">
        <v>17</v>
      </c>
      <c r="B23" s="3">
        <v>37103</v>
      </c>
      <c r="C23" s="7">
        <f>AVERAGE(C8:C21)</f>
        <v>16.552500000000002</v>
      </c>
      <c r="D23" s="1">
        <f>AVERAGE(D8:D21)</f>
        <v>0.1666666666666667</v>
      </c>
      <c r="E23" s="5">
        <v>37104</v>
      </c>
      <c r="F23" s="7">
        <f>AVERAGE(F8:F21)</f>
        <v>16.848181818181818</v>
      </c>
      <c r="G23" s="1">
        <f>AVERAGE(G8:G21)</f>
        <v>0.15454545454545457</v>
      </c>
      <c r="H23" s="5">
        <v>37105</v>
      </c>
      <c r="I23" s="7">
        <f>AVERAGE(I8:I21)</f>
        <v>23.340000000000007</v>
      </c>
      <c r="J23" s="1">
        <f>AVERAGE(J8:J21)</f>
        <v>0.22727272727272727</v>
      </c>
      <c r="K23" t="s">
        <v>16</v>
      </c>
      <c r="L23" s="7">
        <f>AVERAGE(L8:L21)</f>
        <v>19.14848484848485</v>
      </c>
      <c r="M23" s="1">
        <f>AVERAGE(M8:M21)</f>
        <v>0.18484848484848487</v>
      </c>
      <c r="O23" t="s">
        <v>57</v>
      </c>
      <c r="Q23" s="12">
        <f>AVERAGE(Q7:Q15)</f>
        <v>70.1888888888889</v>
      </c>
      <c r="R23" s="1">
        <f>AVERAGE(R7:R15)</f>
        <v>0.6855555555555556</v>
      </c>
    </row>
    <row r="24" spans="15:18" ht="12.75">
      <c r="O24" t="s">
        <v>58</v>
      </c>
      <c r="Q24" s="12">
        <f>AVERAGE(Q16:Q18)</f>
        <v>53.06666666666666</v>
      </c>
      <c r="R24" s="1">
        <f>AVERAGE(R16:R18)</f>
        <v>0.5766666666666667</v>
      </c>
    </row>
    <row r="25" spans="1:18" ht="12.75">
      <c r="A25" t="s">
        <v>18</v>
      </c>
      <c r="C25" s="1">
        <f>STDEV(C8:C21)</f>
        <v>5.736590886580629</v>
      </c>
      <c r="D25" s="2">
        <f>STDEV(D8:D21)</f>
        <v>0.06513389472789294</v>
      </c>
      <c r="F25" s="1">
        <f>STDEV(F8:F21)</f>
        <v>5.517705715570237</v>
      </c>
      <c r="G25" s="2">
        <f>STDEV(G8:G21)</f>
        <v>0.05222329678670936</v>
      </c>
      <c r="I25" s="1">
        <f>STDEV(I8:I21)</f>
        <v>6.679202048149145</v>
      </c>
      <c r="J25" s="2">
        <f>STDEV(J8:J21)</f>
        <v>0.07862453931068969</v>
      </c>
      <c r="L25" s="1">
        <f>STDEV(L8:L21)</f>
        <v>4.129360554112297</v>
      </c>
      <c r="M25" s="2">
        <f>STDEV(M8:M21)</f>
        <v>0.04311131937885756</v>
      </c>
      <c r="O25" t="s">
        <v>59</v>
      </c>
      <c r="Q25" s="7">
        <f>AVERAGE(Q19:Q20)</f>
        <v>14.049999999999999</v>
      </c>
      <c r="R25" s="1">
        <f>AVERAGE(R19:R20)</f>
        <v>0.23500000000000001</v>
      </c>
    </row>
    <row r="27" spans="15:18" ht="12.75">
      <c r="O27" t="s">
        <v>18</v>
      </c>
      <c r="Q27" s="1">
        <f>STDEV(Q7:Q20)</f>
        <v>31.568192365588</v>
      </c>
      <c r="R27" s="2">
        <f>STDEV(R7:R20)</f>
        <v>0.28295633181515106</v>
      </c>
    </row>
    <row r="28" spans="15:18" ht="12.75">
      <c r="O28" t="s">
        <v>60</v>
      </c>
      <c r="Q28" s="1">
        <f>STDEV(Q7:Q15)</f>
        <v>30.784795128620072</v>
      </c>
      <c r="R28" s="2">
        <f>STDEV(R7:R15)</f>
        <v>0.2945382450171417</v>
      </c>
    </row>
    <row r="29" spans="15:18" ht="12.75">
      <c r="O29" t="s">
        <v>61</v>
      </c>
      <c r="Q29" s="1">
        <f>STDEV(Q16:Q18)</f>
        <v>4.819059382632078</v>
      </c>
      <c r="R29" s="2">
        <f>STDEV(R16:R18)</f>
        <v>0.06658328118479444</v>
      </c>
    </row>
    <row r="30" spans="1:18" ht="12.75">
      <c r="A30" t="s">
        <v>23</v>
      </c>
      <c r="B30" t="s">
        <v>24</v>
      </c>
      <c r="D30" t="s">
        <v>324</v>
      </c>
      <c r="O30" t="s">
        <v>62</v>
      </c>
      <c r="Q30" s="1">
        <f>STDEV(Q19:Q20)</f>
        <v>7.566042558696059</v>
      </c>
      <c r="R30" s="2">
        <f>STDEV(R19:R20)</f>
        <v>0.06363961030678926</v>
      </c>
    </row>
    <row r="31" spans="1:2" ht="12.75">
      <c r="A31" s="3" t="s">
        <v>50</v>
      </c>
      <c r="B31" t="s">
        <v>51</v>
      </c>
    </row>
    <row r="32" spans="3:4" ht="12.75">
      <c r="C32" s="22" t="s">
        <v>11</v>
      </c>
      <c r="D32" s="22"/>
    </row>
    <row r="33" spans="1:4" ht="12.75">
      <c r="A33" t="s">
        <v>25</v>
      </c>
      <c r="B33" t="s">
        <v>26</v>
      </c>
      <c r="C33" t="s">
        <v>14</v>
      </c>
      <c r="D33" t="s">
        <v>15</v>
      </c>
    </row>
    <row r="34" spans="1:4" ht="12.75">
      <c r="A34" t="s">
        <v>27</v>
      </c>
      <c r="B34" t="s">
        <v>28</v>
      </c>
      <c r="C34" s="6">
        <v>18</v>
      </c>
      <c r="D34" s="7">
        <v>0.3</v>
      </c>
    </row>
    <row r="35" spans="1:4" ht="12.75">
      <c r="A35" t="s">
        <v>27</v>
      </c>
      <c r="B35" t="s">
        <v>28</v>
      </c>
      <c r="C35" s="6">
        <v>20.7</v>
      </c>
      <c r="D35" s="7">
        <v>0.35</v>
      </c>
    </row>
    <row r="36" spans="1:4" ht="12.75">
      <c r="A36" t="s">
        <v>29</v>
      </c>
      <c r="B36" t="s">
        <v>28</v>
      </c>
      <c r="C36" s="6">
        <v>32</v>
      </c>
      <c r="D36" s="7">
        <v>0.48</v>
      </c>
    </row>
    <row r="37" spans="1:4" ht="12.75">
      <c r="A37" t="s">
        <v>27</v>
      </c>
      <c r="B37" t="s">
        <v>28</v>
      </c>
      <c r="C37" s="6">
        <v>9.9</v>
      </c>
      <c r="D37" s="7">
        <v>0.2</v>
      </c>
    </row>
    <row r="38" spans="1:4" ht="12.75">
      <c r="A38" t="s">
        <v>29</v>
      </c>
      <c r="B38" t="s">
        <v>28</v>
      </c>
      <c r="C38" s="6">
        <v>14.9</v>
      </c>
      <c r="D38" s="7">
        <v>0.25</v>
      </c>
    </row>
    <row r="39" spans="1:4" ht="12.75">
      <c r="A39" t="s">
        <v>27</v>
      </c>
      <c r="B39" t="s">
        <v>28</v>
      </c>
      <c r="C39" s="6">
        <v>24.4</v>
      </c>
      <c r="D39" s="7">
        <v>0.4</v>
      </c>
    </row>
    <row r="40" spans="1:10" ht="12.75">
      <c r="A40" t="s">
        <v>27</v>
      </c>
      <c r="B40" t="s">
        <v>28</v>
      </c>
      <c r="C40" s="6">
        <v>31.8</v>
      </c>
      <c r="D40" s="7">
        <v>0.55</v>
      </c>
      <c r="I40" s="6"/>
      <c r="J40" s="7"/>
    </row>
    <row r="41" spans="1:10" ht="12.75">
      <c r="A41" t="s">
        <v>27</v>
      </c>
      <c r="B41" t="s">
        <v>28</v>
      </c>
      <c r="C41" s="6">
        <v>11.5</v>
      </c>
      <c r="D41" s="7">
        <v>0.19</v>
      </c>
      <c r="I41" s="6"/>
      <c r="J41" s="7"/>
    </row>
    <row r="42" spans="1:10" ht="12.75">
      <c r="A42" t="s">
        <v>29</v>
      </c>
      <c r="B42" t="s">
        <v>28</v>
      </c>
      <c r="C42" s="6">
        <v>18.1</v>
      </c>
      <c r="D42" s="7">
        <v>0.26</v>
      </c>
      <c r="I42" s="6"/>
      <c r="J42" s="7"/>
    </row>
    <row r="43" spans="1:10" ht="12.75">
      <c r="A43" t="s">
        <v>27</v>
      </c>
      <c r="B43" t="s">
        <v>28</v>
      </c>
      <c r="C43" s="6">
        <v>19.9</v>
      </c>
      <c r="D43" s="7">
        <v>0.21</v>
      </c>
      <c r="I43" s="6"/>
      <c r="J43" s="7"/>
    </row>
    <row r="44" spans="1:10" ht="12.75">
      <c r="A44" t="s">
        <v>30</v>
      </c>
      <c r="B44" t="s">
        <v>28</v>
      </c>
      <c r="C44" s="6">
        <v>6.1</v>
      </c>
      <c r="D44" s="7">
        <v>0.1</v>
      </c>
      <c r="I44" s="6"/>
      <c r="J44" s="7"/>
    </row>
    <row r="45" spans="1:10" ht="12.75">
      <c r="A45" t="s">
        <v>29</v>
      </c>
      <c r="B45" t="s">
        <v>31</v>
      </c>
      <c r="C45" s="13">
        <v>58</v>
      </c>
      <c r="D45" s="7">
        <v>0.11</v>
      </c>
      <c r="I45" s="13"/>
      <c r="J45" s="7"/>
    </row>
    <row r="46" spans="1:10" ht="12.75">
      <c r="A46" t="s">
        <v>29</v>
      </c>
      <c r="B46" t="s">
        <v>31</v>
      </c>
      <c r="C46" s="13">
        <v>26.5</v>
      </c>
      <c r="D46" s="7">
        <v>0.07</v>
      </c>
      <c r="I46" s="13"/>
      <c r="J46" s="7"/>
    </row>
    <row r="47" spans="1:10" ht="12.75">
      <c r="A47" t="s">
        <v>29</v>
      </c>
      <c r="B47" t="s">
        <v>31</v>
      </c>
      <c r="C47" s="13">
        <v>25.3</v>
      </c>
      <c r="D47" s="7">
        <v>0.06</v>
      </c>
      <c r="I47" s="13"/>
      <c r="J47" s="7"/>
    </row>
    <row r="48" spans="1:10" ht="12.75">
      <c r="A48" t="s">
        <v>29</v>
      </c>
      <c r="B48" t="s">
        <v>31</v>
      </c>
      <c r="C48" s="6">
        <v>5.4</v>
      </c>
      <c r="D48" s="7">
        <v>0.03</v>
      </c>
      <c r="I48" s="6"/>
      <c r="J48" s="7"/>
    </row>
    <row r="49" spans="1:10" ht="12.75">
      <c r="A49" t="s">
        <v>29</v>
      </c>
      <c r="B49" t="s">
        <v>31</v>
      </c>
      <c r="C49" s="13">
        <v>33.7</v>
      </c>
      <c r="D49" s="7">
        <v>0.07</v>
      </c>
      <c r="I49" s="13"/>
      <c r="J49" s="7"/>
    </row>
    <row r="50" spans="1:10" ht="12.75">
      <c r="A50" t="s">
        <v>29</v>
      </c>
      <c r="B50" t="s">
        <v>31</v>
      </c>
      <c r="C50" s="13">
        <v>51.6</v>
      </c>
      <c r="D50" s="7">
        <v>0.1</v>
      </c>
      <c r="I50" s="13"/>
      <c r="J50" s="7"/>
    </row>
    <row r="51" spans="1:10" ht="12.75">
      <c r="A51" t="s">
        <v>29</v>
      </c>
      <c r="B51" t="s">
        <v>31</v>
      </c>
      <c r="C51" s="13">
        <v>28.2</v>
      </c>
      <c r="D51" s="7">
        <v>0.05</v>
      </c>
      <c r="I51" s="13"/>
      <c r="J51" s="7"/>
    </row>
    <row r="52" spans="1:10" ht="12.75">
      <c r="A52" t="s">
        <v>29</v>
      </c>
      <c r="B52" t="s">
        <v>31</v>
      </c>
      <c r="C52" s="13">
        <v>36.8</v>
      </c>
      <c r="D52" s="7">
        <v>0.06</v>
      </c>
      <c r="I52" s="13"/>
      <c r="J52" s="7"/>
    </row>
    <row r="53" spans="1:10" ht="12.75">
      <c r="A53" t="s">
        <v>29</v>
      </c>
      <c r="B53" t="s">
        <v>31</v>
      </c>
      <c r="C53" s="13">
        <v>45.3</v>
      </c>
      <c r="D53" s="7">
        <v>0.1</v>
      </c>
      <c r="I53" s="13"/>
      <c r="J53" s="7"/>
    </row>
    <row r="54" spans="1:10" ht="12.75">
      <c r="A54" t="s">
        <v>29</v>
      </c>
      <c r="B54" t="s">
        <v>31</v>
      </c>
      <c r="C54" s="6">
        <v>13.9</v>
      </c>
      <c r="D54" s="7">
        <v>0.06</v>
      </c>
      <c r="I54" s="6"/>
      <c r="J54" s="7"/>
    </row>
    <row r="55" spans="1:10" ht="12.75">
      <c r="A55" t="s">
        <v>29</v>
      </c>
      <c r="B55" t="s">
        <v>31</v>
      </c>
      <c r="C55" s="6">
        <v>23.2</v>
      </c>
      <c r="D55" s="7">
        <v>0.05</v>
      </c>
      <c r="I55" s="6"/>
      <c r="J55" s="7"/>
    </row>
    <row r="56" spans="1:10" ht="12.75">
      <c r="A56" t="s">
        <v>30</v>
      </c>
      <c r="B56" t="s">
        <v>31</v>
      </c>
      <c r="C56" s="6">
        <v>2.8</v>
      </c>
      <c r="D56" s="7">
        <v>0.02</v>
      </c>
      <c r="I56" s="6"/>
      <c r="J56" s="7"/>
    </row>
    <row r="57" spans="1:10" ht="12.75">
      <c r="A57" t="s">
        <v>30</v>
      </c>
      <c r="B57" t="s">
        <v>32</v>
      </c>
      <c r="C57" s="6">
        <v>1.2</v>
      </c>
      <c r="D57" s="7" t="s">
        <v>33</v>
      </c>
      <c r="I57" s="6"/>
      <c r="J57" s="7"/>
    </row>
    <row r="58" spans="1:10" ht="12.75">
      <c r="A58" t="s">
        <v>34</v>
      </c>
      <c r="B58" t="s">
        <v>35</v>
      </c>
      <c r="C58" s="6">
        <v>1.6</v>
      </c>
      <c r="D58" s="7">
        <v>0.04</v>
      </c>
      <c r="I58" s="6"/>
      <c r="J58" s="7"/>
    </row>
    <row r="59" spans="1:10" ht="12.75">
      <c r="A59" t="s">
        <v>34</v>
      </c>
      <c r="B59" t="s">
        <v>35</v>
      </c>
      <c r="C59" s="6">
        <v>1.6</v>
      </c>
      <c r="D59" s="7" t="s">
        <v>33</v>
      </c>
      <c r="I59" s="6"/>
      <c r="J59" s="7"/>
    </row>
    <row r="60" spans="1:10" ht="12.75">
      <c r="A60" t="s">
        <v>34</v>
      </c>
      <c r="B60" t="s">
        <v>35</v>
      </c>
      <c r="C60" s="6">
        <v>2</v>
      </c>
      <c r="D60" s="7">
        <v>0.05</v>
      </c>
      <c r="I60" s="6"/>
      <c r="J60" s="7"/>
    </row>
    <row r="61" spans="1:10" ht="12.75">
      <c r="A61" t="s">
        <v>34</v>
      </c>
      <c r="B61" t="s">
        <v>35</v>
      </c>
      <c r="C61" s="6">
        <v>1.7</v>
      </c>
      <c r="D61" s="7">
        <v>0.03</v>
      </c>
      <c r="I61" s="6"/>
      <c r="J61" s="7"/>
    </row>
    <row r="62" spans="1:10" ht="12.75">
      <c r="A62" t="s">
        <v>34</v>
      </c>
      <c r="B62" t="s">
        <v>35</v>
      </c>
      <c r="C62" s="6">
        <v>1.9</v>
      </c>
      <c r="D62" s="7">
        <v>0.04</v>
      </c>
      <c r="I62" s="6"/>
      <c r="J62" s="7"/>
    </row>
    <row r="63" spans="1:4" ht="12.75">
      <c r="A63" t="s">
        <v>30</v>
      </c>
      <c r="B63" t="s">
        <v>35</v>
      </c>
      <c r="C63">
        <v>1.8</v>
      </c>
      <c r="D63">
        <v>0.05</v>
      </c>
    </row>
    <row r="65" spans="1:9" ht="12.75">
      <c r="A65" t="s">
        <v>36</v>
      </c>
      <c r="C65" s="7">
        <f>AVERAGE(C34:C63)</f>
        <v>18.993333333333336</v>
      </c>
      <c r="D65" s="1">
        <f>AVERAGE(D34:D63)</f>
        <v>0.15285714285714283</v>
      </c>
      <c r="G65" t="s">
        <v>23</v>
      </c>
      <c r="H65" t="s">
        <v>279</v>
      </c>
      <c r="I65" t="s">
        <v>324</v>
      </c>
    </row>
    <row r="66" spans="1:8" ht="12.75">
      <c r="A66" t="s">
        <v>37</v>
      </c>
      <c r="C66" s="12">
        <f>AVERAGE(C36,C38,C42,C45:C55)</f>
        <v>29.492857142857144</v>
      </c>
      <c r="D66" s="1">
        <f>AVERAGE(D36,D38,D42,D45:D55)</f>
        <v>0.12500000000000006</v>
      </c>
      <c r="G66" s="3" t="s">
        <v>280</v>
      </c>
      <c r="H66" t="s">
        <v>281</v>
      </c>
    </row>
    <row r="67" spans="1:11" ht="12.75">
      <c r="A67" t="s">
        <v>38</v>
      </c>
      <c r="C67" s="7">
        <f>AVERAGE(C34,C35,C37,C39,C40,C41,C43)</f>
        <v>19.457142857142856</v>
      </c>
      <c r="D67" s="1">
        <f>AVERAGE(D34,D35,D37,D39,D40,D41,D43)</f>
        <v>0.31428571428571433</v>
      </c>
      <c r="J67" s="22" t="s">
        <v>283</v>
      </c>
      <c r="K67" s="22"/>
    </row>
    <row r="68" spans="1:12" ht="12.75">
      <c r="A68" t="s">
        <v>39</v>
      </c>
      <c r="C68" s="7">
        <f>AVERAGE(C58:C62)</f>
        <v>1.7600000000000002</v>
      </c>
      <c r="D68" s="1">
        <f>AVERAGE(D58:D62)</f>
        <v>0.04</v>
      </c>
      <c r="G68" t="s">
        <v>25</v>
      </c>
      <c r="H68" t="s">
        <v>26</v>
      </c>
      <c r="I68" t="s">
        <v>290</v>
      </c>
      <c r="J68" t="s">
        <v>284</v>
      </c>
      <c r="K68" t="s">
        <v>285</v>
      </c>
      <c r="L68" t="s">
        <v>286</v>
      </c>
    </row>
    <row r="69" spans="1:12" ht="12.75">
      <c r="A69" t="s">
        <v>40</v>
      </c>
      <c r="C69" s="7">
        <f>AVERAGE(C34:C44)</f>
        <v>18.845454545454547</v>
      </c>
      <c r="D69" s="1">
        <f>AVERAGE(D34:D44)</f>
        <v>0.29909090909090913</v>
      </c>
      <c r="H69" t="s">
        <v>28</v>
      </c>
      <c r="I69" s="4">
        <v>36</v>
      </c>
      <c r="J69" s="6">
        <v>169.8</v>
      </c>
      <c r="K69" s="6">
        <v>60</v>
      </c>
      <c r="L69" s="6">
        <v>250.7</v>
      </c>
    </row>
    <row r="70" spans="1:12" ht="12.75">
      <c r="A70" t="s">
        <v>41</v>
      </c>
      <c r="C70" s="12">
        <f>AVERAGE(C45:C56)</f>
        <v>29.224999999999998</v>
      </c>
      <c r="D70" s="1">
        <f>AVERAGE(D45:D56)</f>
        <v>0.065</v>
      </c>
      <c r="G70" t="s">
        <v>282</v>
      </c>
      <c r="H70" t="s">
        <v>28</v>
      </c>
      <c r="I70" s="4">
        <v>15</v>
      </c>
      <c r="J70" s="6">
        <v>193</v>
      </c>
      <c r="K70" s="6">
        <v>115.3</v>
      </c>
      <c r="L70" s="6">
        <v>250.7</v>
      </c>
    </row>
    <row r="71" spans="1:12" ht="12.75">
      <c r="A71" t="s">
        <v>42</v>
      </c>
      <c r="C71" s="7">
        <f>AVERAGE(C58:C63)</f>
        <v>1.7666666666666668</v>
      </c>
      <c r="D71" s="1">
        <f>AVERAGE(D58:D63)</f>
        <v>0.042</v>
      </c>
      <c r="G71" t="s">
        <v>287</v>
      </c>
      <c r="H71" t="s">
        <v>28</v>
      </c>
      <c r="I71" s="4">
        <v>20</v>
      </c>
      <c r="J71" s="6">
        <v>154.7</v>
      </c>
      <c r="K71" s="6">
        <v>60</v>
      </c>
      <c r="L71" s="6">
        <v>234.9</v>
      </c>
    </row>
    <row r="72" spans="7:12" ht="12.75">
      <c r="G72" t="s">
        <v>282</v>
      </c>
      <c r="H72" t="s">
        <v>31</v>
      </c>
      <c r="I72" s="4">
        <v>21</v>
      </c>
      <c r="J72" s="6">
        <v>197</v>
      </c>
      <c r="K72" s="6">
        <v>117.3</v>
      </c>
      <c r="L72" s="6">
        <v>381.2</v>
      </c>
    </row>
    <row r="73" spans="1:12" ht="12.75">
      <c r="A73" t="s">
        <v>43</v>
      </c>
      <c r="C73" s="1">
        <f>SUM(STDEV(C34:C63))</f>
        <v>15.831764955594664</v>
      </c>
      <c r="D73" s="2">
        <f>SUM(STDEV(D34:D63))</f>
        <v>0.14651146189158196</v>
      </c>
      <c r="G73" t="s">
        <v>289</v>
      </c>
      <c r="H73" t="s">
        <v>35</v>
      </c>
      <c r="I73" s="4">
        <v>12</v>
      </c>
      <c r="J73" s="6">
        <v>117.1</v>
      </c>
      <c r="K73" s="6">
        <v>85.1</v>
      </c>
      <c r="L73" s="6">
        <v>159.2</v>
      </c>
    </row>
    <row r="74" spans="1:12" ht="12.75">
      <c r="A74" t="s">
        <v>44</v>
      </c>
      <c r="C74" s="1">
        <f>STDEV(C36,C38,C42,C45:C55)</f>
        <v>14.839628042493526</v>
      </c>
      <c r="D74" s="2">
        <f>STDEV(D36,D38,D42,D45:D55)</f>
        <v>0.12414321754142854</v>
      </c>
      <c r="G74" s="21" t="s">
        <v>288</v>
      </c>
      <c r="H74" s="21"/>
      <c r="I74" s="4">
        <v>69</v>
      </c>
      <c r="J74" s="6">
        <v>168.9</v>
      </c>
      <c r="K74" s="6">
        <v>60</v>
      </c>
      <c r="L74" s="6">
        <v>381.2</v>
      </c>
    </row>
    <row r="75" spans="1:10" ht="12.75">
      <c r="A75" t="s">
        <v>45</v>
      </c>
      <c r="C75" s="1">
        <f>STDEV(C34,C35,C37,C39,C40,C41,C43)</f>
        <v>7.475483739722609</v>
      </c>
      <c r="D75" s="2">
        <f>STDEV(D34,D35,D37,D39,D40,D41,D43)</f>
        <v>0.1315113610880752</v>
      </c>
      <c r="I75" s="1"/>
      <c r="J75" s="2"/>
    </row>
    <row r="76" spans="1:10" ht="12.75">
      <c r="A76" t="s">
        <v>46</v>
      </c>
      <c r="C76" s="1">
        <f>STDEV(C58:C62)</f>
        <v>0.18165902124584804</v>
      </c>
      <c r="D76" s="2">
        <f>STDEV(D58:D62)</f>
        <v>0.008164965809277253</v>
      </c>
      <c r="I76" s="1"/>
      <c r="J76" s="2"/>
    </row>
    <row r="77" spans="1:10" ht="12.75">
      <c r="A77" t="s">
        <v>47</v>
      </c>
      <c r="C77" s="1">
        <f>STDEV(C34:C44)</f>
        <v>8.30377789158207</v>
      </c>
      <c r="D77" s="2">
        <f>STDEV(D34:D44)</f>
        <v>0.13479277024043576</v>
      </c>
      <c r="I77" s="1"/>
      <c r="J77" s="2"/>
    </row>
    <row r="78" spans="1:10" ht="12.75">
      <c r="A78" t="s">
        <v>48</v>
      </c>
      <c r="C78" s="1">
        <f>STDEV(C45:C56)</f>
        <v>17.12362137781927</v>
      </c>
      <c r="D78" s="2">
        <f>STDEV(D45:D56)</f>
        <v>0.027468990781342052</v>
      </c>
      <c r="I78" s="1"/>
      <c r="J78" s="2"/>
    </row>
    <row r="79" spans="1:10" ht="12.75">
      <c r="A79" t="s">
        <v>49</v>
      </c>
      <c r="C79" s="1">
        <f>STDEV(C58:C63)</f>
        <v>0.16329931618554275</v>
      </c>
      <c r="D79" s="2">
        <f>STDEV(D58:D63)</f>
        <v>0.00836660026534074</v>
      </c>
      <c r="I79" s="1"/>
      <c r="J79" s="2"/>
    </row>
    <row r="83" spans="1:9" ht="12.75">
      <c r="A83" t="s">
        <v>110</v>
      </c>
      <c r="G83" t="s">
        <v>292</v>
      </c>
      <c r="H83" t="s">
        <v>293</v>
      </c>
      <c r="I83" t="s">
        <v>324</v>
      </c>
    </row>
    <row r="84" spans="7:8" ht="12.75">
      <c r="G84" s="3">
        <v>36481</v>
      </c>
      <c r="H84" t="s">
        <v>294</v>
      </c>
    </row>
    <row r="85" spans="1:11" ht="12.75">
      <c r="A85" t="s">
        <v>112</v>
      </c>
      <c r="I85" s="22" t="s">
        <v>11</v>
      </c>
      <c r="J85" s="22"/>
      <c r="K85" s="10"/>
    </row>
    <row r="86" spans="1:10" ht="12.75">
      <c r="A86" t="s">
        <v>111</v>
      </c>
      <c r="G86" t="s">
        <v>25</v>
      </c>
      <c r="H86" t="s">
        <v>295</v>
      </c>
      <c r="I86" t="s">
        <v>14</v>
      </c>
      <c r="J86" t="s">
        <v>15</v>
      </c>
    </row>
    <row r="87" spans="7:12" ht="12.75">
      <c r="G87" t="s">
        <v>297</v>
      </c>
      <c r="H87" t="s">
        <v>296</v>
      </c>
      <c r="I87" s="6">
        <v>105.9</v>
      </c>
      <c r="J87" s="7">
        <v>0.32</v>
      </c>
      <c r="K87" s="6"/>
      <c r="L87" s="6"/>
    </row>
    <row r="88" spans="1:12" ht="12.75">
      <c r="A88" t="s">
        <v>132</v>
      </c>
      <c r="B88" t="s">
        <v>113</v>
      </c>
      <c r="G88" t="s">
        <v>297</v>
      </c>
      <c r="H88" t="s">
        <v>296</v>
      </c>
      <c r="I88" s="6">
        <v>89.2</v>
      </c>
      <c r="J88" s="7">
        <v>0.25</v>
      </c>
      <c r="K88" s="6"/>
      <c r="L88" s="6"/>
    </row>
    <row r="89" spans="1:12" ht="12.75">
      <c r="A89" t="s">
        <v>115</v>
      </c>
      <c r="B89">
        <v>27</v>
      </c>
      <c r="G89" t="s">
        <v>297</v>
      </c>
      <c r="H89" t="s">
        <v>296</v>
      </c>
      <c r="I89" s="6">
        <v>77.3</v>
      </c>
      <c r="J89" s="7">
        <v>0.23</v>
      </c>
      <c r="K89" s="6"/>
      <c r="L89" s="6"/>
    </row>
    <row r="90" spans="1:12" ht="12.75">
      <c r="A90" t="s">
        <v>116</v>
      </c>
      <c r="B90">
        <v>34</v>
      </c>
      <c r="G90" t="s">
        <v>297</v>
      </c>
      <c r="H90" t="s">
        <v>296</v>
      </c>
      <c r="I90" s="6">
        <v>131.4</v>
      </c>
      <c r="J90" s="7">
        <v>0.35</v>
      </c>
      <c r="K90" s="6"/>
      <c r="L90" s="6"/>
    </row>
    <row r="91" spans="1:12" ht="12.75">
      <c r="A91" t="s">
        <v>117</v>
      </c>
      <c r="B91">
        <v>11</v>
      </c>
      <c r="G91" t="s">
        <v>297</v>
      </c>
      <c r="H91" t="s">
        <v>296</v>
      </c>
      <c r="I91" s="6">
        <v>115</v>
      </c>
      <c r="J91" s="7">
        <v>0.33</v>
      </c>
      <c r="K91" s="6"/>
      <c r="L91" s="6"/>
    </row>
    <row r="92" spans="1:12" ht="12.75">
      <c r="A92" t="s">
        <v>118</v>
      </c>
      <c r="B92">
        <v>5</v>
      </c>
      <c r="G92" t="s">
        <v>297</v>
      </c>
      <c r="H92" t="s">
        <v>296</v>
      </c>
      <c r="I92" s="6">
        <v>66.3</v>
      </c>
      <c r="J92" s="7">
        <v>0.22</v>
      </c>
      <c r="K92" s="6"/>
      <c r="L92" s="6"/>
    </row>
    <row r="93" spans="7:10" ht="12.75">
      <c r="G93" t="s">
        <v>297</v>
      </c>
      <c r="H93" t="s">
        <v>296</v>
      </c>
      <c r="I93" s="6">
        <v>57.7</v>
      </c>
      <c r="J93" s="7">
        <v>0.19</v>
      </c>
    </row>
    <row r="94" spans="1:10" ht="12.75">
      <c r="A94" t="s">
        <v>134</v>
      </c>
      <c r="B94" t="s">
        <v>113</v>
      </c>
      <c r="G94" t="s">
        <v>298</v>
      </c>
      <c r="H94" t="s">
        <v>296</v>
      </c>
      <c r="I94" s="6">
        <v>51.8</v>
      </c>
      <c r="J94" s="7">
        <v>0.16</v>
      </c>
    </row>
    <row r="95" spans="1:10" ht="12.75">
      <c r="A95" t="s">
        <v>114</v>
      </c>
      <c r="B95">
        <v>66</v>
      </c>
      <c r="G95" t="s">
        <v>299</v>
      </c>
      <c r="H95" t="s">
        <v>296</v>
      </c>
      <c r="I95" s="6">
        <v>18.1</v>
      </c>
      <c r="J95" s="7">
        <v>0.08</v>
      </c>
    </row>
    <row r="96" spans="1:10" ht="12.75">
      <c r="A96" t="s">
        <v>119</v>
      </c>
      <c r="B96">
        <v>68</v>
      </c>
      <c r="G96" t="s">
        <v>297</v>
      </c>
      <c r="H96" t="s">
        <v>300</v>
      </c>
      <c r="I96" s="6">
        <v>86.1</v>
      </c>
      <c r="J96" s="7">
        <v>0.24</v>
      </c>
    </row>
    <row r="97" spans="1:10" ht="12.75">
      <c r="A97" t="s">
        <v>120</v>
      </c>
      <c r="B97">
        <v>18</v>
      </c>
      <c r="G97" t="s">
        <v>297</v>
      </c>
      <c r="H97" t="s">
        <v>300</v>
      </c>
      <c r="I97" s="6">
        <v>160</v>
      </c>
      <c r="J97" s="7">
        <v>0.43</v>
      </c>
    </row>
    <row r="98" spans="1:10" ht="12.75">
      <c r="A98" t="s">
        <v>121</v>
      </c>
      <c r="B98">
        <v>56</v>
      </c>
      <c r="G98" t="s">
        <v>297</v>
      </c>
      <c r="H98" t="s">
        <v>300</v>
      </c>
      <c r="I98" s="13">
        <v>121</v>
      </c>
      <c r="J98" s="7">
        <v>0.32</v>
      </c>
    </row>
    <row r="99" spans="7:10" ht="12.75">
      <c r="G99" t="s">
        <v>297</v>
      </c>
      <c r="H99" t="s">
        <v>300</v>
      </c>
      <c r="I99" s="13">
        <v>253.9</v>
      </c>
      <c r="J99" s="7">
        <v>0.68</v>
      </c>
    </row>
    <row r="100" spans="1:10" ht="12.75">
      <c r="A100" t="s">
        <v>133</v>
      </c>
      <c r="B100" t="s">
        <v>113</v>
      </c>
      <c r="G100" t="s">
        <v>297</v>
      </c>
      <c r="H100" t="s">
        <v>300</v>
      </c>
      <c r="I100" s="13">
        <v>123.1</v>
      </c>
      <c r="J100" s="7">
        <v>0.35</v>
      </c>
    </row>
    <row r="101" spans="1:10" ht="12.75">
      <c r="A101" t="s">
        <v>122</v>
      </c>
      <c r="B101">
        <v>32</v>
      </c>
      <c r="G101" t="s">
        <v>301</v>
      </c>
      <c r="H101" t="s">
        <v>300</v>
      </c>
      <c r="I101" s="6">
        <v>38</v>
      </c>
      <c r="J101" s="7">
        <v>0.11</v>
      </c>
    </row>
    <row r="102" spans="1:10" ht="12.75">
      <c r="A102" t="s">
        <v>123</v>
      </c>
      <c r="B102">
        <v>92</v>
      </c>
      <c r="G102" t="s">
        <v>298</v>
      </c>
      <c r="H102" t="s">
        <v>300</v>
      </c>
      <c r="I102" s="13">
        <v>45.9</v>
      </c>
      <c r="J102" s="7">
        <v>0.14</v>
      </c>
    </row>
    <row r="103" spans="1:10" ht="12.75">
      <c r="A103" t="s">
        <v>124</v>
      </c>
      <c r="B103">
        <v>44</v>
      </c>
      <c r="G103" t="s">
        <v>299</v>
      </c>
      <c r="H103" t="s">
        <v>300</v>
      </c>
      <c r="I103" s="13">
        <v>15.6</v>
      </c>
      <c r="J103" s="7">
        <v>0.05</v>
      </c>
    </row>
    <row r="104" spans="1:10" ht="12.75">
      <c r="A104" t="s">
        <v>125</v>
      </c>
      <c r="B104">
        <v>80</v>
      </c>
      <c r="G104" t="s">
        <v>302</v>
      </c>
      <c r="H104" t="s">
        <v>303</v>
      </c>
      <c r="I104" s="13">
        <v>8.7</v>
      </c>
      <c r="J104" s="7">
        <v>0.06</v>
      </c>
    </row>
    <row r="105" spans="1:10" ht="12.75">
      <c r="A105" t="s">
        <v>126</v>
      </c>
      <c r="B105">
        <v>45</v>
      </c>
      <c r="G105" t="s">
        <v>302</v>
      </c>
      <c r="H105" t="s">
        <v>304</v>
      </c>
      <c r="I105" s="13">
        <v>5.3</v>
      </c>
      <c r="J105" s="7" t="s">
        <v>305</v>
      </c>
    </row>
    <row r="106" spans="9:10" ht="12.75">
      <c r="I106" s="13"/>
      <c r="J106" s="7"/>
    </row>
    <row r="107" spans="1:10" ht="12.75">
      <c r="A107" t="s">
        <v>135</v>
      </c>
      <c r="B107" t="s">
        <v>113</v>
      </c>
      <c r="G107" t="s">
        <v>314</v>
      </c>
      <c r="I107" s="6">
        <f>AVERAGE(I87:I103)</f>
        <v>91.54705882352943</v>
      </c>
      <c r="J107" s="6">
        <f>AVERAGE(J87:J103)</f>
        <v>0.26176470588235295</v>
      </c>
    </row>
    <row r="108" spans="1:10" ht="12.75">
      <c r="A108" t="s">
        <v>128</v>
      </c>
      <c r="B108">
        <v>43</v>
      </c>
      <c r="G108" t="s">
        <v>306</v>
      </c>
      <c r="I108" s="6">
        <f>AVERAGE(I87:I93,I96:I100)</f>
        <v>115.575</v>
      </c>
      <c r="J108" s="6">
        <f>AVERAGE(J87:J93,J96:J100)</f>
        <v>0.32583333333333336</v>
      </c>
    </row>
    <row r="109" spans="1:10" ht="12.75">
      <c r="A109" t="s">
        <v>129</v>
      </c>
      <c r="B109">
        <v>38</v>
      </c>
      <c r="G109" t="s">
        <v>307</v>
      </c>
      <c r="I109" s="6">
        <f>AVERAGE(I94,I102)</f>
        <v>48.849999999999994</v>
      </c>
      <c r="J109" s="6">
        <f>AVERAGE(J94,J102)</f>
        <v>0.15000000000000002</v>
      </c>
    </row>
    <row r="110" spans="1:10" ht="12.75">
      <c r="A110" t="s">
        <v>130</v>
      </c>
      <c r="B110">
        <v>39</v>
      </c>
      <c r="G110" t="s">
        <v>308</v>
      </c>
      <c r="I110" s="6">
        <f>AVERAGE(I87:I95)</f>
        <v>79.1888888888889</v>
      </c>
      <c r="J110" s="6">
        <f>AVERAGE(J87:J95)</f>
        <v>0.23666666666666666</v>
      </c>
    </row>
    <row r="111" spans="1:10" ht="12.75">
      <c r="A111" t="s">
        <v>131</v>
      </c>
      <c r="B111">
        <v>26</v>
      </c>
      <c r="G111" t="s">
        <v>309</v>
      </c>
      <c r="I111" s="6">
        <f>AVERAGE(I96:I103)</f>
        <v>105.45</v>
      </c>
      <c r="J111" s="6">
        <f>AVERAGE(J96:J103)</f>
        <v>0.29</v>
      </c>
    </row>
    <row r="112" spans="1:10" ht="12.75">
      <c r="A112" t="s">
        <v>127</v>
      </c>
      <c r="B112">
        <v>17</v>
      </c>
      <c r="G112" t="s">
        <v>316</v>
      </c>
      <c r="I112" s="6">
        <f>AVERAGE(I104:I105)</f>
        <v>7</v>
      </c>
      <c r="J112" s="6">
        <f>AVERAGE(J104:J105)</f>
        <v>0.06</v>
      </c>
    </row>
    <row r="114" spans="2:10" ht="12.75">
      <c r="B114" t="s">
        <v>227</v>
      </c>
      <c r="C114" t="s">
        <v>228</v>
      </c>
      <c r="D114" t="s">
        <v>230</v>
      </c>
      <c r="G114" t="s">
        <v>315</v>
      </c>
      <c r="I114" s="7">
        <f>STDEV(I87:I103)</f>
        <v>58.61209471652434</v>
      </c>
      <c r="J114" s="7">
        <f>STDEV(J87:J103)</f>
        <v>0.1510064275998561</v>
      </c>
    </row>
    <row r="115" spans="1:10" ht="12.75">
      <c r="A115" t="s">
        <v>229</v>
      </c>
      <c r="B115">
        <v>4</v>
      </c>
      <c r="C115">
        <v>19.4</v>
      </c>
      <c r="D115" t="s">
        <v>234</v>
      </c>
      <c r="G115" t="s">
        <v>310</v>
      </c>
      <c r="I115" s="7">
        <f>STDEV(I87:I93,I96:I100)</f>
        <v>52.5224995077867</v>
      </c>
      <c r="J115" s="7">
        <f>STDEV(J87:J93,J96:J100)</f>
        <v>0.13124981962469565</v>
      </c>
    </row>
    <row r="116" spans="1:10" ht="12.75">
      <c r="A116" t="s">
        <v>231</v>
      </c>
      <c r="B116">
        <v>5</v>
      </c>
      <c r="C116">
        <v>44.7</v>
      </c>
      <c r="D116" t="s">
        <v>235</v>
      </c>
      <c r="G116" t="s">
        <v>311</v>
      </c>
      <c r="I116" s="7">
        <f>STDEV(I94,I102)</f>
        <v>4.171930009000709</v>
      </c>
      <c r="J116" s="7">
        <f>STDEV(J94,J102)</f>
        <v>0.014142135623730663</v>
      </c>
    </row>
    <row r="117" spans="1:10" ht="12.75">
      <c r="A117" t="s">
        <v>232</v>
      </c>
      <c r="B117">
        <v>5</v>
      </c>
      <c r="C117">
        <v>58.8</v>
      </c>
      <c r="D117" t="s">
        <v>236</v>
      </c>
      <c r="G117" t="s">
        <v>312</v>
      </c>
      <c r="I117" s="7">
        <f>STDEV(I87:I95)</f>
        <v>35.241326750153895</v>
      </c>
      <c r="J117" s="7">
        <f>STDEV(J87:J95)</f>
        <v>0.08774964387392122</v>
      </c>
    </row>
    <row r="118" spans="1:10" ht="12.75">
      <c r="A118" t="s">
        <v>233</v>
      </c>
      <c r="B118">
        <v>5</v>
      </c>
      <c r="C118">
        <v>33.14</v>
      </c>
      <c r="D118" t="s">
        <v>237</v>
      </c>
      <c r="G118" t="s">
        <v>313</v>
      </c>
      <c r="I118" s="7">
        <f>STDEV(I96:I103)</f>
        <v>77.56064908002179</v>
      </c>
      <c r="J118" s="7">
        <f>STDEV(J96:J103)</f>
        <v>0.20396078054371142</v>
      </c>
    </row>
    <row r="119" spans="1:10" ht="12.75">
      <c r="A119" t="s">
        <v>238</v>
      </c>
      <c r="B119">
        <v>4</v>
      </c>
      <c r="C119">
        <v>32.2</v>
      </c>
      <c r="D119" t="s">
        <v>239</v>
      </c>
      <c r="E119" t="s">
        <v>240</v>
      </c>
      <c r="G119" t="s">
        <v>317</v>
      </c>
      <c r="I119" s="7">
        <f>STDEV(I104:I105)</f>
        <v>2.404163056034259</v>
      </c>
      <c r="J119" s="7"/>
    </row>
    <row r="121" spans="1:3" ht="12.75">
      <c r="A121" t="s">
        <v>214</v>
      </c>
      <c r="B121" s="4" t="s">
        <v>339</v>
      </c>
      <c r="C121" s="4">
        <f>COUNT(B112,B91:B92,I104,I105)</f>
        <v>5</v>
      </c>
    </row>
    <row r="122" spans="2:3" ht="12.75">
      <c r="B122" t="s">
        <v>215</v>
      </c>
      <c r="C122" s="6">
        <f>AVERAGE(B112,B91:B92,I104,I105)</f>
        <v>9.4</v>
      </c>
    </row>
    <row r="123" spans="2:3" ht="12.75">
      <c r="B123" t="s">
        <v>216</v>
      </c>
      <c r="C123" s="7">
        <f>MEDIAN(B112,B91:B92,I104,I105)</f>
        <v>8.7</v>
      </c>
    </row>
    <row r="124" spans="2:3" ht="12.75">
      <c r="B124" t="s">
        <v>245</v>
      </c>
      <c r="C124" s="7">
        <f>STDEV(B112,B91:B92,I104,I105)</f>
        <v>4.923921201644071</v>
      </c>
    </row>
    <row r="125" spans="2:3" ht="12.75">
      <c r="B125" t="s">
        <v>247</v>
      </c>
      <c r="C125" s="7">
        <f>B112</f>
        <v>17</v>
      </c>
    </row>
    <row r="126" spans="2:3" ht="12.75">
      <c r="B126" t="s">
        <v>248</v>
      </c>
      <c r="C126" s="7">
        <f>B92</f>
        <v>5</v>
      </c>
    </row>
    <row r="127" ht="12.75">
      <c r="C127" s="7"/>
    </row>
    <row r="128" spans="1:4" ht="12.75">
      <c r="A128" t="s">
        <v>246</v>
      </c>
      <c r="B128" s="4" t="s">
        <v>339</v>
      </c>
      <c r="C128" s="4">
        <f>COUNT(C8:C19,C34:C63,B89:B90,B95:B98,B101:B105,B108:B112,Q7:Q20,I87:I103)</f>
        <v>89</v>
      </c>
      <c r="D128" t="s">
        <v>291</v>
      </c>
    </row>
    <row r="129" spans="2:4" ht="12.75">
      <c r="B129" t="s">
        <v>215</v>
      </c>
      <c r="C129" s="7">
        <f>AVERAGE(C8:C19,C34:C63,B89:B90,B95:B98,B101:B105,B108:B112,Q7:Q20,I87:I103)</f>
        <v>43.46887640449438</v>
      </c>
      <c r="D129" s="6">
        <f>AVERAGE(C8:C19,C34:C63,B89:B90,B95:B98,B101:B105,B108:B112,Q7:Q20,I87:I103,J74*I74)</f>
        <v>172.47588888888887</v>
      </c>
    </row>
    <row r="130" spans="2:3" ht="12.75">
      <c r="B130" t="s">
        <v>216</v>
      </c>
      <c r="C130" s="7">
        <f>MEDIAN(C8:C19,C34:C63,B89:B90,B95:B98,B101:B105,B108:B112,Q7:Q20,I87:I103)</f>
        <v>32</v>
      </c>
    </row>
    <row r="131" spans="2:3" ht="12.75">
      <c r="B131" t="s">
        <v>245</v>
      </c>
      <c r="C131" s="7">
        <f>STDEV(C8:C19,C34:C63,B89:B90,B95:B98,B101:B105,B108:B112,Q7:Q20,I87:I103)</f>
        <v>41.53749129177274</v>
      </c>
    </row>
    <row r="132" spans="2:4" ht="12.75">
      <c r="B132" t="s">
        <v>247</v>
      </c>
      <c r="C132" s="7">
        <f>Q8</f>
        <v>143</v>
      </c>
      <c r="D132" s="6">
        <f>L74</f>
        <v>381.2</v>
      </c>
    </row>
    <row r="133" spans="2:3" ht="12.75">
      <c r="B133" t="s">
        <v>248</v>
      </c>
      <c r="C133" s="7">
        <f>C57</f>
        <v>1.2</v>
      </c>
    </row>
    <row r="135" spans="1:3" ht="12.75">
      <c r="A135" t="s">
        <v>249</v>
      </c>
      <c r="B135" s="4" t="s">
        <v>339</v>
      </c>
      <c r="C135">
        <v>1</v>
      </c>
    </row>
    <row r="136" spans="2:3" ht="12.75">
      <c r="B136" t="s">
        <v>215</v>
      </c>
      <c r="C136">
        <f>C122</f>
        <v>9.4</v>
      </c>
    </row>
    <row r="137" spans="2:3" ht="12.75">
      <c r="B137" t="s">
        <v>216</v>
      </c>
      <c r="C137" s="7">
        <f>C123</f>
        <v>8.7</v>
      </c>
    </row>
    <row r="138" spans="2:3" ht="12.75">
      <c r="B138" t="s">
        <v>245</v>
      </c>
      <c r="C138" s="7">
        <f>C124</f>
        <v>4.923921201644071</v>
      </c>
    </row>
    <row r="139" spans="2:3" ht="12.75">
      <c r="B139" t="s">
        <v>247</v>
      </c>
      <c r="C139" s="7">
        <f>C125</f>
        <v>17</v>
      </c>
    </row>
    <row r="140" spans="2:3" ht="12.75">
      <c r="B140" t="s">
        <v>248</v>
      </c>
      <c r="C140" s="7">
        <f>C126</f>
        <v>5</v>
      </c>
    </row>
    <row r="141" ht="12.75">
      <c r="C141" s="7"/>
    </row>
    <row r="142" spans="1:3" ht="12.75">
      <c r="A142" t="s">
        <v>250</v>
      </c>
      <c r="B142" s="4" t="s">
        <v>339</v>
      </c>
      <c r="C142">
        <f>COUNT(C8:C19,C34:C63)</f>
        <v>42</v>
      </c>
    </row>
    <row r="143" spans="2:3" ht="12.75">
      <c r="B143" t="s">
        <v>215</v>
      </c>
      <c r="C143" s="7">
        <f>AVERAGE(C8:C19,C34:C63)</f>
        <v>18.295952380952382</v>
      </c>
    </row>
    <row r="144" spans="2:3" ht="12.75">
      <c r="B144" t="s">
        <v>216</v>
      </c>
      <c r="C144" s="7">
        <f>MEDIAN(C8:C19,C34:C63)</f>
        <v>15.46</v>
      </c>
    </row>
    <row r="145" spans="2:3" ht="12.75">
      <c r="B145" t="s">
        <v>245</v>
      </c>
      <c r="C145" s="7">
        <f>STDEV(C8:C19,C34:C63)</f>
        <v>13.687948778168876</v>
      </c>
    </row>
    <row r="146" spans="2:3" ht="12.75">
      <c r="B146" t="s">
        <v>247</v>
      </c>
      <c r="C146" s="7">
        <f>C45</f>
        <v>58</v>
      </c>
    </row>
    <row r="147" spans="2:3" ht="12.75">
      <c r="B147" t="s">
        <v>248</v>
      </c>
      <c r="C147" s="7">
        <f>C57</f>
        <v>1.2</v>
      </c>
    </row>
    <row r="148" ht="12.75">
      <c r="C148" s="7"/>
    </row>
    <row r="149" spans="1:3" ht="12.75">
      <c r="A149" t="s">
        <v>444</v>
      </c>
      <c r="B149" t="s">
        <v>417</v>
      </c>
      <c r="C149" s="7" t="s">
        <v>449</v>
      </c>
    </row>
    <row r="150" spans="1:3" ht="12.75">
      <c r="A150" t="s">
        <v>445</v>
      </c>
      <c r="B150" s="6">
        <f>J74</f>
        <v>168.9</v>
      </c>
      <c r="C150" s="4">
        <f>I74</f>
        <v>69</v>
      </c>
    </row>
    <row r="151" spans="1:3" ht="12.75">
      <c r="A151" t="s">
        <v>446</v>
      </c>
      <c r="B151" s="6">
        <f>I107</f>
        <v>91.54705882352943</v>
      </c>
      <c r="C151" s="4">
        <f>COUNT(I87:I103)</f>
        <v>17</v>
      </c>
    </row>
    <row r="152" spans="1:3" ht="12.75">
      <c r="A152" t="s">
        <v>447</v>
      </c>
      <c r="B152" s="7">
        <f>Q22</f>
        <v>58.50000000000001</v>
      </c>
      <c r="C152" s="4">
        <f>COUNT(Q7:Q20)</f>
        <v>14</v>
      </c>
    </row>
    <row r="153" spans="1:3" ht="12.75">
      <c r="A153" t="s">
        <v>448</v>
      </c>
      <c r="B153" s="6">
        <f>(B150*C150+B151*C151+B152*C152)/(SUM(C150:C152)-1)</f>
        <v>141.71111111111114</v>
      </c>
      <c r="C153" s="4">
        <f>SUM(C150:C152)</f>
        <v>100</v>
      </c>
    </row>
    <row r="155" ht="12.75">
      <c r="A155" t="s">
        <v>356</v>
      </c>
    </row>
    <row r="156" spans="1:23" ht="12.75">
      <c r="A156" t="s">
        <v>272</v>
      </c>
      <c r="B156" t="s">
        <v>273</v>
      </c>
      <c r="C156" t="s">
        <v>266</v>
      </c>
      <c r="D156" t="s">
        <v>267</v>
      </c>
      <c r="E156" s="4" t="s">
        <v>268</v>
      </c>
      <c r="F156" t="s">
        <v>269</v>
      </c>
      <c r="G156" t="s">
        <v>274</v>
      </c>
      <c r="H156" t="s">
        <v>340</v>
      </c>
      <c r="I156" t="s">
        <v>341</v>
      </c>
      <c r="J156" t="s">
        <v>342</v>
      </c>
      <c r="K156" t="s">
        <v>343</v>
      </c>
      <c r="L156" t="s">
        <v>344</v>
      </c>
      <c r="M156" t="s">
        <v>345</v>
      </c>
      <c r="N156" t="s">
        <v>346</v>
      </c>
      <c r="O156" t="s">
        <v>347</v>
      </c>
      <c r="P156" t="s">
        <v>348</v>
      </c>
      <c r="Q156" t="s">
        <v>349</v>
      </c>
      <c r="R156" t="s">
        <v>350</v>
      </c>
      <c r="S156" t="s">
        <v>351</v>
      </c>
      <c r="T156" t="s">
        <v>352</v>
      </c>
      <c r="U156" t="s">
        <v>353</v>
      </c>
      <c r="V156" t="s">
        <v>354</v>
      </c>
      <c r="W156" t="s">
        <v>355</v>
      </c>
    </row>
    <row r="157" spans="1:21" ht="12.75">
      <c r="A157" t="s">
        <v>265</v>
      </c>
      <c r="B157" s="14">
        <v>0</v>
      </c>
      <c r="C157" s="14">
        <f>C158/$W$158</f>
        <v>0.08256880733944955</v>
      </c>
      <c r="D157" s="14">
        <f aca="true" t="shared" si="1" ref="D157:U157">D158/$W$158</f>
        <v>0.045871559633027525</v>
      </c>
      <c r="E157" s="14">
        <f t="shared" si="1"/>
        <v>0.11009174311926606</v>
      </c>
      <c r="F157" s="14">
        <f t="shared" si="1"/>
        <v>0.1651376146788991</v>
      </c>
      <c r="G157" s="14">
        <f t="shared" si="1"/>
        <v>0.09174311926605505</v>
      </c>
      <c r="H157" s="14">
        <f t="shared" si="1"/>
        <v>0.05504587155963303</v>
      </c>
      <c r="I157" s="14">
        <f t="shared" si="1"/>
        <v>0.11009174311926606</v>
      </c>
      <c r="J157" s="14">
        <f t="shared" si="1"/>
        <v>0.08256880733944955</v>
      </c>
      <c r="K157" s="14">
        <f t="shared" si="1"/>
        <v>0.07339449541284404</v>
      </c>
      <c r="L157" s="14">
        <f t="shared" si="1"/>
        <v>0.027522935779816515</v>
      </c>
      <c r="M157" s="14">
        <f t="shared" si="1"/>
        <v>0.045871559633027525</v>
      </c>
      <c r="N157" s="14">
        <f t="shared" si="1"/>
        <v>0.027522935779816515</v>
      </c>
      <c r="O157" s="14">
        <f t="shared" si="1"/>
        <v>0.009174311926605505</v>
      </c>
      <c r="P157" s="14">
        <f t="shared" si="1"/>
        <v>0.03669724770642202</v>
      </c>
      <c r="Q157" s="14">
        <f t="shared" si="1"/>
        <v>0.01834862385321101</v>
      </c>
      <c r="R157" s="14">
        <f t="shared" si="1"/>
        <v>0.009174311926605505</v>
      </c>
      <c r="S157" s="14">
        <f t="shared" si="1"/>
        <v>0</v>
      </c>
      <c r="T157" s="14">
        <f t="shared" si="1"/>
        <v>0</v>
      </c>
      <c r="U157" s="14">
        <f t="shared" si="1"/>
        <v>0.009174311926605505</v>
      </c>
    </row>
    <row r="158" spans="1:23" ht="12.75">
      <c r="A158" t="s">
        <v>264</v>
      </c>
      <c r="B158">
        <v>0</v>
      </c>
      <c r="C158">
        <f>COUNT(C56:C63,C48)</f>
        <v>9</v>
      </c>
      <c r="D158">
        <f>COUNT(C8,F16,Q19,C37,C44)</f>
        <v>5</v>
      </c>
      <c r="E158">
        <f>COUNT(C9,C10,C15:C17,F9,F10,I14,I15,C38,C41,C54)</f>
        <v>12</v>
      </c>
      <c r="F158">
        <f>COUNT(C14,C18,C19,F11:F15,F19,I11,I17,Q20,C34,C42:C43,B97,I95,I103)</f>
        <v>18</v>
      </c>
      <c r="G158">
        <f>COUNT(C11,F17,I9:I10,I12,I19,C35,C39,C47,C55)</f>
        <v>10</v>
      </c>
      <c r="H158">
        <f>COUNT(F18,I16,C46,C51,B89,B111)</f>
        <v>6</v>
      </c>
      <c r="I158">
        <f>COUNT(C13,I13,I18,C36,C40,C49,C52,B90,B101,B109,B110,I101)</f>
        <v>12</v>
      </c>
      <c r="J158">
        <f>COUNT(Q7,Q10,Q12,Q16,C53,B103,B105,B108,I102)</f>
        <v>9</v>
      </c>
      <c r="K158">
        <f>COUNT(Q15,Q17:Q18,C45,C50,B98,I93:I94)</f>
        <v>8</v>
      </c>
      <c r="L158">
        <f>COUNT(B95:B96,I92)</f>
        <v>3</v>
      </c>
      <c r="M158">
        <f>COUNT(Q9,Q11,Q13:Q14,I89)</f>
        <v>5</v>
      </c>
      <c r="N158">
        <f>COUNT(I88,I96,B104)</f>
        <v>3</v>
      </c>
      <c r="O158">
        <f>COUNT(B102)</f>
        <v>1</v>
      </c>
      <c r="P158">
        <f>COUNT(I87,I91,I98,I100)</f>
        <v>4</v>
      </c>
      <c r="Q158">
        <f>COUNT(Q8,I90)</f>
        <v>2</v>
      </c>
      <c r="R158">
        <f>COUNT(I97)</f>
        <v>1</v>
      </c>
      <c r="S158">
        <v>0</v>
      </c>
      <c r="T158">
        <v>0</v>
      </c>
      <c r="U158">
        <f>COUNT(I99)</f>
        <v>1</v>
      </c>
      <c r="W158">
        <f>SUM(B158:V158)</f>
        <v>109</v>
      </c>
    </row>
    <row r="160" ht="12.75">
      <c r="A160" t="s">
        <v>357</v>
      </c>
    </row>
    <row r="161" spans="1:23" ht="12.75">
      <c r="A161" t="s">
        <v>272</v>
      </c>
      <c r="B161" t="s">
        <v>273</v>
      </c>
      <c r="C161" t="s">
        <v>266</v>
      </c>
      <c r="D161" t="s">
        <v>267</v>
      </c>
      <c r="E161" s="4" t="s">
        <v>268</v>
      </c>
      <c r="F161" t="s">
        <v>269</v>
      </c>
      <c r="G161" t="s">
        <v>274</v>
      </c>
      <c r="H161" t="s">
        <v>340</v>
      </c>
      <c r="I161" t="s">
        <v>341</v>
      </c>
      <c r="J161" t="s">
        <v>342</v>
      </c>
      <c r="K161" t="s">
        <v>343</v>
      </c>
      <c r="L161" t="s">
        <v>344</v>
      </c>
      <c r="M161" t="s">
        <v>345</v>
      </c>
      <c r="N161" t="s">
        <v>346</v>
      </c>
      <c r="O161" t="s">
        <v>347</v>
      </c>
      <c r="P161" t="s">
        <v>348</v>
      </c>
      <c r="Q161" t="s">
        <v>349</v>
      </c>
      <c r="R161" t="s">
        <v>350</v>
      </c>
      <c r="S161" t="s">
        <v>351</v>
      </c>
      <c r="T161" t="s">
        <v>352</v>
      </c>
      <c r="U161" t="s">
        <v>353</v>
      </c>
      <c r="V161" t="s">
        <v>354</v>
      </c>
      <c r="W161" t="s">
        <v>355</v>
      </c>
    </row>
    <row r="162" spans="1:21" ht="12.75">
      <c r="A162" t="s">
        <v>265</v>
      </c>
      <c r="B162" s="14">
        <f>B163/$W$163</f>
        <v>0</v>
      </c>
      <c r="C162" s="14">
        <f>C163/$W$163</f>
        <v>0.14285714285714285</v>
      </c>
      <c r="D162" s="14">
        <f aca="true" t="shared" si="2" ref="D162:U162">D163/$W$163</f>
        <v>0.06349206349206349</v>
      </c>
      <c r="E162" s="14">
        <f t="shared" si="2"/>
        <v>0.19047619047619047</v>
      </c>
      <c r="F162" s="14">
        <f t="shared" si="2"/>
        <v>0.23809523809523808</v>
      </c>
      <c r="G162" s="14">
        <f t="shared" si="2"/>
        <v>0.14285714285714285</v>
      </c>
      <c r="H162" s="14">
        <f t="shared" si="2"/>
        <v>0.06349206349206349</v>
      </c>
      <c r="I162" s="14">
        <f t="shared" si="2"/>
        <v>0.1111111111111111</v>
      </c>
      <c r="J162" s="14">
        <f t="shared" si="2"/>
        <v>0.015873015873015872</v>
      </c>
      <c r="K162" s="14">
        <f t="shared" si="2"/>
        <v>0.031746031746031744</v>
      </c>
      <c r="L162" s="14">
        <f t="shared" si="2"/>
        <v>0</v>
      </c>
      <c r="M162" s="14">
        <f t="shared" si="2"/>
        <v>0</v>
      </c>
      <c r="N162" s="14">
        <f t="shared" si="2"/>
        <v>0</v>
      </c>
      <c r="O162" s="14">
        <f t="shared" si="2"/>
        <v>0</v>
      </c>
      <c r="P162" s="14">
        <f t="shared" si="2"/>
        <v>0</v>
      </c>
      <c r="Q162" s="14">
        <f t="shared" si="2"/>
        <v>0</v>
      </c>
      <c r="R162" s="14">
        <f t="shared" si="2"/>
        <v>0</v>
      </c>
      <c r="S162" s="14">
        <f t="shared" si="2"/>
        <v>0</v>
      </c>
      <c r="T162" s="14">
        <f t="shared" si="2"/>
        <v>0</v>
      </c>
      <c r="U162" s="14">
        <f t="shared" si="2"/>
        <v>0</v>
      </c>
    </row>
    <row r="163" spans="1:23" ht="12.75">
      <c r="A163" t="s">
        <v>264</v>
      </c>
      <c r="B163">
        <v>0</v>
      </c>
      <c r="C163">
        <f>COUNT(C48,C56:C63)</f>
        <v>9</v>
      </c>
      <c r="D163">
        <f>COUNT(C8,F16,C37,C44)</f>
        <v>4</v>
      </c>
      <c r="E163">
        <f>COUNT(C9:C10,C15:C17,F9:F10,I14:I15,C38,C41,C54)</f>
        <v>12</v>
      </c>
      <c r="F163">
        <f>COUNT(C14,C18,C19,F11:F15,F19,I11,I17,C34,C42:C43,B97)</f>
        <v>15</v>
      </c>
      <c r="G163">
        <f>COUNT(C11,F17,I9:I10,I12,I19,C35,C47,C55)</f>
        <v>9</v>
      </c>
      <c r="H163">
        <f>COUNT(F18,I16,C46,C51)</f>
        <v>4</v>
      </c>
      <c r="I163">
        <f>COUNT(C13,I13,I18,C36,C40,C49,C52)</f>
        <v>7</v>
      </c>
      <c r="J163">
        <f>COUNT(C53)</f>
        <v>1</v>
      </c>
      <c r="K163">
        <f>COUNT(C45,C50)</f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W163">
        <f>SUM(B163:V163)</f>
        <v>63</v>
      </c>
    </row>
    <row r="164" ht="12.75">
      <c r="C164" s="14"/>
    </row>
    <row r="166" ht="12.75">
      <c r="A166" t="s">
        <v>358</v>
      </c>
    </row>
    <row r="167" spans="1:23" ht="12.75">
      <c r="A167" t="s">
        <v>272</v>
      </c>
      <c r="B167" t="s">
        <v>273</v>
      </c>
      <c r="C167" t="s">
        <v>266</v>
      </c>
      <c r="D167" t="s">
        <v>267</v>
      </c>
      <c r="E167" s="4" t="s">
        <v>268</v>
      </c>
      <c r="F167" t="s">
        <v>269</v>
      </c>
      <c r="G167" t="s">
        <v>274</v>
      </c>
      <c r="H167" t="s">
        <v>340</v>
      </c>
      <c r="I167" t="s">
        <v>341</v>
      </c>
      <c r="J167" t="s">
        <v>342</v>
      </c>
      <c r="K167" t="s">
        <v>343</v>
      </c>
      <c r="L167" t="s">
        <v>344</v>
      </c>
      <c r="M167" t="s">
        <v>345</v>
      </c>
      <c r="N167" t="s">
        <v>346</v>
      </c>
      <c r="O167" t="s">
        <v>347</v>
      </c>
      <c r="P167" t="s">
        <v>348</v>
      </c>
      <c r="Q167" t="s">
        <v>349</v>
      </c>
      <c r="R167" t="s">
        <v>350</v>
      </c>
      <c r="S167" t="s">
        <v>351</v>
      </c>
      <c r="T167" t="s">
        <v>352</v>
      </c>
      <c r="U167" t="s">
        <v>353</v>
      </c>
      <c r="V167" t="s">
        <v>354</v>
      </c>
      <c r="W167" t="s">
        <v>355</v>
      </c>
    </row>
    <row r="168" spans="1:21" ht="12.75">
      <c r="A168" t="s">
        <v>265</v>
      </c>
      <c r="B168" s="14">
        <f>B169/$W$169</f>
        <v>0</v>
      </c>
      <c r="C168" s="14">
        <f aca="true" t="shared" si="3" ref="C168:U168">C169/$W$169</f>
        <v>0</v>
      </c>
      <c r="D168" s="14">
        <f t="shared" si="3"/>
        <v>0.021739130434782608</v>
      </c>
      <c r="E168" s="14">
        <f t="shared" si="3"/>
        <v>0</v>
      </c>
      <c r="F168" s="14">
        <f t="shared" si="3"/>
        <v>0.06521739130434782</v>
      </c>
      <c r="G168" s="14">
        <f t="shared" si="3"/>
        <v>0.021739130434782608</v>
      </c>
      <c r="H168" s="14">
        <f t="shared" si="3"/>
        <v>0.043478260869565216</v>
      </c>
      <c r="I168" s="14">
        <f t="shared" si="3"/>
        <v>0.10869565217391304</v>
      </c>
      <c r="J168" s="14">
        <f t="shared" si="3"/>
        <v>0.17391304347826086</v>
      </c>
      <c r="K168" s="14">
        <f t="shared" si="3"/>
        <v>0.13043478260869565</v>
      </c>
      <c r="L168" s="14">
        <f t="shared" si="3"/>
        <v>0.06521739130434782</v>
      </c>
      <c r="M168" s="14">
        <f t="shared" si="3"/>
        <v>0.10869565217391304</v>
      </c>
      <c r="N168" s="14">
        <f t="shared" si="3"/>
        <v>0.06521739130434782</v>
      </c>
      <c r="O168" s="14">
        <f t="shared" si="3"/>
        <v>0.021739130434782608</v>
      </c>
      <c r="P168" s="14">
        <f t="shared" si="3"/>
        <v>0.08695652173913043</v>
      </c>
      <c r="Q168" s="14">
        <f t="shared" si="3"/>
        <v>0.043478260869565216</v>
      </c>
      <c r="R168" s="14">
        <f t="shared" si="3"/>
        <v>0.021739130434782608</v>
      </c>
      <c r="S168" s="14">
        <f t="shared" si="3"/>
        <v>0</v>
      </c>
      <c r="T168" s="14">
        <f t="shared" si="3"/>
        <v>0</v>
      </c>
      <c r="U168" s="14">
        <f t="shared" si="3"/>
        <v>0.021739130434782608</v>
      </c>
    </row>
    <row r="169" spans="1:23" ht="12.75">
      <c r="A169" t="s">
        <v>264</v>
      </c>
      <c r="B169">
        <v>0</v>
      </c>
      <c r="C169">
        <v>0</v>
      </c>
      <c r="D169">
        <f>COUNT(Q19)</f>
        <v>1</v>
      </c>
      <c r="E169">
        <v>0</v>
      </c>
      <c r="F169">
        <f>COUNT(Q20,I95,I103)</f>
        <v>3</v>
      </c>
      <c r="G169">
        <f>COUNT(C39)</f>
        <v>1</v>
      </c>
      <c r="H169">
        <f>COUNT(B89,B111)</f>
        <v>2</v>
      </c>
      <c r="I169">
        <f>COUNT(B90,B101,I101,B109:B110)</f>
        <v>5</v>
      </c>
      <c r="J169">
        <f>COUNT(Q7,Q10,Q12,Q16,I102,B103,B105,B108)</f>
        <v>8</v>
      </c>
      <c r="K169">
        <f>COUNT(Q15,Q17:Q18,B98,I93:I94)</f>
        <v>6</v>
      </c>
      <c r="L169">
        <f>COUNT(B95:B96,I92)</f>
        <v>3</v>
      </c>
      <c r="M169">
        <f>COUNT(Q9,Q11,Q13:Q14,I89)</f>
        <v>5</v>
      </c>
      <c r="N169">
        <f>COUNT(I88,I96,B104)</f>
        <v>3</v>
      </c>
      <c r="O169">
        <f>O158</f>
        <v>1</v>
      </c>
      <c r="P169">
        <f>P158</f>
        <v>4</v>
      </c>
      <c r="Q169">
        <f>Q158</f>
        <v>2</v>
      </c>
      <c r="R169">
        <f>R158</f>
        <v>1</v>
      </c>
      <c r="S169">
        <v>0</v>
      </c>
      <c r="T169">
        <v>0</v>
      </c>
      <c r="U169">
        <f>U158</f>
        <v>1</v>
      </c>
      <c r="W169">
        <f>SUM(B169:V169)</f>
        <v>46</v>
      </c>
    </row>
    <row r="172" ht="12.75">
      <c r="A172" t="s">
        <v>359</v>
      </c>
    </row>
    <row r="173" spans="1:23" ht="12.75">
      <c r="A173" t="s">
        <v>272</v>
      </c>
      <c r="B173" t="s">
        <v>273</v>
      </c>
      <c r="C173" t="s">
        <v>266</v>
      </c>
      <c r="D173" t="s">
        <v>267</v>
      </c>
      <c r="E173" s="4" t="s">
        <v>268</v>
      </c>
      <c r="F173" t="s">
        <v>269</v>
      </c>
      <c r="G173" t="s">
        <v>274</v>
      </c>
      <c r="H173" t="s">
        <v>340</v>
      </c>
      <c r="I173" t="s">
        <v>341</v>
      </c>
      <c r="J173" t="s">
        <v>342</v>
      </c>
      <c r="K173" t="s">
        <v>343</v>
      </c>
      <c r="L173" t="s">
        <v>344</v>
      </c>
      <c r="M173" t="s">
        <v>345</v>
      </c>
      <c r="N173" t="s">
        <v>346</v>
      </c>
      <c r="O173" t="s">
        <v>347</v>
      </c>
      <c r="P173" t="s">
        <v>348</v>
      </c>
      <c r="Q173" t="s">
        <v>349</v>
      </c>
      <c r="R173" t="s">
        <v>350</v>
      </c>
      <c r="S173" t="s">
        <v>351</v>
      </c>
      <c r="T173" t="s">
        <v>352</v>
      </c>
      <c r="U173" t="s">
        <v>353</v>
      </c>
      <c r="V173" t="s">
        <v>354</v>
      </c>
      <c r="W173" t="s">
        <v>355</v>
      </c>
    </row>
    <row r="174" spans="1:23" ht="12.75">
      <c r="A174" t="s">
        <v>361</v>
      </c>
      <c r="B174" s="14">
        <f>B163/$W$158</f>
        <v>0</v>
      </c>
      <c r="C174" s="14">
        <f aca="true" t="shared" si="4" ref="C174:U174">C163/$W$158</f>
        <v>0.08256880733944955</v>
      </c>
      <c r="D174" s="14">
        <f t="shared" si="4"/>
        <v>0.03669724770642202</v>
      </c>
      <c r="E174" s="14">
        <f t="shared" si="4"/>
        <v>0.11009174311926606</v>
      </c>
      <c r="F174" s="14">
        <f t="shared" si="4"/>
        <v>0.13761467889908258</v>
      </c>
      <c r="G174" s="14">
        <f t="shared" si="4"/>
        <v>0.08256880733944955</v>
      </c>
      <c r="H174" s="14">
        <f t="shared" si="4"/>
        <v>0.03669724770642202</v>
      </c>
      <c r="I174" s="14">
        <f t="shared" si="4"/>
        <v>0.06422018348623854</v>
      </c>
      <c r="J174" s="14">
        <f t="shared" si="4"/>
        <v>0.009174311926605505</v>
      </c>
      <c r="K174" s="14">
        <f t="shared" si="4"/>
        <v>0.01834862385321101</v>
      </c>
      <c r="L174" s="14">
        <f t="shared" si="4"/>
        <v>0</v>
      </c>
      <c r="M174" s="14">
        <f t="shared" si="4"/>
        <v>0</v>
      </c>
      <c r="N174" s="14">
        <f t="shared" si="4"/>
        <v>0</v>
      </c>
      <c r="O174" s="14">
        <f t="shared" si="4"/>
        <v>0</v>
      </c>
      <c r="P174" s="14">
        <f t="shared" si="4"/>
        <v>0</v>
      </c>
      <c r="Q174" s="14">
        <f t="shared" si="4"/>
        <v>0</v>
      </c>
      <c r="R174" s="14">
        <f t="shared" si="4"/>
        <v>0</v>
      </c>
      <c r="S174" s="14">
        <f t="shared" si="4"/>
        <v>0</v>
      </c>
      <c r="T174" s="14">
        <f t="shared" si="4"/>
        <v>0</v>
      </c>
      <c r="U174" s="14">
        <f t="shared" si="4"/>
        <v>0</v>
      </c>
      <c r="W174" s="14">
        <f>SUM(B174:V174)</f>
        <v>0.5779816513761468</v>
      </c>
    </row>
    <row r="175" spans="1:23" ht="12.75">
      <c r="A175" t="s">
        <v>360</v>
      </c>
      <c r="B175" s="14">
        <f>B169/$W$158</f>
        <v>0</v>
      </c>
      <c r="C175" s="14">
        <f aca="true" t="shared" si="5" ref="C175:U175">C169/$W$158</f>
        <v>0</v>
      </c>
      <c r="D175" s="14">
        <f t="shared" si="5"/>
        <v>0.009174311926605505</v>
      </c>
      <c r="E175" s="14">
        <f t="shared" si="5"/>
        <v>0</v>
      </c>
      <c r="F175" s="14">
        <f t="shared" si="5"/>
        <v>0.027522935779816515</v>
      </c>
      <c r="G175" s="14">
        <f t="shared" si="5"/>
        <v>0.009174311926605505</v>
      </c>
      <c r="H175" s="14">
        <f t="shared" si="5"/>
        <v>0.01834862385321101</v>
      </c>
      <c r="I175" s="14">
        <f t="shared" si="5"/>
        <v>0.045871559633027525</v>
      </c>
      <c r="J175" s="14">
        <f t="shared" si="5"/>
        <v>0.07339449541284404</v>
      </c>
      <c r="K175" s="14">
        <f t="shared" si="5"/>
        <v>0.05504587155963303</v>
      </c>
      <c r="L175" s="14">
        <f t="shared" si="5"/>
        <v>0.027522935779816515</v>
      </c>
      <c r="M175" s="14">
        <f t="shared" si="5"/>
        <v>0.045871559633027525</v>
      </c>
      <c r="N175" s="14">
        <f t="shared" si="5"/>
        <v>0.027522935779816515</v>
      </c>
      <c r="O175" s="14">
        <f t="shared" si="5"/>
        <v>0.009174311926605505</v>
      </c>
      <c r="P175" s="14">
        <f t="shared" si="5"/>
        <v>0.03669724770642202</v>
      </c>
      <c r="Q175" s="14">
        <f t="shared" si="5"/>
        <v>0.01834862385321101</v>
      </c>
      <c r="R175" s="14">
        <f t="shared" si="5"/>
        <v>0.009174311926605505</v>
      </c>
      <c r="S175" s="14">
        <f t="shared" si="5"/>
        <v>0</v>
      </c>
      <c r="T175" s="14">
        <f t="shared" si="5"/>
        <v>0</v>
      </c>
      <c r="U175" s="14">
        <f t="shared" si="5"/>
        <v>0.009174311926605505</v>
      </c>
      <c r="W175" s="14">
        <f>SUM(B175:V175)</f>
        <v>0.42201834862385323</v>
      </c>
    </row>
  </sheetData>
  <mergeCells count="9">
    <mergeCell ref="G74:H74"/>
    <mergeCell ref="I85:J85"/>
    <mergeCell ref="C32:D32"/>
    <mergeCell ref="Q5:R5"/>
    <mergeCell ref="C6:D6"/>
    <mergeCell ref="F6:G6"/>
    <mergeCell ref="I6:J6"/>
    <mergeCell ref="L6:M6"/>
    <mergeCell ref="J67:K6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dcterms:created xsi:type="dcterms:W3CDTF">2003-03-17T22:39:20Z</dcterms:created>
  <dcterms:modified xsi:type="dcterms:W3CDTF">2003-05-03T16:02:53Z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