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995" windowWidth="18330" windowHeight="6645" activeTab="0"/>
  </bookViews>
  <sheets>
    <sheet name="calculator" sheetId="1" r:id="rId1"/>
    <sheet name="rates" sheetId="2" state="hidden" r:id="rId2"/>
    <sheet name="lists" sheetId="3" state="hidden" r:id="rId3"/>
  </sheets>
  <definedNames>
    <definedName name="test1">'rates'!$L$2</definedName>
    <definedName name="Z_77CEEDAC_645A_46FF_85E0_79532AC3E6D8_.wvu.Cols" localSheetId="1" hidden="1">'rates'!$O:$O</definedName>
    <definedName name="Z_77CEEDAC_645A_46FF_85E0_79532AC3E6D8_.wvu.FilterData" localSheetId="2" hidden="1">'lists'!$B$1:$B$6</definedName>
    <definedName name="Z_77CEEDAC_645A_46FF_85E0_79532AC3E6D8_.wvu.FilterData" localSheetId="1" hidden="1">'rates'!$A$1:$A$97</definedName>
  </definedNames>
  <calcPr fullCalcOnLoad="1"/>
</workbook>
</file>

<file path=xl/sharedStrings.xml><?xml version="1.0" encoding="utf-8"?>
<sst xmlns="http://schemas.openxmlformats.org/spreadsheetml/2006/main" count="247" uniqueCount="158">
  <si>
    <t>First-Class Mail Retail Letters, Cards, Flats</t>
  </si>
  <si>
    <t>Single-Piece</t>
  </si>
  <si>
    <t>Card Rate</t>
  </si>
  <si>
    <t>First-Class Mail Discount Letters and Cards</t>
  </si>
  <si>
    <t>Nonautomation</t>
  </si>
  <si>
    <t>Automation</t>
  </si>
  <si>
    <t>Presorted</t>
  </si>
  <si>
    <t>3‑Digit</t>
  </si>
  <si>
    <t>5‑Digit</t>
  </si>
  <si>
    <t>First-Class Mail - Discount Flats</t>
  </si>
  <si>
    <t>Weight Not Over 13 ounces</t>
  </si>
  <si>
    <t>Ounces</t>
  </si>
  <si>
    <t>Standard Mail Regular - Discount Letters</t>
  </si>
  <si>
    <t>Entry Discount</t>
  </si>
  <si>
    <t>Enhanced Carrier Route (ECR)2</t>
  </si>
  <si>
    <t>Basic</t>
  </si>
  <si>
    <t>3 / 5</t>
  </si>
  <si>
    <t>None</t>
  </si>
  <si>
    <t>DBMC</t>
  </si>
  <si>
    <t>per piece rate</t>
  </si>
  <si>
    <t>DSCF</t>
  </si>
  <si>
    <t>DDU</t>
  </si>
  <si>
    <t>Standard Mail Regular - Discount Flats</t>
  </si>
  <si>
    <t>Enhanced Carrier Route</t>
  </si>
  <si>
    <t>Mail Classes</t>
  </si>
  <si>
    <t>mailclass:</t>
  </si>
  <si>
    <t>weight:</t>
  </si>
  <si>
    <t>FORMULAS</t>
  </si>
  <si>
    <t>1st 7 rates</t>
  </si>
  <si>
    <t>Discount Rate</t>
  </si>
  <si>
    <t>No Data</t>
  </si>
  <si>
    <t>Flat Disc. Cost</t>
  </si>
  <si>
    <t>Ltr Disc. Cost</t>
  </si>
  <si>
    <t>Weight Not Over, ounces</t>
  </si>
  <si>
    <t>Sortation</t>
  </si>
  <si>
    <t>ID for Formulas</t>
  </si>
  <si>
    <t>sortation:</t>
  </si>
  <si>
    <t>STD discount:</t>
  </si>
  <si>
    <t>Auto</t>
  </si>
  <si>
    <t>discounted rate:</t>
  </si>
  <si>
    <t>STD Disc Cost</t>
  </si>
  <si>
    <t>Letters weighing 3.3 oz. or less, per piece rate</t>
  </si>
  <si>
    <t>more than 3.3 oz, per lb rate + per piece rate</t>
  </si>
  <si>
    <t>less than 3.3</t>
  </si>
  <si>
    <t>lb rate</t>
  </si>
  <si>
    <t>IF(M$1&gt;2):</t>
  </si>
  <si>
    <t>Max Retail Rate Per Piece</t>
  </si>
  <si>
    <t>correction cost:</t>
  </si>
  <si>
    <t>Correction Cost</t>
  </si>
  <si>
    <t>Savings Per Mailing</t>
  </si>
  <si>
    <t>savings per mailing:</t>
  </si>
  <si>
    <t>max cost per mailing:</t>
  </si>
  <si>
    <t>discounted cost per mailing:</t>
  </si>
  <si>
    <t>Mailings to recoup AEC Cost</t>
  </si>
  <si>
    <t>Mailings to recoup AEC Cost:</t>
  </si>
  <si>
    <t>ROI per Record:</t>
  </si>
  <si>
    <t>profit mailings:</t>
  </si>
  <si>
    <t>total savings:</t>
  </si>
  <si>
    <t>last 7 rates</t>
  </si>
  <si>
    <t>max rate 1st class:</t>
  </si>
  <si>
    <t>max rate STD FLT:</t>
  </si>
  <si>
    <t>max rate STD LTR:</t>
  </si>
  <si>
    <t>more than 3.3 oz + per piece rate</t>
  </si>
  <si>
    <t>Flats weighing 3.3 oz. or less, per piece rate</t>
  </si>
  <si>
    <t>MAX RATE</t>
  </si>
  <si>
    <t>max cost per mailing 1st Class:</t>
  </si>
  <si>
    <t>lbs rate:</t>
  </si>
  <si>
    <t>piece rate:</t>
  </si>
  <si>
    <t>discntd cost per mailing 1st Class:</t>
  </si>
  <si>
    <t>discntd cost per mailing:</t>
  </si>
  <si>
    <t>Select Mail Class:</t>
  </si>
  <si>
    <t>Select Sortation:</t>
  </si>
  <si>
    <t>Return On Investment per record</t>
  </si>
  <si>
    <t>Mixed AADC</t>
  </si>
  <si>
    <t>AADC</t>
  </si>
  <si>
    <t>Carrier Route</t>
  </si>
  <si>
    <t>Mixed AADC</t>
  </si>
  <si>
    <t>Saturation</t>
  </si>
  <si>
    <t>High Density</t>
  </si>
  <si>
    <t>1st Class Letters</t>
  </si>
  <si>
    <t>1st Class Flats</t>
  </si>
  <si>
    <t>Standard Letters</t>
  </si>
  <si>
    <t>Standard Flats</t>
  </si>
  <si>
    <t>Standard Mail Entry Discount</t>
  </si>
  <si>
    <t>Standard Mail Entry Discount:</t>
  </si>
  <si>
    <t xml:space="preserve"> AEC Calculator</t>
  </si>
  <si>
    <t>Est. AEC Customer Correction Rate:</t>
  </si>
  <si>
    <t>Est. Customer Correction Rate presented to AECII:</t>
  </si>
  <si>
    <t>Select Mail Weight (oz):</t>
  </si>
  <si>
    <t>IF(M1&gt;2:</t>
  </si>
  <si>
    <t>*Est. Nbr AEC Corrected Rec's</t>
  </si>
  <si>
    <t>1ST LTRS</t>
  </si>
  <si>
    <t>1ST FLTS</t>
  </si>
  <si>
    <t>discounte rate:</t>
  </si>
  <si>
    <t>Weight N/A</t>
  </si>
  <si>
    <t>lb cost</t>
  </si>
  <si>
    <t>piece cost</t>
  </si>
  <si>
    <t>max cost:</t>
  </si>
  <si>
    <t>max cost per mailing STD ltrs:</t>
  </si>
  <si>
    <t>max cost per mailing STD flts:</t>
  </si>
  <si>
    <t>discntd cost per mailing STD ltrs:</t>
  </si>
  <si>
    <t>discntd cost per mailing STD flts:</t>
  </si>
  <si>
    <t>STD Disc Rate</t>
  </si>
  <si>
    <t>&gt;3.3</t>
  </si>
  <si>
    <t>&lt;3.3</t>
  </si>
  <si>
    <t>disc cost:</t>
  </si>
  <si>
    <t>cust based correction cost</t>
  </si>
  <si>
    <t>AEC Rec's</t>
  </si>
  <si>
    <t>AECII Rec's</t>
  </si>
  <si>
    <t>default</t>
  </si>
  <si>
    <t>customer</t>
  </si>
  <si>
    <t>records entered:</t>
  </si>
  <si>
    <t>aec cost:</t>
  </si>
  <si>
    <t>aecII cost:</t>
  </si>
  <si>
    <t>TOTAL RECORDS FOR DISCOUNT</t>
  </si>
  <si>
    <t>Total AEC Cost:</t>
  </si>
  <si>
    <t>max total:</t>
  </si>
  <si>
    <t>500-piece minimum for First-Class Mail</t>
  </si>
  <si>
    <t>T/F condition for displaying minimum statement</t>
  </si>
  <si>
    <t>the following minimum criteria:</t>
  </si>
  <si>
    <t xml:space="preserve">In order to receive a discount for volume mailings, you must meet </t>
  </si>
  <si>
    <t>200-piece minimum for Standard Mail.</t>
  </si>
  <si>
    <t xml:space="preserve"> **Records going through AECII - Remaining records to be processed through AECII.</t>
  </si>
  <si>
    <t>***Number of Corrected Records returned, based on an AECII average correction rate of 62%</t>
  </si>
  <si>
    <t xml:space="preserve"> * Number of Corrected Records returned, based on an AEC average correction rate of 32%.</t>
  </si>
  <si>
    <t xml:space="preserve">Enter Annual Mailing Frequency (Nbr): </t>
  </si>
  <si>
    <t xml:space="preserve">Total Annualized Savings based on freq. of mailings </t>
  </si>
  <si>
    <t>AEC Correct costs</t>
  </si>
  <si>
    <t>AEC Correct Rates</t>
  </si>
  <si>
    <t>Enter AEC Candidate Record Count:</t>
  </si>
  <si>
    <t>N/A</t>
  </si>
  <si>
    <t>Mixed ADC</t>
  </si>
  <si>
    <t>ADC</t>
  </si>
  <si>
    <t>old</t>
  </si>
  <si>
    <t>Non-Mach Mixed ADC</t>
  </si>
  <si>
    <t>Non-Mach ADC</t>
  </si>
  <si>
    <t>NEW ON 03/2007 RATE CHANGE</t>
  </si>
  <si>
    <t>3-Digit / Scheme</t>
  </si>
  <si>
    <t>5-Digit Scheme</t>
  </si>
  <si>
    <t>Mach-Mixed AADC</t>
  </si>
  <si>
    <t>Non-Mach 3-Digit</t>
  </si>
  <si>
    <t>Mach AADC</t>
  </si>
  <si>
    <t>Non-Mach 5-Digit</t>
  </si>
  <si>
    <t>sortation adjustments</t>
  </si>
  <si>
    <t>std flats</t>
  </si>
  <si>
    <t xml:space="preserve">std ltrs </t>
  </si>
  <si>
    <t xml:space="preserve"> NA Mixed ADC</t>
  </si>
  <si>
    <t>NA ADC</t>
  </si>
  <si>
    <t>NA 3-Digit</t>
  </si>
  <si>
    <t>NA 5-Digit</t>
  </si>
  <si>
    <t>NEW</t>
  </si>
  <si>
    <t>NEW CATEGORIES</t>
  </si>
  <si>
    <t>3 Digit</t>
  </si>
  <si>
    <t>5 Digit</t>
  </si>
  <si>
    <t>Non-Mach  ADC</t>
  </si>
  <si>
    <t>**Est.Rec's Presented to AECII ™</t>
  </si>
  <si>
    <t>***Est. Nbr AECII ™ Corrected Rec's</t>
  </si>
  <si>
    <t xml:space="preserve"> This calculator only calculates First-Class Mail® and Standard Mail® Rates effective May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</si>
</sst>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  <numFmt numFmtId="167" formatCode="0.000"/>
    <numFmt numFmtId="168" formatCode="0.0000"/>
    <numFmt numFmtId="169" formatCode="0.00000"/>
    <numFmt numFmtId="170" formatCode="0.000%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56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10"/>
      <name val="Arial"/>
      <family val="0"/>
    </font>
    <font>
      <sz val="8"/>
      <color indexed="2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10" fontId="0" fillId="2" borderId="0" xfId="0" applyNumberFormat="1" applyFont="1" applyFill="1" applyBorder="1" applyAlignment="1">
      <alignment vertical="center" wrapText="1"/>
    </xf>
    <xf numFmtId="10" fontId="0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0" fontId="0" fillId="2" borderId="1" xfId="0" applyNumberFormat="1" applyFont="1" applyFill="1" applyBorder="1" applyAlignment="1" applyProtection="1">
      <alignment vertical="center" wrapText="1"/>
      <protection locked="0"/>
    </xf>
    <xf numFmtId="10" fontId="0" fillId="2" borderId="1" xfId="0" applyNumberFormat="1" applyFont="1" applyFill="1" applyBorder="1" applyAlignment="1" applyProtection="1">
      <alignment vertical="center"/>
      <protection locked="0"/>
    </xf>
    <xf numFmtId="165" fontId="0" fillId="2" borderId="0" xfId="0" applyNumberFormat="1" applyFont="1" applyFill="1" applyBorder="1" applyAlignment="1" applyProtection="1">
      <alignment horizontal="right"/>
      <protection hidden="1" locked="0"/>
    </xf>
    <xf numFmtId="10" fontId="0" fillId="2" borderId="0" xfId="0" applyNumberFormat="1" applyFont="1" applyFill="1" applyBorder="1" applyAlignment="1" applyProtection="1">
      <alignment horizontal="right"/>
      <protection hidden="1" locked="0"/>
    </xf>
    <xf numFmtId="0" fontId="0" fillId="2" borderId="0" xfId="0" applyFont="1" applyFill="1" applyBorder="1" applyAlignment="1" applyProtection="1">
      <alignment horizontal="right"/>
      <protection hidden="1" locked="0"/>
    </xf>
    <xf numFmtId="166" fontId="0" fillId="2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right"/>
      <protection hidden="1" locked="0"/>
    </xf>
    <xf numFmtId="2" fontId="0" fillId="0" borderId="0" xfId="0" applyNumberFormat="1" applyAlignment="1" applyProtection="1">
      <alignment/>
      <protection hidden="1" locked="0"/>
    </xf>
    <xf numFmtId="0" fontId="1" fillId="0" borderId="0" xfId="0" applyFont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1" fillId="0" borderId="2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 applyProtection="1">
      <alignment horizontal="center" wrapText="1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10" fontId="0" fillId="0" borderId="0" xfId="0" applyNumberForma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Font="1" applyFill="1" applyAlignment="1" applyProtection="1">
      <alignment horizontal="right"/>
      <protection hidden="1" locked="0"/>
    </xf>
    <xf numFmtId="0" fontId="1" fillId="0" borderId="0" xfId="0" applyFont="1" applyFill="1" applyAlignment="1" applyProtection="1">
      <alignment horizontal="right"/>
      <protection hidden="1" locked="0"/>
    </xf>
    <xf numFmtId="0" fontId="5" fillId="0" borderId="0" xfId="20" applyFont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right"/>
      <protection hidden="1" locked="0"/>
    </xf>
    <xf numFmtId="0" fontId="0" fillId="0" borderId="0" xfId="0" applyFont="1" applyAlignment="1" applyProtection="1">
      <alignment vertical="top" wrapText="1"/>
      <protection hidden="1" locked="0"/>
    </xf>
    <xf numFmtId="0" fontId="0" fillId="0" borderId="0" xfId="0" applyFill="1" applyBorder="1" applyAlignment="1" applyProtection="1">
      <alignment horizontal="right"/>
      <protection hidden="1" locked="0"/>
    </xf>
    <xf numFmtId="0" fontId="0" fillId="0" borderId="3" xfId="0" applyBorder="1" applyAlignment="1" applyProtection="1">
      <alignment/>
      <protection hidden="1" locked="0"/>
    </xf>
    <xf numFmtId="0" fontId="0" fillId="0" borderId="4" xfId="0" applyBorder="1" applyAlignment="1" applyProtection="1">
      <alignment/>
      <protection hidden="1" locked="0"/>
    </xf>
    <xf numFmtId="0" fontId="0" fillId="0" borderId="5" xfId="0" applyBorder="1" applyAlignment="1" applyProtection="1">
      <alignment/>
      <protection hidden="1" locked="0"/>
    </xf>
    <xf numFmtId="0" fontId="0" fillId="0" borderId="6" xfId="0" applyBorder="1" applyAlignment="1" applyProtection="1">
      <alignment/>
      <protection hidden="1" locked="0"/>
    </xf>
    <xf numFmtId="0" fontId="0" fillId="0" borderId="7" xfId="0" applyBorder="1" applyAlignment="1" applyProtection="1">
      <alignment/>
      <protection hidden="1" locked="0"/>
    </xf>
    <xf numFmtId="0" fontId="0" fillId="0" borderId="8" xfId="0" applyBorder="1" applyAlignment="1" applyProtection="1">
      <alignment/>
      <protection hidden="1" locked="0"/>
    </xf>
    <xf numFmtId="0" fontId="0" fillId="0" borderId="2" xfId="0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9" xfId="0" applyFill="1" applyBorder="1" applyAlignment="1" applyProtection="1">
      <alignment horizontal="right"/>
      <protection hidden="1" locked="0"/>
    </xf>
    <xf numFmtId="2" fontId="0" fillId="0" borderId="9" xfId="0" applyNumberFormat="1" applyBorder="1" applyAlignment="1" applyProtection="1">
      <alignment/>
      <protection hidden="1" locked="0"/>
    </xf>
    <xf numFmtId="0" fontId="1" fillId="0" borderId="0" xfId="0" applyFont="1" applyAlignment="1" applyProtection="1">
      <alignment horizontal="right"/>
      <protection hidden="1" locked="0"/>
    </xf>
    <xf numFmtId="0" fontId="0" fillId="0" borderId="6" xfId="0" applyBorder="1" applyAlignment="1" applyProtection="1">
      <alignment horizontal="right"/>
      <protection hidden="1" locked="0"/>
    </xf>
    <xf numFmtId="2" fontId="0" fillId="0" borderId="8" xfId="0" applyNumberFormat="1" applyBorder="1" applyAlignment="1" applyProtection="1">
      <alignment/>
      <protection hidden="1" locked="0"/>
    </xf>
    <xf numFmtId="0" fontId="14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4" xfId="0" applyBorder="1" applyAlignment="1" applyProtection="1">
      <alignment horizontal="left"/>
      <protection hidden="1" locked="0"/>
    </xf>
    <xf numFmtId="0" fontId="0" fillId="0" borderId="5" xfId="0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0" fillId="0" borderId="9" xfId="0" applyBorder="1" applyAlignment="1" applyProtection="1">
      <alignment/>
      <protection hidden="1" locked="0"/>
    </xf>
    <xf numFmtId="0" fontId="0" fillId="0" borderId="0" xfId="0" applyNumberFormat="1" applyFont="1" applyBorder="1" applyAlignment="1" applyProtection="1">
      <alignment vertical="top" wrapText="1"/>
      <protection hidden="1" locked="0"/>
    </xf>
    <xf numFmtId="0" fontId="0" fillId="0" borderId="0" xfId="0" applyFont="1" applyBorder="1" applyAlignment="1" applyProtection="1">
      <alignment vertical="top" wrapText="1"/>
      <protection hidden="1" locked="0"/>
    </xf>
    <xf numFmtId="0" fontId="1" fillId="0" borderId="3" xfId="0" applyFont="1" applyBorder="1" applyAlignment="1" applyProtection="1">
      <alignment horizontal="center" wrapText="1"/>
      <protection hidden="1" locked="0"/>
    </xf>
    <xf numFmtId="0" fontId="1" fillId="0" borderId="0" xfId="0" applyFont="1" applyFill="1" applyBorder="1" applyAlignment="1" applyProtection="1">
      <alignment horizontal="center" wrapText="1"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 wrapText="1"/>
      <protection hidden="1" locked="0"/>
    </xf>
    <xf numFmtId="0" fontId="1" fillId="0" borderId="0" xfId="0" applyFont="1" applyFill="1" applyBorder="1" applyAlignment="1" applyProtection="1">
      <alignment horizontal="left"/>
      <protection hidden="1" locked="0"/>
    </xf>
    <xf numFmtId="0" fontId="2" fillId="0" borderId="2" xfId="0" applyFont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left" vertical="center" wrapText="1"/>
      <protection hidden="1" locked="0"/>
    </xf>
    <xf numFmtId="0" fontId="1" fillId="0" borderId="2" xfId="0" applyFont="1" applyBorder="1" applyAlignment="1" applyProtection="1">
      <alignment horizontal="center"/>
      <protection hidden="1" locked="0"/>
    </xf>
    <xf numFmtId="0" fontId="3" fillId="0" borderId="2" xfId="20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left"/>
      <protection hidden="1" locked="0"/>
    </xf>
    <xf numFmtId="16" fontId="0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 applyProtection="1">
      <alignment/>
      <protection hidden="1" locked="0"/>
    </xf>
    <xf numFmtId="0" fontId="1" fillId="0" borderId="9" xfId="0" applyFont="1" applyBorder="1" applyAlignment="1" applyProtection="1">
      <alignment horizontal="left" vertical="center" wrapText="1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1" fillId="0" borderId="3" xfId="0" applyFont="1" applyBorder="1" applyAlignment="1" applyProtection="1">
      <alignment horizontal="center" vertical="center" wrapText="1"/>
      <protection hidden="1" locked="0"/>
    </xf>
    <xf numFmtId="0" fontId="0" fillId="0" borderId="4" xfId="0" applyFont="1" applyBorder="1" applyAlignment="1" applyProtection="1">
      <alignment vertical="top" wrapText="1"/>
      <protection hidden="1" locked="0"/>
    </xf>
    <xf numFmtId="0" fontId="0" fillId="0" borderId="4" xfId="0" applyFill="1" applyBorder="1" applyAlignment="1" applyProtection="1">
      <alignment/>
      <protection hidden="1" locked="0"/>
    </xf>
    <xf numFmtId="0" fontId="0" fillId="0" borderId="4" xfId="0" applyFill="1" applyBorder="1" applyAlignment="1" applyProtection="1">
      <alignment horizontal="right"/>
      <protection hidden="1" locked="0"/>
    </xf>
    <xf numFmtId="0" fontId="1" fillId="0" borderId="5" xfId="0" applyFont="1" applyFill="1" applyBorder="1" applyAlignment="1" applyProtection="1">
      <alignment horizontal="right"/>
      <protection hidden="1" locked="0"/>
    </xf>
    <xf numFmtId="0" fontId="1" fillId="0" borderId="0" xfId="0" applyFont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 applyProtection="1">
      <alignment horizontal="right"/>
      <protection hidden="1" locked="0"/>
    </xf>
    <xf numFmtId="0" fontId="1" fillId="0" borderId="9" xfId="0" applyFont="1" applyBorder="1" applyAlignment="1" applyProtection="1">
      <alignment horizontal="right"/>
      <protection hidden="1" locked="0"/>
    </xf>
    <xf numFmtId="0" fontId="1" fillId="0" borderId="0" xfId="0" applyFont="1" applyBorder="1" applyAlignment="1" applyProtection="1">
      <alignment horizontal="center" wrapText="1"/>
      <protection hidden="1" locked="0"/>
    </xf>
    <xf numFmtId="0" fontId="1" fillId="0" borderId="2" xfId="0" applyFont="1" applyBorder="1" applyAlignment="1" applyProtection="1">
      <alignment horizontal="left" vertical="center" wrapText="1" indent="1"/>
      <protection hidden="1" locked="0"/>
    </xf>
    <xf numFmtId="0" fontId="1" fillId="0" borderId="0" xfId="0" applyFont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 horizontal="right"/>
      <protection hidden="1" locked="0"/>
    </xf>
    <xf numFmtId="0" fontId="1" fillId="0" borderId="0" xfId="0" applyFont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 horizontal="right" vertical="top" wrapText="1"/>
      <protection hidden="1" locked="0"/>
    </xf>
    <xf numFmtId="0" fontId="0" fillId="0" borderId="0" xfId="0" applyBorder="1" applyAlignment="1" applyProtection="1">
      <alignment horizontal="right" vertical="top"/>
      <protection hidden="1" locked="0"/>
    </xf>
    <xf numFmtId="0" fontId="0" fillId="0" borderId="0" xfId="0" applyNumberFormat="1" applyFont="1" applyBorder="1" applyAlignment="1" applyProtection="1">
      <alignment horizontal="right" vertical="top" wrapText="1"/>
      <protection hidden="1" locked="0"/>
    </xf>
    <xf numFmtId="0" fontId="1" fillId="0" borderId="4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 applyProtection="1">
      <alignment horizontal="center"/>
      <protection hidden="1" locked="0"/>
    </xf>
    <xf numFmtId="0" fontId="1" fillId="0" borderId="7" xfId="0" applyFont="1" applyBorder="1" applyAlignment="1" applyProtection="1">
      <alignment horizontal="center"/>
      <protection hidden="1" locked="0"/>
    </xf>
    <xf numFmtId="0" fontId="1" fillId="0" borderId="4" xfId="0" applyFont="1" applyBorder="1" applyAlignment="1" applyProtection="1">
      <alignment horizontal="right"/>
      <protection hidden="1" locked="0"/>
    </xf>
    <xf numFmtId="0" fontId="0" fillId="0" borderId="5" xfId="0" applyBorder="1" applyAlignment="1" applyProtection="1">
      <alignment horizontal="left"/>
      <protection hidden="1" locked="0"/>
    </xf>
    <xf numFmtId="0" fontId="0" fillId="0" borderId="2" xfId="0" applyFont="1" applyBorder="1" applyAlignment="1" applyProtection="1">
      <alignment horizontal="center" vertical="center" wrapText="1"/>
      <protection hidden="1" locked="0"/>
    </xf>
    <xf numFmtId="0" fontId="0" fillId="0" borderId="9" xfId="0" applyBorder="1" applyAlignment="1" applyProtection="1">
      <alignment horizontal="left"/>
      <protection hidden="1" locked="0"/>
    </xf>
    <xf numFmtId="12" fontId="1" fillId="0" borderId="0" xfId="0" applyNumberFormat="1" applyFont="1" applyBorder="1" applyAlignment="1" applyProtection="1">
      <alignment horizontal="center" vertical="center" wrapText="1"/>
      <protection hidden="1" locked="0"/>
    </xf>
    <xf numFmtId="0" fontId="0" fillId="0" borderId="9" xfId="0" applyFont="1" applyBorder="1" applyAlignment="1" applyProtection="1">
      <alignment horizontal="left"/>
      <protection hidden="1" locked="0"/>
    </xf>
    <xf numFmtId="0" fontId="1" fillId="0" borderId="6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right" vertical="center" wrapText="1"/>
      <protection hidden="1" locked="0"/>
    </xf>
    <xf numFmtId="0" fontId="1" fillId="0" borderId="0" xfId="0" applyFont="1" applyAlignment="1" applyProtection="1">
      <alignment horizontal="left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right" vertic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right" vertical="center"/>
      <protection hidden="1" locked="0"/>
    </xf>
    <xf numFmtId="49" fontId="1" fillId="0" borderId="0" xfId="0" applyNumberFormat="1" applyFont="1" applyAlignment="1" applyProtection="1">
      <alignment horizontal="center" wrapText="1"/>
      <protection hidden="1" locked="0"/>
    </xf>
    <xf numFmtId="0" fontId="8" fillId="2" borderId="0" xfId="0" applyFont="1" applyFill="1" applyBorder="1" applyAlignment="1">
      <alignment/>
    </xf>
    <xf numFmtId="0" fontId="1" fillId="0" borderId="0" xfId="0" applyFont="1" applyBorder="1" applyAlignment="1" applyProtection="1">
      <alignment horizontal="center" vertical="center"/>
      <protection hidden="1" locked="0"/>
    </xf>
    <xf numFmtId="12" fontId="1" fillId="0" borderId="0" xfId="0" applyNumberFormat="1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1" fontId="0" fillId="2" borderId="0" xfId="0" applyNumberFormat="1" applyFont="1" applyFill="1" applyBorder="1" applyAlignment="1" applyProtection="1">
      <alignment horizontal="right" vertical="center"/>
      <protection hidden="1" locked="0"/>
    </xf>
    <xf numFmtId="1" fontId="7" fillId="2" borderId="0" xfId="0" applyNumberFormat="1" applyFont="1" applyFill="1" applyBorder="1" applyAlignment="1" applyProtection="1">
      <alignment horizontal="right" vertical="center"/>
      <protection hidden="1" locked="0"/>
    </xf>
    <xf numFmtId="1" fontId="0" fillId="2" borderId="0" xfId="0" applyNumberFormat="1" applyFill="1" applyBorder="1" applyAlignment="1" applyProtection="1">
      <alignment/>
      <protection hidden="1" locked="0"/>
    </xf>
    <xf numFmtId="0" fontId="0" fillId="2" borderId="0" xfId="0" applyFont="1" applyFill="1" applyBorder="1" applyAlignment="1">
      <alignment/>
    </xf>
    <xf numFmtId="0" fontId="15" fillId="2" borderId="0" xfId="0" applyFont="1" applyFill="1" applyBorder="1" applyAlignment="1" applyProtection="1">
      <alignment/>
      <protection hidden="1" locked="0"/>
    </xf>
    <xf numFmtId="0" fontId="15" fillId="2" borderId="0" xfId="0" applyFont="1" applyFill="1" applyBorder="1" applyAlignment="1" applyProtection="1">
      <alignment/>
      <protection hidden="1"/>
    </xf>
    <xf numFmtId="2" fontId="13" fillId="2" borderId="0" xfId="0" applyNumberFormat="1" applyFont="1" applyFill="1" applyBorder="1" applyAlignment="1" applyProtection="1">
      <alignment horizontal="left" vertical="center" indent="2"/>
      <protection hidden="1"/>
    </xf>
    <xf numFmtId="0" fontId="13" fillId="2" borderId="0" xfId="0" applyFont="1" applyFill="1" applyBorder="1" applyAlignment="1" applyProtection="1">
      <alignment horizontal="left" indent="4"/>
      <protection hidden="1"/>
    </xf>
    <xf numFmtId="0" fontId="13" fillId="2" borderId="0" xfId="0" applyFont="1" applyFill="1" applyBorder="1" applyAlignment="1" applyProtection="1">
      <alignment horizontal="left" vertical="top" indent="4"/>
      <protection hidden="1"/>
    </xf>
    <xf numFmtId="0" fontId="1" fillId="0" borderId="4" xfId="0" applyFont="1" applyBorder="1" applyAlignment="1" applyProtection="1">
      <alignment horizontal="left" vertical="center" wrapText="1"/>
      <protection hidden="1" locked="0"/>
    </xf>
    <xf numFmtId="0" fontId="1" fillId="0" borderId="5" xfId="0" applyFont="1" applyBorder="1" applyAlignment="1" applyProtection="1">
      <alignment horizontal="left" vertical="center" wrapText="1"/>
      <protection hidden="1" locked="0"/>
    </xf>
    <xf numFmtId="0" fontId="0" fillId="0" borderId="9" xfId="0" applyNumberFormat="1" applyFont="1" applyBorder="1" applyAlignment="1" applyProtection="1">
      <alignment vertical="top" wrapText="1"/>
      <protection hidden="1" locked="0"/>
    </xf>
    <xf numFmtId="0" fontId="0" fillId="0" borderId="9" xfId="0" applyFont="1" applyBorder="1" applyAlignment="1" applyProtection="1">
      <alignment vertical="top" wrapText="1"/>
      <protection hidden="1" locked="0"/>
    </xf>
    <xf numFmtId="0" fontId="1" fillId="0" borderId="7" xfId="0" applyFont="1" applyBorder="1" applyAlignment="1" applyProtection="1">
      <alignment horizontal="center" vertical="center" wrapText="1"/>
      <protection hidden="1" locked="0"/>
    </xf>
    <xf numFmtId="0" fontId="0" fillId="0" borderId="7" xfId="0" applyFont="1" applyBorder="1" applyAlignment="1" applyProtection="1">
      <alignment vertical="top" wrapText="1"/>
      <protection hidden="1" locked="0"/>
    </xf>
    <xf numFmtId="0" fontId="0" fillId="0" borderId="8" xfId="0" applyFont="1" applyBorder="1" applyAlignment="1" applyProtection="1">
      <alignment vertical="top" wrapText="1"/>
      <protection hidden="1" locked="0"/>
    </xf>
    <xf numFmtId="0" fontId="0" fillId="0" borderId="7" xfId="0" applyBorder="1" applyAlignment="1">
      <alignment/>
    </xf>
    <xf numFmtId="0" fontId="1" fillId="0" borderId="10" xfId="0" applyFont="1" applyBorder="1" applyAlignment="1" applyProtection="1">
      <alignment horizontal="right" vertical="center" wrapText="1"/>
      <protection hidden="1" locked="0"/>
    </xf>
    <xf numFmtId="0" fontId="1" fillId="0" borderId="11" xfId="0" applyFont="1" applyBorder="1" applyAlignment="1" applyProtection="1">
      <alignment wrapText="1"/>
      <protection hidden="1" locked="0"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horizontal="right" vertical="center" wrapText="1"/>
      <protection hidden="1" locked="0"/>
    </xf>
    <xf numFmtId="0" fontId="1" fillId="0" borderId="14" xfId="0" applyFont="1" applyBorder="1" applyAlignment="1">
      <alignment horizontal="right" vertical="center" wrapText="1"/>
    </xf>
    <xf numFmtId="0" fontId="1" fillId="0" borderId="8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left" vertical="center" wrapText="1"/>
      <protection hidden="1" locked="0"/>
    </xf>
    <xf numFmtId="0" fontId="1" fillId="0" borderId="13" xfId="0" applyFont="1" applyBorder="1" applyAlignment="1" applyProtection="1">
      <alignment horizontal="right" vertical="center"/>
      <protection hidden="1" locked="0"/>
    </xf>
    <xf numFmtId="0" fontId="1" fillId="0" borderId="14" xfId="0" applyFont="1" applyBorder="1" applyAlignment="1">
      <alignment horizontal="right" vertical="center"/>
    </xf>
    <xf numFmtId="0" fontId="0" fillId="0" borderId="13" xfId="0" applyBorder="1" applyAlignment="1" applyProtection="1">
      <alignment/>
      <protection hidden="1" locked="0"/>
    </xf>
    <xf numFmtId="0" fontId="0" fillId="0" borderId="14" xfId="0" applyBorder="1" applyAlignment="1">
      <alignment/>
    </xf>
    <xf numFmtId="0" fontId="1" fillId="0" borderId="13" xfId="0" applyFont="1" applyBorder="1" applyAlignment="1" applyProtection="1">
      <alignment horizontal="center" vertical="center" wrapText="1"/>
      <protection hidden="1" locked="0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 hidden="1" locked="0"/>
    </xf>
    <xf numFmtId="0" fontId="1" fillId="0" borderId="19" xfId="0" applyFont="1" applyBorder="1" applyAlignment="1" applyProtection="1">
      <alignment horizontal="center" vertical="center" wrapText="1"/>
      <protection hidden="1" locked="0"/>
    </xf>
    <xf numFmtId="0" fontId="0" fillId="0" borderId="13" xfId="0" applyNumberFormat="1" applyFont="1" applyBorder="1" applyAlignment="1" applyProtection="1">
      <alignment vertical="top" wrapText="1"/>
      <protection hidden="1" locked="0"/>
    </xf>
    <xf numFmtId="0" fontId="0" fillId="0" borderId="13" xfId="0" applyFont="1" applyBorder="1" applyAlignment="1" applyProtection="1">
      <alignment vertical="top" wrapText="1"/>
      <protection hidden="1" locked="0"/>
    </xf>
    <xf numFmtId="0" fontId="0" fillId="0" borderId="20" xfId="0" applyFont="1" applyBorder="1" applyAlignment="1" applyProtection="1">
      <alignment vertical="top" wrapText="1"/>
      <protection hidden="1" locked="0"/>
    </xf>
    <xf numFmtId="0" fontId="0" fillId="0" borderId="14" xfId="0" applyNumberFormat="1" applyFont="1" applyBorder="1" applyAlignment="1" applyProtection="1">
      <alignment vertical="top" wrapText="1"/>
      <protection hidden="1" locked="0"/>
    </xf>
    <xf numFmtId="0" fontId="0" fillId="0" borderId="14" xfId="0" applyFont="1" applyBorder="1" applyAlignment="1" applyProtection="1">
      <alignment vertical="top" wrapText="1"/>
      <protection hidden="1" locked="0"/>
    </xf>
    <xf numFmtId="0" fontId="0" fillId="0" borderId="0" xfId="0" applyFont="1" applyFill="1" applyBorder="1" applyAlignment="1" applyProtection="1">
      <alignment vertical="top" wrapText="1"/>
      <protection hidden="1" locked="0"/>
    </xf>
    <xf numFmtId="0" fontId="13" fillId="0" borderId="0" xfId="0" applyFont="1" applyAlignment="1" applyProtection="1">
      <alignment horizontal="center"/>
      <protection hidden="1" locked="0"/>
    </xf>
    <xf numFmtId="0" fontId="13" fillId="0" borderId="0" xfId="0" applyFont="1" applyAlignment="1" applyProtection="1">
      <alignment/>
      <protection hidden="1" locked="0"/>
    </xf>
    <xf numFmtId="0" fontId="16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 horizontal="right" vertical="center" wrapText="1"/>
      <protection hidden="1" locked="0"/>
    </xf>
    <xf numFmtId="0" fontId="13" fillId="0" borderId="0" xfId="0" applyFont="1" applyAlignment="1" applyProtection="1">
      <alignment wrapText="1"/>
      <protection hidden="1" locked="0"/>
    </xf>
    <xf numFmtId="0" fontId="13" fillId="0" borderId="0" xfId="0" applyFont="1" applyAlignment="1" applyProtection="1">
      <alignment horizontal="left"/>
      <protection hidden="1" locked="0"/>
    </xf>
    <xf numFmtId="0" fontId="0" fillId="0" borderId="20" xfId="0" applyFont="1" applyBorder="1" applyAlignment="1" applyProtection="1">
      <alignment horizontal="right" vertical="top" wrapText="1"/>
      <protection hidden="1" locked="0"/>
    </xf>
    <xf numFmtId="0" fontId="0" fillId="0" borderId="7" xfId="0" applyFont="1" applyBorder="1" applyAlignment="1" applyProtection="1">
      <alignment horizontal="right" vertical="top" wrapText="1"/>
      <protection hidden="1" locked="0"/>
    </xf>
    <xf numFmtId="0" fontId="0" fillId="0" borderId="7" xfId="0" applyNumberFormat="1" applyFont="1" applyBorder="1" applyAlignment="1" applyProtection="1">
      <alignment vertical="top" wrapText="1"/>
      <protection hidden="1" locked="0"/>
    </xf>
    <xf numFmtId="0" fontId="1" fillId="0" borderId="18" xfId="0" applyFont="1" applyBorder="1" applyAlignment="1" applyProtection="1">
      <alignment horizontal="center" wrapText="1"/>
      <protection hidden="1" locked="0"/>
    </xf>
    <xf numFmtId="0" fontId="1" fillId="0" borderId="19" xfId="0" applyFont="1" applyBorder="1" applyAlignment="1" applyProtection="1">
      <alignment horizontal="center" wrapText="1"/>
      <protection hidden="1" locked="0"/>
    </xf>
    <xf numFmtId="0" fontId="1" fillId="0" borderId="21" xfId="0" applyFont="1" applyBorder="1" applyAlignment="1" applyProtection="1">
      <alignment horizontal="center" wrapText="1"/>
      <protection hidden="1" locked="0"/>
    </xf>
    <xf numFmtId="0" fontId="0" fillId="0" borderId="22" xfId="0" applyFont="1" applyBorder="1" applyAlignment="1" applyProtection="1">
      <alignment vertical="top" wrapText="1"/>
      <protection hidden="1" locked="0"/>
    </xf>
    <xf numFmtId="0" fontId="0" fillId="0" borderId="23" xfId="0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 locked="0"/>
    </xf>
    <xf numFmtId="0" fontId="0" fillId="3" borderId="0" xfId="0" applyFont="1" applyFill="1" applyBorder="1" applyAlignment="1" applyProtection="1">
      <alignment vertical="top" wrapText="1"/>
      <protection hidden="1" locked="0"/>
    </xf>
    <xf numFmtId="0" fontId="0" fillId="3" borderId="14" xfId="0" applyFont="1" applyFill="1" applyBorder="1" applyAlignment="1" applyProtection="1">
      <alignment vertical="top" wrapText="1"/>
      <protection hidden="1" locked="0"/>
    </xf>
    <xf numFmtId="0" fontId="0" fillId="3" borderId="0" xfId="0" applyNumberFormat="1" applyFont="1" applyFill="1" applyBorder="1" applyAlignment="1" applyProtection="1">
      <alignment vertical="top" wrapText="1"/>
      <protection hidden="1" locked="0"/>
    </xf>
    <xf numFmtId="0" fontId="0" fillId="3" borderId="14" xfId="0" applyNumberFormat="1" applyFont="1" applyFill="1" applyBorder="1" applyAlignment="1" applyProtection="1">
      <alignment vertical="top" wrapText="1"/>
      <protection hidden="1" locked="0"/>
    </xf>
    <xf numFmtId="0" fontId="0" fillId="3" borderId="9" xfId="0" applyNumberFormat="1" applyFont="1" applyFill="1" applyBorder="1" applyAlignment="1" applyProtection="1">
      <alignment vertical="top" wrapText="1"/>
      <protection hidden="1" locked="0"/>
    </xf>
    <xf numFmtId="0" fontId="0" fillId="3" borderId="9" xfId="0" applyFont="1" applyFill="1" applyBorder="1" applyAlignment="1" applyProtection="1">
      <alignment vertical="top" wrapText="1"/>
      <protection hidden="1" locked="0"/>
    </xf>
    <xf numFmtId="0" fontId="0" fillId="3" borderId="7" xfId="0" applyFont="1" applyFill="1" applyBorder="1" applyAlignment="1" applyProtection="1">
      <alignment vertical="top" wrapText="1"/>
      <protection hidden="1" locked="0"/>
    </xf>
    <xf numFmtId="0" fontId="0" fillId="3" borderId="8" xfId="0" applyFont="1" applyFill="1" applyBorder="1" applyAlignment="1" applyProtection="1">
      <alignment vertical="top" wrapText="1"/>
      <protection hidden="1" locked="0"/>
    </xf>
    <xf numFmtId="0" fontId="1" fillId="0" borderId="24" xfId="0" applyFont="1" applyBorder="1" applyAlignment="1" applyProtection="1">
      <alignment horizontal="center" wrapText="1"/>
      <protection hidden="1" locked="0"/>
    </xf>
    <xf numFmtId="0" fontId="1" fillId="0" borderId="0" xfId="0" applyFont="1" applyFill="1" applyAlignment="1" applyProtection="1">
      <alignment/>
      <protection hidden="1" locked="0"/>
    </xf>
    <xf numFmtId="12" fontId="1" fillId="0" borderId="9" xfId="0" applyNumberFormat="1" applyFont="1" applyBorder="1" applyAlignment="1" applyProtection="1">
      <alignment horizontal="center" vertical="center" wrapText="1"/>
      <protection hidden="1" locked="0"/>
    </xf>
    <xf numFmtId="0" fontId="0" fillId="0" borderId="20" xfId="0" applyFont="1" applyFill="1" applyBorder="1" applyAlignment="1" applyProtection="1">
      <alignment horizontal="right" vertical="top" wrapText="1"/>
      <protection hidden="1" locked="0"/>
    </xf>
    <xf numFmtId="0" fontId="0" fillId="0" borderId="22" xfId="0" applyFont="1" applyFill="1" applyBorder="1" applyAlignment="1" applyProtection="1">
      <alignment horizontal="right" vertical="top" wrapText="1"/>
      <protection hidden="1" locked="0"/>
    </xf>
    <xf numFmtId="0" fontId="1" fillId="3" borderId="0" xfId="0" applyFont="1" applyFill="1" applyBorder="1" applyAlignment="1" applyProtection="1">
      <alignment horizontal="left"/>
      <protection hidden="1" locked="0"/>
    </xf>
    <xf numFmtId="0" fontId="0" fillId="3" borderId="0" xfId="0" applyFill="1" applyAlignment="1">
      <alignment/>
    </xf>
    <xf numFmtId="0" fontId="1" fillId="0" borderId="5" xfId="0" applyFont="1" applyBorder="1" applyAlignment="1" applyProtection="1">
      <alignment horizontal="center" vertical="center" wrapText="1"/>
      <protection hidden="1" locked="0"/>
    </xf>
    <xf numFmtId="0" fontId="1" fillId="0" borderId="9" xfId="0" applyFont="1" applyBorder="1" applyAlignment="1" applyProtection="1">
      <alignment horizontal="center" vertical="center" wrapText="1"/>
      <protection hidden="1" locked="0"/>
    </xf>
    <xf numFmtId="49" fontId="1" fillId="0" borderId="7" xfId="0" applyNumberFormat="1" applyFont="1" applyBorder="1" applyAlignment="1" applyProtection="1">
      <alignment horizontal="center" wrapText="1"/>
      <protection hidden="1" locked="0"/>
    </xf>
    <xf numFmtId="0" fontId="1" fillId="0" borderId="7" xfId="0" applyFont="1" applyBorder="1" applyAlignment="1" applyProtection="1">
      <alignment horizontal="center" wrapText="1"/>
      <protection hidden="1" locked="0"/>
    </xf>
    <xf numFmtId="0" fontId="1" fillId="0" borderId="25" xfId="0" applyFont="1" applyBorder="1" applyAlignment="1" applyProtection="1">
      <alignment horizontal="center" vertical="center" wrapText="1"/>
      <protection hidden="1" locked="0"/>
    </xf>
    <xf numFmtId="0" fontId="1" fillId="0" borderId="26" xfId="0" applyFont="1" applyBorder="1" applyAlignment="1" applyProtection="1">
      <alignment horizontal="center" vertical="center" wrapText="1"/>
      <protection hidden="1" locked="0"/>
    </xf>
    <xf numFmtId="0" fontId="1" fillId="0" borderId="27" xfId="0" applyFont="1" applyBorder="1" applyAlignment="1" applyProtection="1">
      <alignment horizontal="center" vertical="center" wrapText="1"/>
      <protection hidden="1" locked="0"/>
    </xf>
    <xf numFmtId="0" fontId="0" fillId="3" borderId="6" xfId="0" applyFont="1" applyFill="1" applyBorder="1" applyAlignment="1" applyProtection="1">
      <alignment vertical="top" wrapText="1"/>
      <protection hidden="1" locked="0"/>
    </xf>
    <xf numFmtId="0" fontId="0" fillId="3" borderId="22" xfId="0" applyFont="1" applyFill="1" applyBorder="1" applyAlignment="1" applyProtection="1">
      <alignment vertical="top" wrapText="1"/>
      <protection hidden="1" locked="0"/>
    </xf>
    <xf numFmtId="0" fontId="0" fillId="3" borderId="3" xfId="0" applyNumberFormat="1" applyFont="1" applyFill="1" applyBorder="1" applyAlignment="1" applyProtection="1">
      <alignment vertical="top" wrapText="1"/>
      <protection hidden="1" locked="0"/>
    </xf>
    <xf numFmtId="0" fontId="0" fillId="3" borderId="5" xfId="0" applyNumberFormat="1" applyFont="1" applyFill="1" applyBorder="1" applyAlignment="1" applyProtection="1">
      <alignment vertical="top" wrapText="1"/>
      <protection hidden="1" locked="0"/>
    </xf>
    <xf numFmtId="0" fontId="0" fillId="3" borderId="2" xfId="0" applyFont="1" applyFill="1" applyBorder="1" applyAlignment="1" applyProtection="1">
      <alignment vertical="top" wrapText="1"/>
      <protection hidden="1" locked="0"/>
    </xf>
    <xf numFmtId="0" fontId="0" fillId="0" borderId="3" xfId="0" applyNumberFormat="1" applyFont="1" applyFill="1" applyBorder="1" applyAlignment="1" applyProtection="1">
      <alignment vertical="top" wrapText="1"/>
      <protection hidden="1" locked="0"/>
    </xf>
    <xf numFmtId="0" fontId="0" fillId="0" borderId="4" xfId="0" applyNumberFormat="1" applyFont="1" applyFill="1" applyBorder="1" applyAlignment="1" applyProtection="1">
      <alignment vertical="top" wrapText="1"/>
      <protection hidden="1" locked="0"/>
    </xf>
    <xf numFmtId="0" fontId="0" fillId="0" borderId="5" xfId="0" applyNumberFormat="1" applyFont="1" applyFill="1" applyBorder="1" applyAlignment="1" applyProtection="1">
      <alignment vertical="top" wrapText="1"/>
      <protection hidden="1" locked="0"/>
    </xf>
    <xf numFmtId="0" fontId="0" fillId="0" borderId="2" xfId="0" applyFont="1" applyFill="1" applyBorder="1" applyAlignment="1" applyProtection="1">
      <alignment vertical="top" wrapText="1"/>
      <protection hidden="1" locked="0"/>
    </xf>
    <xf numFmtId="0" fontId="0" fillId="0" borderId="9" xfId="0" applyFont="1" applyFill="1" applyBorder="1" applyAlignment="1" applyProtection="1">
      <alignment vertical="top" wrapText="1"/>
      <protection hidden="1" locked="0"/>
    </xf>
    <xf numFmtId="0" fontId="0" fillId="0" borderId="6" xfId="0" applyFont="1" applyFill="1" applyBorder="1" applyAlignment="1" applyProtection="1">
      <alignment vertical="top" wrapText="1"/>
      <protection hidden="1" locked="0"/>
    </xf>
    <xf numFmtId="0" fontId="0" fillId="0" borderId="7" xfId="0" applyFont="1" applyFill="1" applyBorder="1" applyAlignment="1" applyProtection="1">
      <alignment vertical="top" wrapText="1"/>
      <protection hidden="1" locked="0"/>
    </xf>
    <xf numFmtId="0" fontId="0" fillId="0" borderId="8" xfId="0" applyFont="1" applyFill="1" applyBorder="1" applyAlignment="1" applyProtection="1">
      <alignment vertical="top" wrapText="1"/>
      <protection hidden="1" locked="0"/>
    </xf>
    <xf numFmtId="49" fontId="1" fillId="0" borderId="28" xfId="0" applyNumberFormat="1" applyFont="1" applyBorder="1" applyAlignment="1" applyProtection="1">
      <alignment horizontal="center" wrapText="1"/>
      <protection hidden="1" locked="0"/>
    </xf>
    <xf numFmtId="0" fontId="1" fillId="0" borderId="19" xfId="0" applyFont="1" applyBorder="1" applyAlignment="1" applyProtection="1">
      <alignment horizontal="left"/>
      <protection hidden="1" locked="0"/>
    </xf>
    <xf numFmtId="0" fontId="1" fillId="3" borderId="3" xfId="0" applyFont="1" applyFill="1" applyBorder="1" applyAlignment="1" applyProtection="1">
      <alignment horizontal="left"/>
      <protection hidden="1" locked="0"/>
    </xf>
    <xf numFmtId="0" fontId="0" fillId="3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0" borderId="21" xfId="0" applyFont="1" applyBorder="1" applyAlignment="1" applyProtection="1">
      <alignment horizontal="center"/>
      <protection hidden="1" locked="0"/>
    </xf>
    <xf numFmtId="0" fontId="1" fillId="0" borderId="8" xfId="0" applyFont="1" applyBorder="1" applyAlignment="1" applyProtection="1">
      <alignment horizontal="center" wrapText="1"/>
      <protection hidden="1" locked="0"/>
    </xf>
    <xf numFmtId="0" fontId="0" fillId="0" borderId="2" xfId="0" applyBorder="1" applyAlignment="1">
      <alignment/>
    </xf>
    <xf numFmtId="0" fontId="1" fillId="0" borderId="29" xfId="0" applyFont="1" applyBorder="1" applyAlignment="1" applyProtection="1">
      <alignment horizontal="center" vertical="center" wrapText="1"/>
      <protection hidden="1" locked="0"/>
    </xf>
    <xf numFmtId="0" fontId="1" fillId="0" borderId="30" xfId="0" applyFont="1" applyBorder="1" applyAlignment="1" applyProtection="1">
      <alignment horizontal="center" vertical="center" wrapText="1"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 locked="0"/>
    </xf>
    <xf numFmtId="0" fontId="0" fillId="0" borderId="31" xfId="0" applyBorder="1" applyAlignment="1" applyProtection="1">
      <alignment/>
      <protection hidden="1" locked="0"/>
    </xf>
    <xf numFmtId="0" fontId="0" fillId="0" borderId="29" xfId="0" applyBorder="1" applyAlignment="1" applyProtection="1">
      <alignment/>
      <protection hidden="1" locked="0"/>
    </xf>
    <xf numFmtId="0" fontId="0" fillId="3" borderId="0" xfId="0" applyFill="1" applyBorder="1" applyAlignment="1" applyProtection="1">
      <alignment/>
      <protection hidden="1" locked="0"/>
    </xf>
    <xf numFmtId="0" fontId="0" fillId="3" borderId="9" xfId="0" applyFill="1" applyBorder="1" applyAlignment="1" applyProtection="1">
      <alignment/>
      <protection hidden="1" locked="0"/>
    </xf>
    <xf numFmtId="0" fontId="0" fillId="3" borderId="7" xfId="0" applyFill="1" applyBorder="1" applyAlignment="1" applyProtection="1">
      <alignment/>
      <protection hidden="1" locked="0"/>
    </xf>
    <xf numFmtId="0" fontId="0" fillId="3" borderId="8" xfId="0" applyFill="1" applyBorder="1" applyAlignment="1" applyProtection="1">
      <alignment/>
      <protection hidden="1" locked="0"/>
    </xf>
    <xf numFmtId="40" fontId="0" fillId="3" borderId="0" xfId="0" applyNumberFormat="1" applyFont="1" applyFill="1" applyAlignment="1" applyProtection="1">
      <alignment vertical="top" wrapText="1"/>
      <protection hidden="1" locked="0"/>
    </xf>
    <xf numFmtId="0" fontId="0" fillId="3" borderId="0" xfId="0" applyFont="1" applyFill="1" applyAlignment="1" applyProtection="1">
      <alignment vertical="top" wrapText="1"/>
      <protection hidden="1" locked="0"/>
    </xf>
    <xf numFmtId="0" fontId="0" fillId="3" borderId="0" xfId="0" applyFill="1" applyBorder="1" applyAlignment="1" applyProtection="1">
      <alignment/>
      <protection hidden="1" locked="0"/>
    </xf>
    <xf numFmtId="0" fontId="0" fillId="3" borderId="10" xfId="0" applyFill="1" applyBorder="1" applyAlignment="1" applyProtection="1">
      <alignment/>
      <protection hidden="1" locked="0"/>
    </xf>
    <xf numFmtId="0" fontId="0" fillId="3" borderId="11" xfId="0" applyFill="1" applyBorder="1" applyAlignment="1" applyProtection="1">
      <alignment/>
      <protection hidden="1" locked="0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 applyProtection="1">
      <alignment/>
      <protection hidden="1" locked="0"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 applyProtection="1">
      <alignment/>
      <protection hidden="1" locked="0"/>
    </xf>
    <xf numFmtId="0" fontId="0" fillId="3" borderId="16" xfId="0" applyFill="1" applyBorder="1" applyAlignment="1" applyProtection="1">
      <alignment/>
      <protection hidden="1" locked="0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Alignment="1" applyProtection="1">
      <alignment/>
      <protection hidden="1" locked="0"/>
    </xf>
    <xf numFmtId="0" fontId="1" fillId="0" borderId="3" xfId="0" applyFont="1" applyBorder="1" applyAlignment="1" applyProtection="1">
      <alignment horizontal="left" vertical="center" wrapText="1"/>
      <protection hidden="1" locked="0"/>
    </xf>
    <xf numFmtId="0" fontId="0" fillId="0" borderId="4" xfId="0" applyBorder="1" applyAlignment="1" applyProtection="1">
      <alignment horizontal="left"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21" xfId="0" applyBorder="1" applyAlignment="1" applyProtection="1">
      <alignment horizontal="center"/>
      <protection hidden="1" locked="0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3" borderId="18" xfId="0" applyFont="1" applyFill="1" applyBorder="1" applyAlignment="1" applyProtection="1">
      <alignment horizontal="center" vertical="center" wrapText="1"/>
      <protection hidden="1" locked="0"/>
    </xf>
    <xf numFmtId="0" fontId="0" fillId="3" borderId="19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1" fillId="0" borderId="2" xfId="0" applyFont="1" applyBorder="1" applyAlignment="1" applyProtection="1">
      <alignment horizontal="left" vertical="center" wrapText="1" indent="1"/>
      <protection hidden="1" locked="0"/>
    </xf>
    <xf numFmtId="0" fontId="0" fillId="0" borderId="2" xfId="0" applyBorder="1" applyAlignment="1" applyProtection="1">
      <alignment horizontal="left" indent="1"/>
      <protection hidden="1" locked="0"/>
    </xf>
    <xf numFmtId="0" fontId="0" fillId="0" borderId="6" xfId="0" applyBorder="1" applyAlignment="1" applyProtection="1">
      <alignment horizontal="left" indent="1"/>
      <protection hidden="1" locked="0"/>
    </xf>
    <xf numFmtId="0" fontId="0" fillId="0" borderId="2" xfId="0" applyBorder="1" applyAlignment="1" applyProtection="1">
      <alignment horizontal="left" vertical="center" wrapText="1" indent="1"/>
      <protection hidden="1" locked="0"/>
    </xf>
    <xf numFmtId="0" fontId="1" fillId="0" borderId="32" xfId="0" applyFont="1" applyBorder="1" applyAlignment="1" applyProtection="1">
      <alignment horizontal="left" vertical="center" wrapText="1"/>
      <protection hidden="1" locked="0"/>
    </xf>
    <xf numFmtId="0" fontId="1" fillId="0" borderId="4" xfId="0" applyFont="1" applyBorder="1" applyAlignment="1" applyProtection="1">
      <alignment horizontal="left" vertical="center" wrapText="1"/>
      <protection hidden="1" locked="0"/>
    </xf>
    <xf numFmtId="0" fontId="1" fillId="0" borderId="0" xfId="0" applyFont="1" applyAlignment="1" applyProtection="1">
      <alignment horizontal="right"/>
      <protection hidden="1" locked="0"/>
    </xf>
    <xf numFmtId="0" fontId="0" fillId="3" borderId="0" xfId="0" applyNumberFormat="1" applyFont="1" applyFill="1" applyBorder="1" applyAlignment="1" applyProtection="1">
      <alignment vertical="top"/>
      <protection hidden="1" locked="0"/>
    </xf>
    <xf numFmtId="0" fontId="0" fillId="3" borderId="0" xfId="0" applyFont="1" applyFill="1" applyBorder="1" applyAlignment="1" applyProtection="1">
      <alignment vertical="top"/>
      <protection hidden="1" locked="0"/>
    </xf>
    <xf numFmtId="0" fontId="0" fillId="3" borderId="7" xfId="0" applyFont="1" applyFill="1" applyBorder="1" applyAlignment="1" applyProtection="1">
      <alignment vertical="top"/>
      <protection hidden="1" locked="0"/>
    </xf>
    <xf numFmtId="0" fontId="0" fillId="3" borderId="9" xfId="0" applyNumberFormat="1" applyFont="1" applyFill="1" applyBorder="1" applyAlignment="1" applyProtection="1">
      <alignment vertical="top"/>
      <protection hidden="1" locked="0"/>
    </xf>
    <xf numFmtId="0" fontId="0" fillId="3" borderId="9" xfId="0" applyFont="1" applyFill="1" applyBorder="1" applyAlignment="1" applyProtection="1">
      <alignment vertical="top"/>
      <protection hidden="1" locked="0"/>
    </xf>
    <xf numFmtId="0" fontId="0" fillId="3" borderId="8" xfId="0" applyFont="1" applyFill="1" applyBorder="1" applyAlignment="1" applyProtection="1">
      <alignment vertical="top"/>
      <protection hidden="1" locked="0"/>
    </xf>
    <xf numFmtId="0" fontId="0" fillId="3" borderId="19" xfId="0" applyFont="1" applyFill="1" applyBorder="1" applyAlignment="1" applyProtection="1">
      <alignment vertical="top" wrapText="1"/>
      <protection hidden="1" locked="0"/>
    </xf>
    <xf numFmtId="0" fontId="0" fillId="3" borderId="21" xfId="0" applyFont="1" applyFill="1" applyBorder="1" applyAlignment="1" applyProtection="1">
      <alignment vertical="top" wrapText="1"/>
      <protection hidden="1" locked="0"/>
    </xf>
    <xf numFmtId="0" fontId="1" fillId="0" borderId="18" xfId="0" applyFont="1" applyBorder="1" applyAlignment="1" applyProtection="1">
      <alignment horizontal="left" vertical="center" wrapText="1" indent="1"/>
      <protection hidden="1" locked="0"/>
    </xf>
    <xf numFmtId="0" fontId="0" fillId="0" borderId="21" xfId="0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" fillId="0" borderId="0" xfId="0" applyFont="1" applyAlignment="1" applyProtection="1">
      <alignment horizontal="center" wrapText="1"/>
      <protection hidden="1" locked="0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1" fillId="0" borderId="2" xfId="0" applyFont="1" applyBorder="1" applyAlignment="1" applyProtection="1">
      <alignment horizontal="center" vertical="center" wrapText="1"/>
      <protection hidden="1" locked="0"/>
    </xf>
    <xf numFmtId="0" fontId="0" fillId="0" borderId="2" xfId="0" applyBorder="1" applyAlignment="1" applyProtection="1">
      <alignment horizontal="center"/>
      <protection hidden="1" locked="0"/>
    </xf>
    <xf numFmtId="0" fontId="1" fillId="0" borderId="3" xfId="0" applyFont="1" applyBorder="1" applyAlignment="1" applyProtection="1">
      <alignment horizontal="center"/>
      <protection hidden="1" locked="0"/>
    </xf>
    <xf numFmtId="0" fontId="1" fillId="0" borderId="4" xfId="0" applyFont="1" applyBorder="1" applyAlignment="1" applyProtection="1">
      <alignment horizontal="center"/>
      <protection hidden="1" locked="0"/>
    </xf>
    <xf numFmtId="0" fontId="1" fillId="0" borderId="5" xfId="0" applyFont="1" applyBorder="1" applyAlignment="1" applyProtection="1">
      <alignment horizontal="center"/>
      <protection hidden="1" locked="0"/>
    </xf>
    <xf numFmtId="0" fontId="1" fillId="0" borderId="7" xfId="0" applyFont="1" applyBorder="1" applyAlignment="1" applyProtection="1">
      <alignment horizontal="center" vertical="center" wrapText="1"/>
      <protection hidden="1" locked="0"/>
    </xf>
    <xf numFmtId="0" fontId="1" fillId="0" borderId="8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right"/>
      <protection hidden="1" locked="0"/>
    </xf>
    <xf numFmtId="0" fontId="1" fillId="0" borderId="0" xfId="0" applyFont="1" applyAlignment="1" applyProtection="1">
      <alignment horizontal="right"/>
      <protection hidden="1" locked="0"/>
    </xf>
    <xf numFmtId="0" fontId="1" fillId="0" borderId="9" xfId="0" applyFont="1" applyBorder="1" applyAlignment="1" applyProtection="1">
      <alignment horizontal="right"/>
      <protection hidden="1" locked="0"/>
    </xf>
    <xf numFmtId="0" fontId="1" fillId="0" borderId="5" xfId="0" applyFont="1" applyBorder="1" applyAlignment="1" applyProtection="1">
      <alignment horizontal="left" vertical="center" wrapText="1"/>
      <protection hidden="1" locked="0"/>
    </xf>
    <xf numFmtId="0" fontId="1" fillId="0" borderId="2" xfId="0" applyFont="1" applyBorder="1" applyAlignment="1" applyProtection="1">
      <alignment horizontal="left" vertical="center" wrapText="1"/>
      <protection hidden="1" locked="0"/>
    </xf>
    <xf numFmtId="0" fontId="1" fillId="0" borderId="0" xfId="0" applyFont="1" applyBorder="1" applyAlignment="1" applyProtection="1">
      <alignment horizontal="left" vertical="center" wrapText="1"/>
      <protection hidden="1" locked="0"/>
    </xf>
    <xf numFmtId="0" fontId="0" fillId="0" borderId="7" xfId="0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 vertical="center" wrapText="1"/>
      <protection hidden="1" locked="0"/>
    </xf>
    <xf numFmtId="0" fontId="1" fillId="0" borderId="19" xfId="0" applyFont="1" applyBorder="1" applyAlignment="1" applyProtection="1">
      <alignment horizontal="center"/>
      <protection hidden="1" locked="0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819150</xdr:colOff>
      <xdr:row>0</xdr:row>
      <xdr:rowOff>314325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ootnote_2_4610229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0"/>
  <sheetViews>
    <sheetView tabSelected="1" workbookViewId="0" topLeftCell="A1">
      <selection activeCell="C4" sqref="C4"/>
    </sheetView>
  </sheetViews>
  <sheetFormatPr defaultColWidth="9.140625" defaultRowHeight="12.75"/>
  <cols>
    <col min="1" max="1" width="12.28125" style="8" customWidth="1"/>
    <col min="2" max="2" width="39.28125" style="8" customWidth="1"/>
    <col min="3" max="3" width="20.00390625" style="8" customWidth="1"/>
    <col min="4" max="4" width="15.7109375" style="8" customWidth="1"/>
    <col min="5" max="5" width="21.57421875" style="8" customWidth="1"/>
    <col min="6" max="6" width="7.8515625" style="8" customWidth="1"/>
    <col min="7" max="7" width="8.8515625" style="8" customWidth="1"/>
    <col min="8" max="8" width="12.8515625" style="8" customWidth="1"/>
    <col min="9" max="9" width="9.421875" style="9" customWidth="1"/>
    <col min="10" max="10" width="19.8515625" style="9" customWidth="1"/>
    <col min="11" max="12" width="12.00390625" style="9" customWidth="1"/>
    <col min="13" max="13" width="11.140625" style="8" customWidth="1"/>
    <col min="14" max="14" width="11.8515625" style="8" customWidth="1"/>
    <col min="15" max="16384" width="9.140625" style="8" customWidth="1"/>
  </cols>
  <sheetData>
    <row r="1" spans="1:14" ht="28.5" customHeight="1">
      <c r="A1" s="295" t="s">
        <v>85</v>
      </c>
      <c r="B1" s="296"/>
      <c r="C1" s="296"/>
      <c r="D1" s="296"/>
      <c r="E1" s="296"/>
      <c r="F1" s="296"/>
      <c r="G1" s="296"/>
      <c r="H1" s="10"/>
      <c r="I1" s="10"/>
      <c r="J1" s="10"/>
      <c r="K1" s="10"/>
      <c r="L1" s="10"/>
      <c r="M1" s="10"/>
      <c r="N1" s="10"/>
    </row>
    <row r="2" spans="1:14" ht="18" customHeight="1">
      <c r="A2" s="297" t="s">
        <v>157</v>
      </c>
      <c r="B2" s="298"/>
      <c r="C2" s="298"/>
      <c r="D2" s="298"/>
      <c r="E2" s="298"/>
      <c r="F2" s="298"/>
      <c r="G2" s="298"/>
      <c r="H2" s="298"/>
      <c r="I2" s="298"/>
      <c r="J2" s="10"/>
      <c r="K2" s="10"/>
      <c r="L2" s="10"/>
      <c r="M2" s="10"/>
      <c r="N2" s="10"/>
    </row>
    <row r="3" ht="8.25" customHeight="1"/>
    <row r="4" spans="1:5" ht="18" customHeight="1">
      <c r="A4" s="292" t="s">
        <v>129</v>
      </c>
      <c r="B4" s="263"/>
      <c r="C4" s="28"/>
      <c r="D4" s="25">
        <f>IF(AND(OR(rates!M1=1,rates!M1=2),(AND(C4&lt;&gt;"",C4&lt;500)))," 500 MIN",(IF(AND(OR(rates!M1=3,rates!M1=4),(AND(C4&lt;&gt;"",C4&lt;200)))," 200 MIN","")))</f>
      </c>
      <c r="E4" s="14" t="s">
        <v>70</v>
      </c>
    </row>
    <row r="5" spans="1:5" ht="8.25" customHeight="1">
      <c r="A5" s="12"/>
      <c r="B5" s="13"/>
      <c r="C5" s="15"/>
      <c r="D5" s="15"/>
      <c r="E5" s="14"/>
    </row>
    <row r="6" spans="1:5" ht="18" customHeight="1">
      <c r="A6" s="264" t="s">
        <v>125</v>
      </c>
      <c r="B6" s="289"/>
      <c r="C6" s="28"/>
      <c r="D6" s="15"/>
      <c r="E6" s="14" t="s">
        <v>71</v>
      </c>
    </row>
    <row r="7" spans="1:5" ht="8.25" customHeight="1">
      <c r="A7" s="14"/>
      <c r="B7" s="7"/>
      <c r="C7" s="15"/>
      <c r="D7" s="15"/>
      <c r="E7" s="14"/>
    </row>
    <row r="8" spans="1:5" ht="17.25" customHeight="1">
      <c r="A8" s="292" t="s">
        <v>84</v>
      </c>
      <c r="B8" s="289"/>
      <c r="E8" s="12" t="s">
        <v>88</v>
      </c>
    </row>
    <row r="9" spans="1:5" ht="7.5" customHeight="1">
      <c r="A9" s="12"/>
      <c r="B9" s="7"/>
      <c r="E9" s="14"/>
    </row>
    <row r="10" spans="1:6" ht="18" customHeight="1">
      <c r="A10" s="292">
        <f>rates!M$6</f>
      </c>
      <c r="B10" s="267"/>
      <c r="C10" s="28"/>
      <c r="D10" s="293" t="s">
        <v>86</v>
      </c>
      <c r="E10" s="294"/>
      <c r="F10" s="31"/>
    </row>
    <row r="11" spans="1:6" ht="7.5" customHeight="1">
      <c r="A11" s="12"/>
      <c r="B11" s="17"/>
      <c r="C11" s="18"/>
      <c r="D11" s="12"/>
      <c r="E11" s="3"/>
      <c r="F11" s="19"/>
    </row>
    <row r="12" spans="2:6" ht="18" customHeight="1">
      <c r="B12" s="12"/>
      <c r="C12" s="292" t="s">
        <v>87</v>
      </c>
      <c r="D12" s="266"/>
      <c r="E12" s="266"/>
      <c r="F12" s="32"/>
    </row>
    <row r="13" spans="2:6" ht="17.25" customHeight="1">
      <c r="B13" s="12"/>
      <c r="C13" s="12"/>
      <c r="D13" s="26"/>
      <c r="E13" s="17"/>
      <c r="F13" s="20"/>
    </row>
    <row r="14" spans="1:4" ht="12.75" customHeight="1">
      <c r="A14" s="292" t="s">
        <v>90</v>
      </c>
      <c r="B14" s="289"/>
      <c r="C14" s="134">
        <f>IF(rates!F17=0,rates!E17,rates!F17)</f>
        <v>0.32</v>
      </c>
      <c r="D14" s="140">
        <f>IF(rates!D13=0,rates!J35,"")</f>
      </c>
    </row>
    <row r="15" spans="1:4" ht="12.75" customHeight="1">
      <c r="A15" s="265" t="s">
        <v>155</v>
      </c>
      <c r="B15" s="265"/>
      <c r="C15" s="135">
        <f>C$4-C$14</f>
        <v>-0.32</v>
      </c>
      <c r="D15" s="140">
        <f>IF(rates!D13=0,rates!J36,"")</f>
      </c>
    </row>
    <row r="16" spans="1:4" ht="12.75">
      <c r="A16" s="292" t="s">
        <v>156</v>
      </c>
      <c r="B16" s="289"/>
      <c r="C16" s="136">
        <f>IF(rates!F18=0,rates!E18,rates!F18)</f>
        <v>-0.1984</v>
      </c>
      <c r="D16" s="141">
        <f>IF(rates!D13=0,rates!J37,"")</f>
      </c>
    </row>
    <row r="17" spans="1:4" ht="23.25" customHeight="1">
      <c r="A17" s="290" t="s">
        <v>48</v>
      </c>
      <c r="B17" s="289"/>
      <c r="C17" s="33">
        <f>IF(rates!D13=0,"N/A",ROUND(rates!G$2,2))</f>
        <v>0</v>
      </c>
      <c r="D17" s="142">
        <f>IF(rates!D13=0,rates!J38,"")</f>
      </c>
    </row>
    <row r="18" spans="1:5" ht="12.75">
      <c r="A18" s="290" t="s">
        <v>49</v>
      </c>
      <c r="B18" s="289"/>
      <c r="C18" s="33">
        <f>IF(rates!D13=0,"N/A",rates!G$5)</f>
        <v>0</v>
      </c>
      <c r="D18" s="22"/>
      <c r="E18" s="27"/>
    </row>
    <row r="19" spans="1:4" ht="12.75">
      <c r="A19" s="290" t="s">
        <v>72</v>
      </c>
      <c r="B19" s="289"/>
      <c r="C19" s="34">
        <f>IF(rates!D13=0,"N/A",rates!G$7)</f>
        <v>0</v>
      </c>
      <c r="D19" s="21"/>
    </row>
    <row r="20" spans="1:4" ht="12.75">
      <c r="A20" s="291" t="s">
        <v>53</v>
      </c>
      <c r="B20" s="289"/>
      <c r="C20" s="35">
        <f>IF(rates!D13=0,"N/A",(IF(ISNUMBER(rates!G6),CEILING(rates!G$6,1),rates!G6)))</f>
        <v>0</v>
      </c>
      <c r="D20" s="23"/>
    </row>
    <row r="21" spans="1:4" ht="12.75">
      <c r="A21" s="290" t="s">
        <v>126</v>
      </c>
      <c r="B21" s="289"/>
      <c r="C21" s="33">
        <f>IF(rates!D13=0,"N/A",rates!G$9)</f>
        <v>0</v>
      </c>
      <c r="D21" s="22"/>
    </row>
    <row r="22" spans="2:4" ht="12.75">
      <c r="B22" s="11"/>
      <c r="C22" s="35"/>
      <c r="D22" s="23"/>
    </row>
    <row r="23" spans="1:6" ht="12.75">
      <c r="A23" s="290" t="s">
        <v>46</v>
      </c>
      <c r="B23" s="289"/>
      <c r="C23" s="36">
        <f>IF(rates!D13=0,"N/A",rates!J$20)</f>
        <v>0</v>
      </c>
      <c r="D23" s="24"/>
      <c r="F23" s="11"/>
    </row>
    <row r="24" spans="1:4" ht="12.75">
      <c r="A24" s="290" t="s">
        <v>29</v>
      </c>
      <c r="B24" s="289"/>
      <c r="C24" s="36">
        <f>IF(rates!D13=0,"N/A",rates!J$17)</f>
        <v>0</v>
      </c>
      <c r="D24" s="24"/>
    </row>
    <row r="26" spans="1:7" ht="12.75">
      <c r="A26" s="288" t="s">
        <v>124</v>
      </c>
      <c r="B26" s="289"/>
      <c r="C26" s="289"/>
      <c r="D26" s="289"/>
      <c r="E26" s="289"/>
      <c r="F26" s="289"/>
      <c r="G26" s="289"/>
    </row>
    <row r="27" spans="1:6" ht="12.75">
      <c r="A27" s="288" t="s">
        <v>122</v>
      </c>
      <c r="B27" s="289"/>
      <c r="C27" s="289"/>
      <c r="D27" s="289"/>
      <c r="E27" s="289"/>
      <c r="F27" s="289"/>
    </row>
    <row r="28" ht="12.75">
      <c r="A28" s="129" t="s">
        <v>123</v>
      </c>
    </row>
    <row r="30" spans="1:4" ht="12.75">
      <c r="A30" s="138"/>
      <c r="B30" s="138"/>
      <c r="C30" s="138"/>
      <c r="D30" s="138"/>
    </row>
    <row r="31" spans="1:4" ht="12.75">
      <c r="A31" s="137"/>
      <c r="B31" s="137"/>
      <c r="C31" s="137"/>
      <c r="D31" s="137"/>
    </row>
    <row r="100" spans="1:4" ht="12.75">
      <c r="A100" s="139">
        <v>2</v>
      </c>
      <c r="B100" s="139">
        <v>2</v>
      </c>
      <c r="C100" s="139">
        <v>2</v>
      </c>
      <c r="D100" s="139"/>
    </row>
  </sheetData>
  <sheetProtection password="8D71" sheet="1" objects="1" scenarios="1" selectLockedCells="1"/>
  <mergeCells count="20">
    <mergeCell ref="A16:B16"/>
    <mergeCell ref="A15:B15"/>
    <mergeCell ref="C12:E12"/>
    <mergeCell ref="A10:B10"/>
    <mergeCell ref="A8:B8"/>
    <mergeCell ref="D10:E10"/>
    <mergeCell ref="A14:B14"/>
    <mergeCell ref="A1:G1"/>
    <mergeCell ref="A2:I2"/>
    <mergeCell ref="A4:B4"/>
    <mergeCell ref="A6:B6"/>
    <mergeCell ref="A27:F27"/>
    <mergeCell ref="A19:B19"/>
    <mergeCell ref="A17:B17"/>
    <mergeCell ref="A18:B18"/>
    <mergeCell ref="A20:B20"/>
    <mergeCell ref="A21:B21"/>
    <mergeCell ref="A23:B23"/>
    <mergeCell ref="A24:B24"/>
    <mergeCell ref="A26:G26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137"/>
  <sheetViews>
    <sheetView zoomScale="90" zoomScaleNormal="90" workbookViewId="0" topLeftCell="A80">
      <selection activeCell="K111" sqref="K111"/>
    </sheetView>
  </sheetViews>
  <sheetFormatPr defaultColWidth="9.140625" defaultRowHeight="12.75"/>
  <cols>
    <col min="1" max="1" width="16.140625" style="0" customWidth="1"/>
    <col min="2" max="2" width="15.7109375" style="0" customWidth="1"/>
    <col min="3" max="3" width="12.00390625" style="0" customWidth="1"/>
    <col min="4" max="4" width="10.7109375" style="0" customWidth="1"/>
    <col min="5" max="6" width="10.28125" style="0" customWidth="1"/>
    <col min="7" max="7" width="10.421875" style="0" customWidth="1"/>
    <col min="8" max="8" width="14.7109375" style="0" customWidth="1"/>
    <col min="9" max="9" width="14.8515625" style="0" customWidth="1"/>
    <col min="10" max="10" width="13.7109375" style="0" customWidth="1"/>
    <col min="11" max="11" width="14.57421875" style="0" customWidth="1"/>
    <col min="12" max="12" width="14.8515625" style="0" customWidth="1"/>
    <col min="13" max="13" width="21.57421875" style="0" customWidth="1"/>
    <col min="14" max="14" width="10.140625" style="0" customWidth="1"/>
    <col min="15" max="15" width="0.13671875" style="0" hidden="1" customWidth="1"/>
    <col min="16" max="16" width="16.28125" style="0" customWidth="1"/>
  </cols>
  <sheetData>
    <row r="1" spans="1:16" ht="12.75">
      <c r="A1" s="37" t="s">
        <v>30</v>
      </c>
      <c r="B1" s="37">
        <v>0</v>
      </c>
      <c r="C1" s="37"/>
      <c r="D1" s="37"/>
      <c r="E1" s="37"/>
      <c r="F1" s="38" t="s">
        <v>111</v>
      </c>
      <c r="G1" s="37">
        <f>calculator!C4</f>
        <v>0</v>
      </c>
      <c r="H1" s="39">
        <f>IF(calculator!F$10&gt;0,PRODUCT(calculator!C$4,calculator!F$10),PRODUCT(calculator!C$4,P7))</f>
        <v>0.32</v>
      </c>
      <c r="I1" s="39">
        <f>IF(calculator!F$12&gt;0,PRODUCT((G1-H1),calculator!F$12),PRODUCT((G1-H1),P8))</f>
        <v>-0.1984</v>
      </c>
      <c r="J1" s="39">
        <f>SUM(H1,I1)</f>
        <v>0.12160000000000001</v>
      </c>
      <c r="K1" s="37">
        <f>IF(OR(calculator!F10&gt;0,calculator!F12&gt;0),SUM(F17,F18),SUM(E17,E18))</f>
        <v>0</v>
      </c>
      <c r="L1" s="38" t="s">
        <v>25</v>
      </c>
      <c r="M1" s="37">
        <f>calculator!A30</f>
        <v>0</v>
      </c>
      <c r="N1" s="37"/>
      <c r="O1" s="37"/>
      <c r="P1" s="37" t="s">
        <v>127</v>
      </c>
    </row>
    <row r="2" spans="1:16" ht="12.75" customHeight="1">
      <c r="A2" s="40" t="s">
        <v>0</v>
      </c>
      <c r="B2" s="41"/>
      <c r="C2" s="41"/>
      <c r="D2" s="42"/>
      <c r="E2" s="42"/>
      <c r="F2" s="38" t="s">
        <v>47</v>
      </c>
      <c r="G2" s="47">
        <f>M33</f>
        <v>0</v>
      </c>
      <c r="H2" s="37">
        <f>G1*P2</f>
        <v>0</v>
      </c>
      <c r="I2" s="37">
        <f>(G1*P4)+(F18*P3)</f>
        <v>-0.0496</v>
      </c>
      <c r="J2" s="37"/>
      <c r="K2" s="37"/>
      <c r="L2" s="38" t="s">
        <v>26</v>
      </c>
      <c r="M2" s="37">
        <f>calculator!C30</f>
        <v>0</v>
      </c>
      <c r="N2" s="37"/>
      <c r="O2" s="37"/>
      <c r="P2" s="37">
        <f>SUM(P3,P4)</f>
        <v>0.265</v>
      </c>
    </row>
    <row r="3" spans="1:16" ht="12.75">
      <c r="A3" s="48"/>
      <c r="B3" s="48"/>
      <c r="C3" s="37"/>
      <c r="D3" s="37"/>
      <c r="E3" s="37"/>
      <c r="F3" s="38" t="s">
        <v>51</v>
      </c>
      <c r="G3" s="37">
        <f>M$24</f>
        <v>0</v>
      </c>
      <c r="H3" s="37"/>
      <c r="I3" s="37"/>
      <c r="J3" s="37"/>
      <c r="K3" s="37"/>
      <c r="L3" s="38" t="s">
        <v>36</v>
      </c>
      <c r="M3" s="37">
        <f>IF(AND(M$1=4,N$3&lt;9),Q$12,(IF(AND(M$1=4,N$3&gt;8),R$12,(IF(AND(M$1=3,N$3&lt;9),Q$11,(IF(AND(M$1=3,N$3&gt;8),R$11,calculator!B30)))))))</f>
        <v>0</v>
      </c>
      <c r="N3" s="258">
        <f>calculator!B30</f>
        <v>0</v>
      </c>
      <c r="O3" s="37"/>
      <c r="P3" s="37">
        <v>0.25</v>
      </c>
    </row>
    <row r="4" spans="1:16" ht="12.75">
      <c r="A4" s="301" t="s">
        <v>33</v>
      </c>
      <c r="B4" s="299" t="s">
        <v>1</v>
      </c>
      <c r="C4" s="37"/>
      <c r="D4" s="37"/>
      <c r="E4" s="37"/>
      <c r="F4" s="38" t="s">
        <v>52</v>
      </c>
      <c r="G4" s="37">
        <f>M$29</f>
        <v>0</v>
      </c>
      <c r="H4" s="37"/>
      <c r="I4" s="37"/>
      <c r="J4" s="37"/>
      <c r="K4" s="37"/>
      <c r="L4" s="38" t="s">
        <v>37</v>
      </c>
      <c r="M4" s="37">
        <f>calculator!D30</f>
        <v>0</v>
      </c>
      <c r="N4" s="37"/>
      <c r="O4" s="37"/>
      <c r="P4" s="37">
        <v>0.015</v>
      </c>
    </row>
    <row r="5" spans="1:16" ht="12.75">
      <c r="A5" s="301"/>
      <c r="B5" s="299"/>
      <c r="C5" s="37"/>
      <c r="D5" s="37"/>
      <c r="E5" s="37"/>
      <c r="F5" s="38" t="s">
        <v>50</v>
      </c>
      <c r="G5" s="37">
        <f>IF(ISNUMBER(G4),G$3-G$4,G4)</f>
        <v>0</v>
      </c>
      <c r="H5" s="37"/>
      <c r="I5" s="49">
        <f>calculator!F$10</f>
        <v>0</v>
      </c>
      <c r="J5" s="37"/>
      <c r="K5" s="37"/>
      <c r="L5" s="38"/>
      <c r="M5" s="37"/>
      <c r="N5" s="37"/>
      <c r="O5" s="37"/>
      <c r="P5" s="37"/>
    </row>
    <row r="6" spans="1:16" ht="15" customHeight="1">
      <c r="A6" s="301"/>
      <c r="B6" s="299"/>
      <c r="C6" s="37"/>
      <c r="D6" s="37"/>
      <c r="E6" s="50"/>
      <c r="F6" s="38" t="s">
        <v>54</v>
      </c>
      <c r="G6" s="37">
        <f>IF(AND(G$5&gt;0,ISNUMBER(G5)),G$2/G$5,0)</f>
        <v>0</v>
      </c>
      <c r="H6" s="37">
        <f>IF(AND(G$5&gt;0,ISNUMBER(G5)),H$2/G$5,0)</f>
        <v>0</v>
      </c>
      <c r="I6" s="37"/>
      <c r="J6" s="37"/>
      <c r="K6" s="37"/>
      <c r="L6" s="51" t="s">
        <v>45</v>
      </c>
      <c r="M6" s="52">
        <f>IF(AND(M$1&gt;2,M$2=2),"Enter lbs of mailing:","")</f>
      </c>
      <c r="N6" s="37"/>
      <c r="O6" s="37"/>
      <c r="P6" s="37" t="s">
        <v>128</v>
      </c>
    </row>
    <row r="7" spans="1:16" ht="12.75">
      <c r="A7" s="53">
        <v>1</v>
      </c>
      <c r="B7" s="244">
        <f>IF(OR(M$1=1,M$1=3),0.42,(IF(OR(M$1=2,M$1=4),0.83,0)))</f>
        <v>0</v>
      </c>
      <c r="C7" s="37" t="s">
        <v>94</v>
      </c>
      <c r="D7" s="37"/>
      <c r="E7" s="37"/>
      <c r="F7" s="54" t="s">
        <v>55</v>
      </c>
      <c r="G7" s="49">
        <f>IF(AND(ISNUMBER(J20),ISNUMBER(J17)),(IF(J$20&gt;J$17,(J$20-J$17)/0.265,0)))</f>
        <v>0</v>
      </c>
      <c r="H7" s="37">
        <f>IF(AND(ISNUMBER(J20),ISNUMBER(J17)),PRODUCT(((J$20-J$17)/0.265),100),0)</f>
        <v>0</v>
      </c>
      <c r="I7" s="37"/>
      <c r="J7" s="37"/>
      <c r="K7" s="37"/>
      <c r="L7" s="38" t="s">
        <v>89</v>
      </c>
      <c r="M7" s="37">
        <f>IF(M$1&gt;2,0,"")</f>
      </c>
      <c r="N7" s="37"/>
      <c r="O7" s="37"/>
      <c r="P7" s="37">
        <v>0.32</v>
      </c>
    </row>
    <row r="8" spans="1:16" ht="12.75">
      <c r="A8" s="46">
        <v>2</v>
      </c>
      <c r="B8" s="245">
        <f>IF(OR(M$1=1,M$1=3),0.59,(IF(OR(M$1=2,M$1=4),1,0)))</f>
        <v>0</v>
      </c>
      <c r="C8" s="37"/>
      <c r="D8" s="37"/>
      <c r="E8" s="37"/>
      <c r="F8" s="56" t="s">
        <v>56</v>
      </c>
      <c r="G8" s="37">
        <f>IF(AND(ISNUMBER(G7),G7&gt;0),calculator!C$6-G$6,G7)</f>
        <v>0</v>
      </c>
      <c r="H8" s="37"/>
      <c r="I8" s="37"/>
      <c r="J8" s="37"/>
      <c r="K8" s="37"/>
      <c r="L8" s="37"/>
      <c r="M8" s="37"/>
      <c r="N8" s="37"/>
      <c r="O8" s="37"/>
      <c r="P8" s="37">
        <v>0.62</v>
      </c>
    </row>
    <row r="9" spans="1:16" ht="12.75">
      <c r="A9" s="46">
        <v>3</v>
      </c>
      <c r="B9" s="245">
        <f>IF(OR(M$1=1,M$1=3),0.76,(IF(OR(M$1=2,M$1=4),1.17,0)))</f>
        <v>0</v>
      </c>
      <c r="C9" s="37"/>
      <c r="D9" s="37"/>
      <c r="E9" s="37"/>
      <c r="F9" s="56" t="s">
        <v>57</v>
      </c>
      <c r="G9" s="37">
        <f>IF(ISNUMBER(G7)=TRUE,PRODUCT(G$5,G$8),G7)</f>
        <v>0</v>
      </c>
      <c r="H9" s="37"/>
      <c r="I9" s="37"/>
      <c r="J9" s="37"/>
      <c r="K9" s="37" t="str">
        <f>IF(M$2=1,B$7,(IF(M$2=2,B$8,(IF(M$2=3,B$9,(IF(M$2=4,B$10,(IF(M$2=5,B$21,"Weight N/A")))))))))</f>
        <v>Weight N/A</v>
      </c>
      <c r="L9" s="37"/>
      <c r="M9" s="37"/>
      <c r="N9" s="37"/>
      <c r="O9" s="37"/>
      <c r="P9" s="37"/>
    </row>
    <row r="10" spans="1:18" ht="12.75">
      <c r="A10" s="46">
        <v>3.5</v>
      </c>
      <c r="B10" s="245">
        <f>IF(OR(M$1=1,M$1=3),0.93,(IF(OR(M$1=2,M$1=4),1.14,0)))</f>
        <v>0</v>
      </c>
      <c r="C10" s="37"/>
      <c r="D10" s="37"/>
      <c r="E10" s="37"/>
      <c r="F10" s="56" t="s">
        <v>106</v>
      </c>
      <c r="G10" s="37"/>
      <c r="H10" s="37"/>
      <c r="I10" s="37"/>
      <c r="J10" s="37"/>
      <c r="K10" s="37">
        <f>IF(M$2=1,B7,(IF(M$2=2,B8,(IF(M$2=3,B9,(IF(M$2=4,B10,(IF(M$2=5,B11,(IF(M$2=6,B12,(IF(M$2=7,B13,(IF(M$2=8,B14,0)))))))))))))))</f>
        <v>0</v>
      </c>
      <c r="L10" s="37"/>
      <c r="M10" s="37"/>
      <c r="N10" s="247"/>
      <c r="O10" s="248"/>
      <c r="P10" s="248" t="s">
        <v>143</v>
      </c>
      <c r="Q10" s="249"/>
      <c r="R10" s="250"/>
    </row>
    <row r="11" spans="1:18" ht="13.5" thickBot="1">
      <c r="A11" s="46">
        <v>4</v>
      </c>
      <c r="B11" s="245">
        <v>1.34</v>
      </c>
      <c r="C11" s="37"/>
      <c r="D11" s="37">
        <f>calculator!C$4</f>
        <v>0</v>
      </c>
      <c r="E11" s="37">
        <f>PRODUCT(D11,calculator!F$10)</f>
        <v>0</v>
      </c>
      <c r="F11" s="56"/>
      <c r="G11" s="37"/>
      <c r="H11" s="37"/>
      <c r="I11" s="37"/>
      <c r="J11" s="37" t="s">
        <v>91</v>
      </c>
      <c r="K11" s="37" t="str">
        <f>K$9</f>
        <v>Weight N/A</v>
      </c>
      <c r="L11" s="37">
        <f>IF(M$2=9,B$15,(IF(M$2=10,B$16,(IF(M$2=11,B$17,(IF(M$2=12,B$18,(IF(M$2=13,B$19,(IF(M$2=14,B$20,(IF(M$2=15,B$21,0)))))))))))))</f>
        <v>0</v>
      </c>
      <c r="M11" s="37"/>
      <c r="N11" s="251" t="s">
        <v>145</v>
      </c>
      <c r="O11" s="246"/>
      <c r="P11" s="246">
        <f>calculator!B30</f>
        <v>0</v>
      </c>
      <c r="Q11" s="252" t="str">
        <f>IF(P$11=1,5,(IF(P$11=2,6,(IF(P$11=3,4,(IF(P$11=4,3,(IF(P$11=5,10,(IF(P$11=6,7,(IF(P$11=7,8,(IF(P$11=8,9," ")))))))))))))))</f>
        <v> </v>
      </c>
      <c r="R11" s="253">
        <f>IF(P$11=9,1,(IF(P$11=10,1,(IF(P$11=11,2,(IF(P$11=12,2,(IF(P$11=13,13,14)))))))))</f>
        <v>14</v>
      </c>
    </row>
    <row r="12" spans="1:18" ht="12.75">
      <c r="A12" s="46">
        <v>5</v>
      </c>
      <c r="B12" s="55">
        <v>1.48</v>
      </c>
      <c r="C12" s="37"/>
      <c r="D12" s="57" t="s">
        <v>118</v>
      </c>
      <c r="E12" s="58"/>
      <c r="F12" s="58"/>
      <c r="G12" s="59"/>
      <c r="H12" s="37"/>
      <c r="I12" s="37"/>
      <c r="J12" s="37" t="s">
        <v>92</v>
      </c>
      <c r="K12" s="37" t="str">
        <f>IF(M$2=1,B$7,(IF(M$2=2,B$8,(IF(M$2=3,B$9,(IF(M$2=4,B$11,(IF(M$2=5,B$12,(IF(M$2=6,B$13,(IF(M$2=7,B$14,(IF(M$2=8,B$15,C7)))))))))))))))</f>
        <v>Weight N/A</v>
      </c>
      <c r="L12" s="37" t="str">
        <f>IF(M$2=9,B$16,(IF(M$2=10,B$17,(IF(M$2=11,B$18,(IF(M$2=12,B$19,(IF(M$2=13,B$20,C7)))))))))</f>
        <v>Weight N/A</v>
      </c>
      <c r="M12" s="37"/>
      <c r="N12" s="254" t="s">
        <v>144</v>
      </c>
      <c r="O12" s="255"/>
      <c r="P12" s="255">
        <f>calculator!B30</f>
        <v>0</v>
      </c>
      <c r="Q12" s="256" t="str">
        <f>IF(P$12=1,7,(IF(P$12=2,7,(IF(P$12=3,6,(IF(P$12=4,6,(IF(P$12=5,3,(IF(P$12=6,4,(IF(P$12=7,5,(IF(P$12=8,2," ")))))))))))))))</f>
        <v> </v>
      </c>
      <c r="R12" s="257">
        <f>IF(P$12=9,2,(IF(P$12=10,1,1)))</f>
        <v>1</v>
      </c>
    </row>
    <row r="13" spans="1:16" ht="13.5" thickBot="1">
      <c r="A13" s="46">
        <v>6</v>
      </c>
      <c r="B13" s="55">
        <v>1.65</v>
      </c>
      <c r="C13" s="37"/>
      <c r="D13" s="60">
        <f>IF(AND(OR(M1=1,M1=2),(AND(G1&lt;&gt;0,G1&lt;500))),0,(IF(AND(OR(M1=3,M1=4),(AND(G1&lt;&gt;0,G1&lt;200))),0,1)))</f>
        <v>1</v>
      </c>
      <c r="E13" s="61"/>
      <c r="F13" s="61"/>
      <c r="G13" s="62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3.5" thickBot="1">
      <c r="A14" s="46">
        <v>7</v>
      </c>
      <c r="B14" s="55">
        <v>1.82</v>
      </c>
      <c r="C14" s="37"/>
      <c r="D14" s="37"/>
      <c r="E14" s="37"/>
      <c r="F14" s="37"/>
      <c r="G14" s="37"/>
      <c r="H14" s="37"/>
      <c r="I14" s="50" t="s">
        <v>27</v>
      </c>
      <c r="J14" s="37"/>
      <c r="K14" s="50" t="s">
        <v>28</v>
      </c>
      <c r="L14" s="50" t="s">
        <v>58</v>
      </c>
      <c r="M14" s="37"/>
      <c r="N14" s="37"/>
      <c r="O14" s="37"/>
      <c r="P14" s="37"/>
    </row>
    <row r="15" spans="1:16" ht="12.75">
      <c r="A15" s="46">
        <v>8</v>
      </c>
      <c r="B15" s="55">
        <v>1.99</v>
      </c>
      <c r="C15" s="37"/>
      <c r="D15" s="304" t="s">
        <v>114</v>
      </c>
      <c r="E15" s="305"/>
      <c r="F15" s="306"/>
      <c r="G15" s="37"/>
      <c r="H15" s="37"/>
      <c r="I15" s="38" t="s">
        <v>59</v>
      </c>
      <c r="J15" s="37">
        <f>IF(M$2&lt;9,K$15,(IF(AND(M$2&gt;8,M$2&lt;17),L$15,0)))</f>
        <v>0</v>
      </c>
      <c r="K15" s="37">
        <f>IF(M$1=1,K$11,(IF(M$1=2,K$12,0)))</f>
        <v>0</v>
      </c>
      <c r="L15" s="37">
        <f>IF(M$1=1,L$11,(IF(M$1=2,L$12,0)))</f>
        <v>0</v>
      </c>
      <c r="M15" s="37"/>
      <c r="N15" s="37"/>
      <c r="O15" s="37"/>
      <c r="P15" s="37"/>
    </row>
    <row r="16" spans="1:16" ht="12.75">
      <c r="A16" s="46">
        <v>9</v>
      </c>
      <c r="B16" s="55">
        <v>2.16</v>
      </c>
      <c r="C16" s="37"/>
      <c r="D16" s="63"/>
      <c r="E16" s="64" t="s">
        <v>109</v>
      </c>
      <c r="F16" s="65" t="s">
        <v>110</v>
      </c>
      <c r="G16" s="37"/>
      <c r="H16" s="37"/>
      <c r="I16" s="38"/>
      <c r="J16" s="37"/>
      <c r="K16" s="37"/>
      <c r="L16" s="37"/>
      <c r="M16" s="50"/>
      <c r="N16" s="50"/>
      <c r="O16" s="37"/>
      <c r="P16" s="37"/>
    </row>
    <row r="17" spans="1:16" ht="12.75">
      <c r="A17" s="46">
        <v>10</v>
      </c>
      <c r="B17" s="55">
        <v>2.33</v>
      </c>
      <c r="C17" s="37"/>
      <c r="D17" s="63" t="s">
        <v>107</v>
      </c>
      <c r="E17" s="64">
        <f>calculator!C$4*P7</f>
        <v>0</v>
      </c>
      <c r="F17" s="66">
        <f>H1</f>
        <v>0.32</v>
      </c>
      <c r="G17" s="37"/>
      <c r="H17" s="277" t="s">
        <v>39</v>
      </c>
      <c r="I17" s="277"/>
      <c r="J17" s="37">
        <f>IF(AND(M$1=1,M$2=5),H$22,(IF(AND(M$1=1,M$2&lt;&gt;5),H$22,(IF(M$1=2,H$46,(IF(M$1=3,P$71,(IF(M$1=4,M$90,0)))))))))</f>
        <v>0</v>
      </c>
      <c r="K17" s="37"/>
      <c r="L17" s="37"/>
      <c r="M17" s="37"/>
      <c r="N17" s="37"/>
      <c r="O17" s="37"/>
      <c r="P17" s="37"/>
    </row>
    <row r="18" spans="1:16" ht="13.5" thickBot="1">
      <c r="A18" s="46">
        <v>11</v>
      </c>
      <c r="B18" s="55">
        <v>2.5</v>
      </c>
      <c r="C18" s="37"/>
      <c r="D18" s="68" t="s">
        <v>108</v>
      </c>
      <c r="E18" s="61">
        <f>(calculator!C$4-E17)*P8</f>
        <v>0</v>
      </c>
      <c r="F18" s="69">
        <f>I1</f>
        <v>-0.1984</v>
      </c>
      <c r="G18" s="37"/>
      <c r="H18" s="37"/>
      <c r="I18" s="38" t="s">
        <v>61</v>
      </c>
      <c r="J18" s="37" t="str">
        <f>P75</f>
        <v>Weight N/A</v>
      </c>
      <c r="K18" s="37"/>
      <c r="L18" s="37"/>
      <c r="M18" s="37"/>
      <c r="N18" s="37"/>
      <c r="O18" s="37"/>
      <c r="P18" s="37"/>
    </row>
    <row r="19" spans="1:16" ht="12.75">
      <c r="A19" s="46">
        <v>12</v>
      </c>
      <c r="B19" s="55">
        <v>2.67</v>
      </c>
      <c r="C19" s="37"/>
      <c r="D19" s="37"/>
      <c r="E19" s="70"/>
      <c r="F19" s="37"/>
      <c r="G19" s="37"/>
      <c r="H19" s="37"/>
      <c r="I19" s="38" t="s">
        <v>60</v>
      </c>
      <c r="J19" s="37" t="str">
        <f>M94</f>
        <v>Weight N/A</v>
      </c>
      <c r="K19" s="37"/>
      <c r="L19" s="37"/>
      <c r="M19" s="37"/>
      <c r="N19" s="37"/>
      <c r="O19" s="37"/>
      <c r="P19" s="37"/>
    </row>
    <row r="20" spans="1:16" ht="12.75">
      <c r="A20" s="46">
        <v>13</v>
      </c>
      <c r="B20" s="55">
        <v>2.84</v>
      </c>
      <c r="C20" s="37"/>
      <c r="D20" s="37"/>
      <c r="E20" s="37"/>
      <c r="F20" s="37"/>
      <c r="G20" s="37"/>
      <c r="H20" s="37"/>
      <c r="I20" s="67" t="s">
        <v>64</v>
      </c>
      <c r="J20" s="37">
        <f>IF(M$1&lt;3,J$15,(IF(M$1=3,J$18,(IF(M$1=4,J$19,"no max rate")))))</f>
        <v>0</v>
      </c>
      <c r="K20" s="37"/>
      <c r="L20" s="37"/>
      <c r="M20" s="37"/>
      <c r="N20" s="37"/>
      <c r="O20" s="37"/>
      <c r="P20" s="37"/>
    </row>
    <row r="21" spans="1:16" ht="13.5" thickBot="1">
      <c r="A21" s="71" t="s">
        <v>2</v>
      </c>
      <c r="B21" s="244">
        <v>0.27</v>
      </c>
      <c r="C21" s="37"/>
      <c r="D21" s="37"/>
      <c r="E21" s="37"/>
      <c r="F21" s="37"/>
      <c r="G21" s="37"/>
      <c r="H21" s="37"/>
      <c r="I21" s="37"/>
      <c r="J21" s="37"/>
      <c r="K21" s="37"/>
      <c r="L21" s="38" t="s">
        <v>65</v>
      </c>
      <c r="M21" s="37">
        <f>PRODUCT(J$20,K1)</f>
        <v>0</v>
      </c>
      <c r="N21" s="37"/>
      <c r="O21" s="37"/>
      <c r="P21" s="37"/>
    </row>
    <row r="22" spans="1:16" s="1" customFormat="1" ht="12.75">
      <c r="A22" s="259" t="s">
        <v>3</v>
      </c>
      <c r="B22" s="260"/>
      <c r="C22" s="260"/>
      <c r="D22" s="260"/>
      <c r="E22" s="260"/>
      <c r="F22" s="260"/>
      <c r="G22" s="260"/>
      <c r="H22" s="73" t="str">
        <f>IF(M$3=1,B$42,(IF(M$3=2,C$42,(IF(M$3=3,D$42,(IF(M$3=4,E$42,(IF(M$3=5,F$42,(IF(M$3=6,G$42,"Sort N/A")))))))))))</f>
        <v>Sort N/A</v>
      </c>
      <c r="I22" s="41"/>
      <c r="J22" s="41"/>
      <c r="K22" s="41"/>
      <c r="L22" s="38" t="s">
        <v>98</v>
      </c>
      <c r="M22" s="37">
        <f>P77</f>
        <v>0</v>
      </c>
      <c r="N22" s="41"/>
      <c r="O22" s="41"/>
      <c r="P22" s="41"/>
    </row>
    <row r="23" spans="1:16" ht="14.25" customHeight="1">
      <c r="A23" s="74"/>
      <c r="B23" s="64"/>
      <c r="C23" s="64"/>
      <c r="D23" s="64"/>
      <c r="E23" s="64"/>
      <c r="F23" s="64"/>
      <c r="G23" s="64"/>
      <c r="H23" s="75">
        <f>IF(M$2&gt;5,"Weight N/A",(IF(M$3&gt;6,"Sort N/A",0)))</f>
        <v>0</v>
      </c>
      <c r="I23" s="37"/>
      <c r="J23" s="37"/>
      <c r="K23" s="37"/>
      <c r="L23" s="38" t="s">
        <v>99</v>
      </c>
      <c r="M23" s="37">
        <f>M92</f>
        <v>0</v>
      </c>
      <c r="N23" s="37"/>
      <c r="O23" s="37"/>
      <c r="P23" s="37"/>
    </row>
    <row r="24" spans="1:16" ht="12.75" customHeight="1">
      <c r="A24" s="302" t="s">
        <v>33</v>
      </c>
      <c r="B24" s="300" t="s">
        <v>4</v>
      </c>
      <c r="C24" s="300" t="s">
        <v>5</v>
      </c>
      <c r="D24" s="300"/>
      <c r="E24" s="300"/>
      <c r="F24" s="300"/>
      <c r="G24" s="300"/>
      <c r="H24" s="75"/>
      <c r="I24" s="37"/>
      <c r="J24" s="37"/>
      <c r="K24" s="37"/>
      <c r="L24" s="67" t="s">
        <v>51</v>
      </c>
      <c r="M24" s="37">
        <f>IF(M$1&lt;3,M$21,(IF(M$1=3,M$22,(IF(M$1=4,M$23,B$1)))))</f>
        <v>0</v>
      </c>
      <c r="N24" s="37"/>
      <c r="O24" s="37"/>
      <c r="P24" s="37"/>
    </row>
    <row r="25" spans="1:16" ht="12.75">
      <c r="A25" s="302"/>
      <c r="B25" s="300"/>
      <c r="C25" s="300"/>
      <c r="D25" s="300"/>
      <c r="E25" s="300"/>
      <c r="F25" s="300"/>
      <c r="G25" s="300"/>
      <c r="H25" s="75"/>
      <c r="I25" s="37"/>
      <c r="J25" s="37"/>
      <c r="K25" s="37"/>
      <c r="L25" s="37"/>
      <c r="M25" s="37"/>
      <c r="N25" s="37"/>
      <c r="O25" s="37"/>
      <c r="P25" s="64"/>
    </row>
    <row r="26" spans="1:16" ht="25.5">
      <c r="A26" s="303"/>
      <c r="B26" s="44" t="s">
        <v>6</v>
      </c>
      <c r="C26" s="44" t="s">
        <v>73</v>
      </c>
      <c r="D26" s="44" t="s">
        <v>74</v>
      </c>
      <c r="E26" s="44" t="s">
        <v>7</v>
      </c>
      <c r="F26" s="44" t="s">
        <v>8</v>
      </c>
      <c r="G26" s="44" t="s">
        <v>75</v>
      </c>
      <c r="H26" s="75"/>
      <c r="I26" s="37"/>
      <c r="J26" s="37"/>
      <c r="K26" s="37"/>
      <c r="L26" s="38" t="s">
        <v>68</v>
      </c>
      <c r="M26" s="37">
        <f>PRODUCT(J17,K1)</f>
        <v>0</v>
      </c>
      <c r="N26" s="37"/>
      <c r="O26" s="37"/>
      <c r="P26" s="64"/>
    </row>
    <row r="27" spans="1:16" ht="12.75">
      <c r="A27" s="43">
        <v>1</v>
      </c>
      <c r="B27" s="246">
        <v>0.394</v>
      </c>
      <c r="C27" s="193">
        <v>0.369</v>
      </c>
      <c r="D27" s="193">
        <v>0.351</v>
      </c>
      <c r="E27" s="193">
        <v>0.346</v>
      </c>
      <c r="F27" s="193">
        <v>0.324</v>
      </c>
      <c r="G27" s="193" t="s">
        <v>130</v>
      </c>
      <c r="H27" s="75"/>
      <c r="I27" s="37"/>
      <c r="J27" s="37"/>
      <c r="K27" s="37"/>
      <c r="L27" s="38" t="s">
        <v>100</v>
      </c>
      <c r="M27" s="37">
        <f>P$73</f>
        <v>0</v>
      </c>
      <c r="N27" s="37"/>
      <c r="O27" s="37"/>
      <c r="P27" s="64"/>
    </row>
    <row r="28" spans="1:16" ht="12.75">
      <c r="A28" s="43">
        <v>2</v>
      </c>
      <c r="B28" s="191">
        <v>0.519</v>
      </c>
      <c r="C28" s="191">
        <v>0.494</v>
      </c>
      <c r="D28" s="191">
        <v>0.476</v>
      </c>
      <c r="E28" s="191">
        <v>0.471</v>
      </c>
      <c r="F28" s="191">
        <v>0.449</v>
      </c>
      <c r="G28" s="191" t="s">
        <v>130</v>
      </c>
      <c r="H28" s="75"/>
      <c r="I28" s="37"/>
      <c r="J28" s="37"/>
      <c r="K28" s="37"/>
      <c r="L28" s="38" t="s">
        <v>101</v>
      </c>
      <c r="M28" s="37" t="str">
        <f>M91</f>
        <v>Selection N/A</v>
      </c>
      <c r="N28" s="37"/>
      <c r="O28" s="37"/>
      <c r="P28" s="37"/>
    </row>
    <row r="29" spans="1:16" ht="12.75" customHeight="1">
      <c r="A29" s="43">
        <v>3</v>
      </c>
      <c r="B29" s="191">
        <v>0.644</v>
      </c>
      <c r="C29" s="191">
        <v>0.619</v>
      </c>
      <c r="D29" s="191">
        <v>0.601</v>
      </c>
      <c r="E29" s="191">
        <v>0.596</v>
      </c>
      <c r="F29" s="191">
        <v>0.574</v>
      </c>
      <c r="G29" s="191" t="s">
        <v>130</v>
      </c>
      <c r="H29" s="75"/>
      <c r="I29" s="37"/>
      <c r="J29" s="37"/>
      <c r="K29" s="37"/>
      <c r="L29" s="67" t="s">
        <v>69</v>
      </c>
      <c r="M29" s="37">
        <f>IF(M$1&lt;3,M$26,(IF(M$1=3,M$27,(IF(M$1=4,M$28,B$1)))))</f>
        <v>0</v>
      </c>
      <c r="N29" s="37"/>
      <c r="O29" s="37"/>
      <c r="P29" s="64"/>
    </row>
    <row r="30" spans="1:16" ht="12.75">
      <c r="A30" s="43">
        <v>3.5</v>
      </c>
      <c r="B30" s="191">
        <v>0.769</v>
      </c>
      <c r="C30" s="191">
        <v>0.744</v>
      </c>
      <c r="D30" s="191">
        <v>0.726</v>
      </c>
      <c r="E30" s="191">
        <v>0.721</v>
      </c>
      <c r="F30" s="191">
        <v>0.699</v>
      </c>
      <c r="G30" s="191" t="s">
        <v>130</v>
      </c>
      <c r="H30" s="75"/>
      <c r="I30" s="37"/>
      <c r="J30" s="37"/>
      <c r="K30" s="37"/>
      <c r="L30" s="37"/>
      <c r="M30" s="37"/>
      <c r="N30" s="37"/>
      <c r="O30" s="37"/>
      <c r="P30" s="64"/>
    </row>
    <row r="31" spans="1:16" ht="12.75">
      <c r="A31" s="43">
        <v>4</v>
      </c>
      <c r="B31" s="191">
        <f>IF(M$1=1,B41,1)</f>
        <v>1</v>
      </c>
      <c r="C31" s="77"/>
      <c r="D31" s="77"/>
      <c r="E31" s="77"/>
      <c r="F31" s="77"/>
      <c r="G31" s="77"/>
      <c r="H31" s="75"/>
      <c r="I31" s="37"/>
      <c r="J31" s="37"/>
      <c r="K31" s="37"/>
      <c r="L31" s="38" t="s">
        <v>112</v>
      </c>
      <c r="M31" s="37">
        <f>G1*P4</f>
        <v>0</v>
      </c>
      <c r="N31" s="37"/>
      <c r="O31" s="37"/>
      <c r="P31" s="64"/>
    </row>
    <row r="32" spans="1:16" ht="12.75">
      <c r="A32" s="43">
        <v>5</v>
      </c>
      <c r="B32" s="77">
        <v>1.276</v>
      </c>
      <c r="C32" s="77"/>
      <c r="D32" s="77"/>
      <c r="E32" s="77"/>
      <c r="F32" s="77"/>
      <c r="G32" s="77"/>
      <c r="H32" s="75"/>
      <c r="I32" s="37"/>
      <c r="J32" s="37"/>
      <c r="K32" s="37"/>
      <c r="L32" s="38" t="s">
        <v>113</v>
      </c>
      <c r="M32" s="37">
        <f>IF(OR(calculator!F10&gt;0,calculator!F12&gt;0),(F18*P3),(E18*P3))</f>
        <v>0</v>
      </c>
      <c r="N32" s="37"/>
      <c r="O32" s="37"/>
      <c r="P32" s="64"/>
    </row>
    <row r="33" spans="1:16" ht="12.75" customHeight="1">
      <c r="A33" s="43">
        <v>6</v>
      </c>
      <c r="B33" s="77">
        <v>1.513</v>
      </c>
      <c r="C33" s="77"/>
      <c r="D33" s="77"/>
      <c r="E33" s="77"/>
      <c r="F33" s="77"/>
      <c r="G33" s="77"/>
      <c r="H33" s="75"/>
      <c r="I33" s="37"/>
      <c r="J33" s="37"/>
      <c r="K33" s="37"/>
      <c r="L33" s="67" t="s">
        <v>115</v>
      </c>
      <c r="M33" s="37">
        <f>M31+M32</f>
        <v>0</v>
      </c>
      <c r="N33" s="37"/>
      <c r="O33" s="37"/>
      <c r="P33" s="64"/>
    </row>
    <row r="34" spans="1:16" ht="12.75" customHeight="1">
      <c r="A34" s="43">
        <v>7</v>
      </c>
      <c r="B34" s="77">
        <v>1.75</v>
      </c>
      <c r="C34" s="77"/>
      <c r="D34" s="77"/>
      <c r="E34" s="77"/>
      <c r="F34" s="77"/>
      <c r="G34" s="77"/>
      <c r="H34" s="75"/>
      <c r="I34" s="37"/>
      <c r="J34" s="37"/>
      <c r="K34" s="37"/>
      <c r="L34" s="37"/>
      <c r="M34" s="37"/>
      <c r="N34" s="37"/>
      <c r="O34" s="37"/>
      <c r="P34" s="64"/>
    </row>
    <row r="35" spans="1:16" ht="12.75">
      <c r="A35" s="43">
        <v>8</v>
      </c>
      <c r="B35" s="77">
        <v>1.987</v>
      </c>
      <c r="C35" s="77"/>
      <c r="D35" s="77"/>
      <c r="E35" s="77"/>
      <c r="F35" s="77"/>
      <c r="G35" s="77"/>
      <c r="H35" s="75"/>
      <c r="I35" s="37"/>
      <c r="J35" s="37" t="s">
        <v>120</v>
      </c>
      <c r="K35" s="37"/>
      <c r="L35" s="37"/>
      <c r="M35" s="37"/>
      <c r="N35" s="37"/>
      <c r="O35" s="37"/>
      <c r="P35" s="64"/>
    </row>
    <row r="36" spans="1:16" ht="12.75">
      <c r="A36" s="43">
        <v>9</v>
      </c>
      <c r="B36" s="77">
        <v>2.224</v>
      </c>
      <c r="C36" s="77"/>
      <c r="D36" s="77"/>
      <c r="E36" s="77"/>
      <c r="F36" s="77"/>
      <c r="G36" s="77"/>
      <c r="H36" s="75"/>
      <c r="I36" s="37"/>
      <c r="J36" s="37" t="s">
        <v>119</v>
      </c>
      <c r="K36" s="37"/>
      <c r="L36" s="37"/>
      <c r="M36" s="37"/>
      <c r="N36" s="37"/>
      <c r="O36" s="37"/>
      <c r="P36" s="64"/>
    </row>
    <row r="37" spans="1:16" ht="12.75">
      <c r="A37" s="43">
        <v>10</v>
      </c>
      <c r="B37" s="77">
        <v>2.461</v>
      </c>
      <c r="C37" s="77"/>
      <c r="D37" s="77"/>
      <c r="E37" s="77"/>
      <c r="F37" s="77"/>
      <c r="G37" s="77"/>
      <c r="H37" s="75"/>
      <c r="I37" s="37"/>
      <c r="J37" s="37" t="s">
        <v>117</v>
      </c>
      <c r="K37" s="37"/>
      <c r="L37" s="37"/>
      <c r="M37" s="37"/>
      <c r="N37" s="64"/>
      <c r="O37" s="37"/>
      <c r="P37" s="64"/>
    </row>
    <row r="38" spans="1:16" ht="12.75">
      <c r="A38" s="43">
        <v>11</v>
      </c>
      <c r="B38" s="77">
        <v>2.698</v>
      </c>
      <c r="C38" s="77"/>
      <c r="D38" s="77"/>
      <c r="E38" s="77"/>
      <c r="F38" s="77"/>
      <c r="G38" s="77"/>
      <c r="H38" s="75"/>
      <c r="I38" s="37"/>
      <c r="J38" s="37" t="s">
        <v>121</v>
      </c>
      <c r="K38" s="37"/>
      <c r="L38" s="37"/>
      <c r="M38" s="37"/>
      <c r="N38" s="64"/>
      <c r="O38" s="37"/>
      <c r="P38" s="64"/>
    </row>
    <row r="39" spans="1:16" ht="12.75">
      <c r="A39" s="43">
        <v>12</v>
      </c>
      <c r="B39" s="77">
        <v>2.935</v>
      </c>
      <c r="C39" s="77"/>
      <c r="D39" s="77"/>
      <c r="E39" s="77"/>
      <c r="F39" s="77"/>
      <c r="G39" s="77"/>
      <c r="H39" s="75"/>
      <c r="I39" s="37"/>
      <c r="J39" s="37"/>
      <c r="K39" s="37"/>
      <c r="L39" s="37"/>
      <c r="M39" s="37"/>
      <c r="N39" s="64"/>
      <c r="O39" s="37"/>
      <c r="P39" s="64"/>
    </row>
    <row r="40" spans="1:16" ht="12.75">
      <c r="A40" s="43">
        <v>13</v>
      </c>
      <c r="B40" s="77">
        <v>3.172</v>
      </c>
      <c r="C40" s="77"/>
      <c r="D40" s="77"/>
      <c r="E40" s="77"/>
      <c r="F40" s="77"/>
      <c r="G40" s="77"/>
      <c r="H40" s="75"/>
      <c r="I40" s="37"/>
      <c r="J40" s="37"/>
      <c r="K40" s="37"/>
      <c r="L40" s="37"/>
      <c r="M40" s="37"/>
      <c r="N40" s="64"/>
      <c r="O40" s="37"/>
      <c r="P40" s="64"/>
    </row>
    <row r="41" spans="1:16" ht="13.5" thickBot="1">
      <c r="A41" s="74" t="s">
        <v>2</v>
      </c>
      <c r="B41" s="193">
        <v>0.242</v>
      </c>
      <c r="C41" s="193">
        <v>0.223</v>
      </c>
      <c r="D41" s="193">
        <v>0.213</v>
      </c>
      <c r="E41" s="193">
        <v>0.21</v>
      </c>
      <c r="F41" s="193">
        <v>0.199</v>
      </c>
      <c r="G41" s="193" t="s">
        <v>130</v>
      </c>
      <c r="H41" s="75"/>
      <c r="I41" s="37"/>
      <c r="J41" s="37"/>
      <c r="K41" s="37"/>
      <c r="L41" s="37"/>
      <c r="M41" s="37"/>
      <c r="N41" s="64"/>
      <c r="O41" s="37"/>
      <c r="P41" s="64"/>
    </row>
    <row r="42" spans="1:16" ht="12.75" customHeight="1">
      <c r="A42" s="78" t="s">
        <v>32</v>
      </c>
      <c r="B42" s="58" t="str">
        <f>IF(AND(M$2&lt;9,M$2&gt;0),B$43,(IF(AND(M$2&gt;8,M$2&lt;16),B$44,A1)))</f>
        <v>No Data</v>
      </c>
      <c r="C42" s="64">
        <f>IF(M$2=1,C$27,(IF(M$2=2,C$28,(IF(M$2=3,C$29,(IF(M$2=4,C$30,(IF(M$2=5,C$41,H23)))))))))</f>
        <v>0</v>
      </c>
      <c r="D42" s="64">
        <f>IF(M$2=1,D$27,(IF(M$2=2,D$28,(IF(M$2=3,D$29,(IF(M$2=4,D$30,(IF(M$2=5,D$41,H23)))))))))</f>
        <v>0</v>
      </c>
      <c r="E42" s="64">
        <f>IF(M$2=1,E$27,(IF(M$2=2,E$28,(IF(M$2=3,E$29,(IF(M$2=4,E$30,(IF(M$2=5,E$41,H23)))))))))</f>
        <v>0</v>
      </c>
      <c r="F42" s="64">
        <f>IF(M$2=1,F$27,(IF(M$2=2,F$28,(IF(M$2=3,F$29,(IF(M$2=4,F$30,(IF(M$2=5,F$41,H23)))))))))</f>
        <v>0</v>
      </c>
      <c r="G42" s="64">
        <f>IF(M$2=1,G$27,(IF(M$2=2,G$28,(IF(M$2=3,G$29,(IF(M$2=4,G$30,(IF(M$2=5,G$41,H23)))))))))</f>
        <v>0</v>
      </c>
      <c r="H42" s="75"/>
      <c r="I42" s="37"/>
      <c r="J42" s="37"/>
      <c r="K42" s="37"/>
      <c r="L42" s="37"/>
      <c r="M42" s="37"/>
      <c r="N42" s="64"/>
      <c r="O42" s="37"/>
      <c r="P42" s="64"/>
    </row>
    <row r="43" spans="1:16" ht="12.75">
      <c r="A43" s="74"/>
      <c r="B43" s="64">
        <f>IF(M$2=1,B$27,(IF(M$2=2,B$28,(IF(M$2=3,B$29,(IF(M$2=4,B$30,(IF(M$2=5,B$31,(IF(M$2=6,B$32,(IF(M$2=7,B$33,(IF(M$2=8,B$34,0)))))))))))))))</f>
        <v>0</v>
      </c>
      <c r="C43" s="37"/>
      <c r="D43" s="64"/>
      <c r="E43" s="64"/>
      <c r="F43" s="64"/>
      <c r="G43" s="64"/>
      <c r="H43" s="75"/>
      <c r="I43" s="37"/>
      <c r="J43" s="37"/>
      <c r="K43" s="37"/>
      <c r="L43" s="37"/>
      <c r="M43" s="37"/>
      <c r="N43" s="64"/>
      <c r="O43" s="37"/>
      <c r="P43" s="64"/>
    </row>
    <row r="44" spans="1:16" ht="13.5" thickBot="1">
      <c r="A44" s="60"/>
      <c r="B44" s="61">
        <f>IF(M$2=9,B$35,(IF(M$2=10,B$36,(IF(M$2=11,B$37,(IF(M$2=12,B$38,(IF(M$2=13,B$39,(IF(M$2=14,B$40,(IF(M$2=15,B$41,0)))))))))))))</f>
        <v>0</v>
      </c>
      <c r="C44" s="61"/>
      <c r="D44" s="61"/>
      <c r="E44" s="61"/>
      <c r="F44" s="61"/>
      <c r="G44" s="61"/>
      <c r="H44" s="62"/>
      <c r="I44" s="37"/>
      <c r="J44" s="37"/>
      <c r="K44" s="37"/>
      <c r="L44" s="37"/>
      <c r="M44" s="37"/>
      <c r="N44" s="64"/>
      <c r="O44" s="37"/>
      <c r="P44" s="37"/>
    </row>
    <row r="45" spans="1:16" ht="13.5" thickBo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64"/>
      <c r="O45" s="37"/>
      <c r="P45" s="37"/>
    </row>
    <row r="46" spans="1:17" ht="12.75">
      <c r="A46" s="259" t="s">
        <v>9</v>
      </c>
      <c r="B46" s="260"/>
      <c r="C46" s="260"/>
      <c r="D46" s="260"/>
      <c r="E46" s="72"/>
      <c r="F46" s="72"/>
      <c r="G46" s="58"/>
      <c r="H46" s="73" t="str">
        <f>IF(M$3=1,B$63,(IF(M$3=2,C$63,(IF(M$3=3,D$63,(IF(M$3=4,E$63,(IF(M$3=5,F$63,"Sort N/A")))))))))</f>
        <v>Sort N/A</v>
      </c>
      <c r="I46" s="79"/>
      <c r="J46" s="80"/>
      <c r="K46" s="81"/>
      <c r="L46" s="79"/>
      <c r="M46" s="81"/>
      <c r="N46" s="82"/>
      <c r="O46" s="82"/>
      <c r="P46" s="83"/>
      <c r="Q46" s="4"/>
    </row>
    <row r="47" spans="1:17" ht="12.75">
      <c r="A47" s="84"/>
      <c r="B47" s="64"/>
      <c r="C47" s="64"/>
      <c r="D47" s="64"/>
      <c r="E47" s="64"/>
      <c r="F47" s="64"/>
      <c r="G47" s="64"/>
      <c r="H47" s="75">
        <f>IF(M$2&gt;13,"Weight N/A",(IF(M$3&gt;5,"Sort N/A",0)))</f>
        <v>0</v>
      </c>
      <c r="I47" s="81"/>
      <c r="J47" s="85"/>
      <c r="K47" s="81"/>
      <c r="L47" s="86"/>
      <c r="M47" s="81"/>
      <c r="N47" s="87"/>
      <c r="O47" s="87"/>
      <c r="P47" s="87"/>
      <c r="Q47" s="4"/>
    </row>
    <row r="48" spans="1:17" ht="25.5">
      <c r="A48" s="43" t="s">
        <v>10</v>
      </c>
      <c r="B48" s="44" t="s">
        <v>4</v>
      </c>
      <c r="C48" s="44" t="s">
        <v>5</v>
      </c>
      <c r="D48" s="44"/>
      <c r="E48" s="44"/>
      <c r="F48" s="44"/>
      <c r="G48" s="64"/>
      <c r="H48" s="75"/>
      <c r="I48" s="81"/>
      <c r="J48" s="85"/>
      <c r="K48" s="81"/>
      <c r="L48" s="86"/>
      <c r="M48" s="81"/>
      <c r="N48" s="87"/>
      <c r="O48" s="87"/>
      <c r="P48" s="87"/>
      <c r="Q48" s="4"/>
    </row>
    <row r="49" spans="1:17" ht="25.5">
      <c r="A49" s="88" t="s">
        <v>11</v>
      </c>
      <c r="B49" s="44" t="s">
        <v>6</v>
      </c>
      <c r="C49" s="44" t="s">
        <v>76</v>
      </c>
      <c r="D49" s="44" t="s">
        <v>74</v>
      </c>
      <c r="E49" s="44" t="s">
        <v>152</v>
      </c>
      <c r="F49" s="44" t="s">
        <v>153</v>
      </c>
      <c r="G49" s="64"/>
      <c r="H49" s="75"/>
      <c r="I49" s="81"/>
      <c r="J49" s="85"/>
      <c r="K49" s="81"/>
      <c r="L49" s="86"/>
      <c r="M49" s="81"/>
      <c r="N49" s="87"/>
      <c r="O49" s="87"/>
      <c r="P49" s="87"/>
      <c r="Q49" s="4"/>
    </row>
    <row r="50" spans="1:17" ht="12.75">
      <c r="A50" s="89">
        <v>1</v>
      </c>
      <c r="B50" s="278">
        <v>0.727</v>
      </c>
      <c r="C50" s="278">
        <v>0.702</v>
      </c>
      <c r="D50" s="278">
        <v>0.57</v>
      </c>
      <c r="E50" s="278">
        <v>0.479</v>
      </c>
      <c r="F50" s="281">
        <v>0.364</v>
      </c>
      <c r="G50" s="64"/>
      <c r="H50" s="75"/>
      <c r="I50" s="81"/>
      <c r="J50" s="85"/>
      <c r="K50" s="81"/>
      <c r="L50" s="86"/>
      <c r="M50" s="81"/>
      <c r="N50" s="87"/>
      <c r="O50" s="87"/>
      <c r="P50" s="90"/>
      <c r="Q50" s="4"/>
    </row>
    <row r="51" spans="1:17" ht="12.75">
      <c r="A51" s="43">
        <v>2</v>
      </c>
      <c r="B51" s="279">
        <v>0.897</v>
      </c>
      <c r="C51" s="279">
        <v>0.872</v>
      </c>
      <c r="D51" s="279">
        <v>0.74</v>
      </c>
      <c r="E51" s="279">
        <v>0.649</v>
      </c>
      <c r="F51" s="282">
        <v>0.534</v>
      </c>
      <c r="G51" s="64"/>
      <c r="H51" s="75"/>
      <c r="I51" s="81"/>
      <c r="J51" s="81"/>
      <c r="K51" s="81"/>
      <c r="L51" s="86"/>
      <c r="M51" s="81"/>
      <c r="N51" s="87"/>
      <c r="O51" s="87"/>
      <c r="P51" s="87"/>
      <c r="Q51" s="4"/>
    </row>
    <row r="52" spans="1:17" ht="12.75">
      <c r="A52" s="43">
        <v>3</v>
      </c>
      <c r="B52" s="279">
        <v>1.067</v>
      </c>
      <c r="C52" s="279">
        <v>1.042</v>
      </c>
      <c r="D52" s="279">
        <v>0.91</v>
      </c>
      <c r="E52" s="279">
        <v>0.819</v>
      </c>
      <c r="F52" s="282">
        <v>0.704</v>
      </c>
      <c r="G52" s="64"/>
      <c r="H52" s="75"/>
      <c r="I52" s="81"/>
      <c r="J52" s="81"/>
      <c r="K52" s="81"/>
      <c r="L52" s="86"/>
      <c r="M52" s="81"/>
      <c r="N52" s="87"/>
      <c r="O52" s="87"/>
      <c r="P52" s="87"/>
      <c r="Q52" s="4"/>
    </row>
    <row r="53" spans="1:17" ht="12.75">
      <c r="A53" s="43">
        <v>4</v>
      </c>
      <c r="B53" s="279">
        <v>1.237</v>
      </c>
      <c r="C53" s="279">
        <v>1.212</v>
      </c>
      <c r="D53" s="279">
        <v>1.08</v>
      </c>
      <c r="E53" s="279">
        <v>0.989</v>
      </c>
      <c r="F53" s="282">
        <v>0.874</v>
      </c>
      <c r="G53" s="64"/>
      <c r="H53" s="75"/>
      <c r="I53" s="81"/>
      <c r="J53" s="81"/>
      <c r="K53" s="81"/>
      <c r="L53" s="86"/>
      <c r="M53" s="81"/>
      <c r="N53" s="91"/>
      <c r="O53" s="81"/>
      <c r="P53" s="81"/>
      <c r="Q53" s="4"/>
    </row>
    <row r="54" spans="1:17" ht="12.75">
      <c r="A54" s="43">
        <v>5</v>
      </c>
      <c r="B54" s="279">
        <v>1.407</v>
      </c>
      <c r="C54" s="279">
        <v>1.382</v>
      </c>
      <c r="D54" s="279">
        <v>1.25</v>
      </c>
      <c r="E54" s="279">
        <v>1.159</v>
      </c>
      <c r="F54" s="282">
        <v>1.044</v>
      </c>
      <c r="G54" s="64"/>
      <c r="H54" s="75"/>
      <c r="I54" s="81"/>
      <c r="J54" s="81"/>
      <c r="K54" s="81"/>
      <c r="L54" s="86"/>
      <c r="M54" s="81"/>
      <c r="N54" s="87"/>
      <c r="O54" s="87"/>
      <c r="P54" s="81"/>
      <c r="Q54" s="4"/>
    </row>
    <row r="55" spans="1:17" ht="12.75">
      <c r="A55" s="43">
        <v>6</v>
      </c>
      <c r="B55" s="279">
        <v>1.577</v>
      </c>
      <c r="C55" s="279">
        <v>1.552</v>
      </c>
      <c r="D55" s="279">
        <v>1.42</v>
      </c>
      <c r="E55" s="279">
        <v>1.329</v>
      </c>
      <c r="F55" s="282">
        <v>1.214</v>
      </c>
      <c r="G55" s="64"/>
      <c r="H55" s="75"/>
      <c r="I55" s="81"/>
      <c r="J55" s="81"/>
      <c r="K55" s="81"/>
      <c r="L55" s="86"/>
      <c r="M55" s="81"/>
      <c r="N55" s="87"/>
      <c r="O55" s="81"/>
      <c r="P55" s="81"/>
      <c r="Q55" s="4"/>
    </row>
    <row r="56" spans="1:17" ht="12.75">
      <c r="A56" s="43">
        <v>7</v>
      </c>
      <c r="B56" s="279">
        <v>1.747</v>
      </c>
      <c r="C56" s="279">
        <v>1.722</v>
      </c>
      <c r="D56" s="279">
        <v>1.59</v>
      </c>
      <c r="E56" s="279">
        <v>1.499</v>
      </c>
      <c r="F56" s="282">
        <v>1.384</v>
      </c>
      <c r="G56" s="64"/>
      <c r="H56" s="75"/>
      <c r="I56" s="81"/>
      <c r="J56" s="81"/>
      <c r="K56" s="81"/>
      <c r="L56" s="86"/>
      <c r="M56" s="81"/>
      <c r="N56" s="87"/>
      <c r="O56" s="81"/>
      <c r="P56" s="81"/>
      <c r="Q56" s="4"/>
    </row>
    <row r="57" spans="1:17" ht="12.75">
      <c r="A57" s="43">
        <v>8</v>
      </c>
      <c r="B57" s="279">
        <v>1.917</v>
      </c>
      <c r="C57" s="279">
        <v>1.892</v>
      </c>
      <c r="D57" s="279">
        <v>1.76</v>
      </c>
      <c r="E57" s="279">
        <v>1.669</v>
      </c>
      <c r="F57" s="282">
        <v>1.554</v>
      </c>
      <c r="G57" s="64"/>
      <c r="H57" s="75"/>
      <c r="I57" s="81"/>
      <c r="J57" s="81"/>
      <c r="K57" s="81"/>
      <c r="L57" s="86"/>
      <c r="M57" s="81"/>
      <c r="N57" s="87"/>
      <c r="O57" s="81"/>
      <c r="P57" s="81"/>
      <c r="Q57" s="4"/>
    </row>
    <row r="58" spans="1:17" ht="12.75">
      <c r="A58" s="43">
        <v>9</v>
      </c>
      <c r="B58" s="279">
        <v>2.087</v>
      </c>
      <c r="C58" s="279">
        <v>2.062</v>
      </c>
      <c r="D58" s="279">
        <v>1.93</v>
      </c>
      <c r="E58" s="279">
        <v>1.839</v>
      </c>
      <c r="F58" s="282">
        <v>1.724</v>
      </c>
      <c r="G58" s="64"/>
      <c r="H58" s="75"/>
      <c r="I58" s="81"/>
      <c r="J58" s="81"/>
      <c r="K58" s="81"/>
      <c r="L58" s="86"/>
      <c r="M58" s="81"/>
      <c r="N58" s="81"/>
      <c r="O58" s="81"/>
      <c r="P58" s="81"/>
      <c r="Q58" s="4"/>
    </row>
    <row r="59" spans="1:17" ht="12.75">
      <c r="A59" s="43">
        <v>10</v>
      </c>
      <c r="B59" s="279">
        <v>2.257</v>
      </c>
      <c r="C59" s="279">
        <v>2.232</v>
      </c>
      <c r="D59" s="279">
        <v>2.1</v>
      </c>
      <c r="E59" s="279">
        <v>2.009</v>
      </c>
      <c r="F59" s="282">
        <v>1.894</v>
      </c>
      <c r="G59" s="64"/>
      <c r="H59" s="75"/>
      <c r="I59" s="81"/>
      <c r="J59" s="81"/>
      <c r="K59" s="81"/>
      <c r="L59" s="86"/>
      <c r="M59" s="81"/>
      <c r="N59" s="81"/>
      <c r="O59" s="81"/>
      <c r="P59" s="81"/>
      <c r="Q59" s="4"/>
    </row>
    <row r="60" spans="1:256" ht="12.75">
      <c r="A60" s="43">
        <v>11</v>
      </c>
      <c r="B60" s="279">
        <v>2.427</v>
      </c>
      <c r="C60" s="279">
        <v>2.402</v>
      </c>
      <c r="D60" s="279">
        <v>2.27</v>
      </c>
      <c r="E60" s="279">
        <v>2.179</v>
      </c>
      <c r="F60" s="282">
        <v>2.064</v>
      </c>
      <c r="G60" s="92"/>
      <c r="H60" s="93"/>
      <c r="I60" s="81"/>
      <c r="J60" s="81"/>
      <c r="K60" s="81"/>
      <c r="L60" s="86"/>
      <c r="M60" s="81"/>
      <c r="N60" s="81"/>
      <c r="O60" s="81"/>
      <c r="P60" s="81"/>
      <c r="Q60" s="5"/>
      <c r="R60" s="1"/>
      <c r="S60" s="1"/>
      <c r="T60" s="1"/>
      <c r="V60" s="309"/>
      <c r="W60" s="310"/>
      <c r="X60" s="310"/>
      <c r="Y60" s="310"/>
      <c r="Z60" s="1"/>
      <c r="AA60" s="1"/>
      <c r="AC60" s="309"/>
      <c r="AD60" s="310"/>
      <c r="AE60" s="310"/>
      <c r="AF60" s="310"/>
      <c r="AG60" s="1"/>
      <c r="AH60" s="1"/>
      <c r="AJ60" s="309"/>
      <c r="AK60" s="310"/>
      <c r="AL60" s="310"/>
      <c r="AM60" s="310"/>
      <c r="AN60" s="1"/>
      <c r="AO60" s="1"/>
      <c r="AQ60" s="309"/>
      <c r="AR60" s="310"/>
      <c r="AS60" s="310"/>
      <c r="AT60" s="310"/>
      <c r="AU60" s="1"/>
      <c r="AV60" s="1"/>
      <c r="AX60" s="309"/>
      <c r="AY60" s="310"/>
      <c r="AZ60" s="310"/>
      <c r="BA60" s="310"/>
      <c r="BB60" s="1"/>
      <c r="BC60" s="1"/>
      <c r="BE60" s="309"/>
      <c r="BF60" s="310"/>
      <c r="BG60" s="310"/>
      <c r="BH60" s="310"/>
      <c r="BI60" s="1"/>
      <c r="BJ60" s="1"/>
      <c r="BL60" s="309"/>
      <c r="BM60" s="310"/>
      <c r="BN60" s="310"/>
      <c r="BO60" s="310"/>
      <c r="BP60" s="1"/>
      <c r="BQ60" s="1"/>
      <c r="BS60" s="309"/>
      <c r="BT60" s="310"/>
      <c r="BU60" s="310"/>
      <c r="BV60" s="310"/>
      <c r="BW60" s="1"/>
      <c r="BX60" s="1"/>
      <c r="BZ60" s="309"/>
      <c r="CA60" s="310"/>
      <c r="CB60" s="310"/>
      <c r="CC60" s="310"/>
      <c r="CD60" s="1"/>
      <c r="CE60" s="1"/>
      <c r="CG60" s="309"/>
      <c r="CH60" s="310"/>
      <c r="CI60" s="310"/>
      <c r="CJ60" s="310"/>
      <c r="CK60" s="1"/>
      <c r="CL60" s="1"/>
      <c r="CN60" s="309"/>
      <c r="CO60" s="310"/>
      <c r="CP60" s="310"/>
      <c r="CQ60" s="310"/>
      <c r="CR60" s="1"/>
      <c r="CS60" s="1"/>
      <c r="CU60" s="309"/>
      <c r="CV60" s="310"/>
      <c r="CW60" s="310"/>
      <c r="CX60" s="310"/>
      <c r="CY60" s="1"/>
      <c r="CZ60" s="1"/>
      <c r="DB60" s="309"/>
      <c r="DC60" s="310"/>
      <c r="DD60" s="310"/>
      <c r="DE60" s="310"/>
      <c r="DF60" s="1"/>
      <c r="DG60" s="1"/>
      <c r="DI60" s="309"/>
      <c r="DJ60" s="310"/>
      <c r="DK60" s="310"/>
      <c r="DL60" s="310"/>
      <c r="DM60" s="1"/>
      <c r="DN60" s="1"/>
      <c r="DP60" s="309"/>
      <c r="DQ60" s="310"/>
      <c r="DR60" s="310"/>
      <c r="DS60" s="310"/>
      <c r="DT60" s="1"/>
      <c r="DU60" s="1"/>
      <c r="DW60" s="309"/>
      <c r="DX60" s="310"/>
      <c r="DY60" s="310"/>
      <c r="DZ60" s="310"/>
      <c r="EA60" s="1"/>
      <c r="EB60" s="1"/>
      <c r="ED60" s="309"/>
      <c r="EE60" s="310"/>
      <c r="EF60" s="310"/>
      <c r="EG60" s="310"/>
      <c r="EH60" s="1"/>
      <c r="EI60" s="1"/>
      <c r="EK60" s="309"/>
      <c r="EL60" s="310"/>
      <c r="EM60" s="310"/>
      <c r="EN60" s="310"/>
      <c r="EO60" s="1"/>
      <c r="EP60" s="1"/>
      <c r="ER60" s="309"/>
      <c r="ES60" s="310"/>
      <c r="ET60" s="310"/>
      <c r="EU60" s="310"/>
      <c r="EV60" s="1"/>
      <c r="EW60" s="1"/>
      <c r="EY60" s="309"/>
      <c r="EZ60" s="310"/>
      <c r="FA60" s="310"/>
      <c r="FB60" s="310"/>
      <c r="FC60" s="1"/>
      <c r="FD60" s="1"/>
      <c r="FF60" s="309"/>
      <c r="FG60" s="310"/>
      <c r="FH60" s="310"/>
      <c r="FI60" s="310"/>
      <c r="FJ60" s="1"/>
      <c r="FK60" s="1"/>
      <c r="FM60" s="309"/>
      <c r="FN60" s="310"/>
      <c r="FO60" s="310"/>
      <c r="FP60" s="310"/>
      <c r="FQ60" s="1"/>
      <c r="FR60" s="1"/>
      <c r="FT60" s="309"/>
      <c r="FU60" s="310"/>
      <c r="FV60" s="310"/>
      <c r="FW60" s="310"/>
      <c r="FX60" s="1"/>
      <c r="FY60" s="1"/>
      <c r="GA60" s="309"/>
      <c r="GB60" s="310"/>
      <c r="GC60" s="310"/>
      <c r="GD60" s="310"/>
      <c r="GE60" s="1"/>
      <c r="GF60" s="1"/>
      <c r="GH60" s="309"/>
      <c r="GI60" s="310"/>
      <c r="GJ60" s="310"/>
      <c r="GK60" s="310"/>
      <c r="GL60" s="1"/>
      <c r="GM60" s="1"/>
      <c r="GO60" s="309"/>
      <c r="GP60" s="310"/>
      <c r="GQ60" s="310"/>
      <c r="GR60" s="310"/>
      <c r="GS60" s="1"/>
      <c r="GT60" s="1"/>
      <c r="GV60" s="309"/>
      <c r="GW60" s="310"/>
      <c r="GX60" s="310"/>
      <c r="GY60" s="310"/>
      <c r="GZ60" s="1"/>
      <c r="HA60" s="1"/>
      <c r="HC60" s="309"/>
      <c r="HD60" s="310"/>
      <c r="HE60" s="310"/>
      <c r="HF60" s="310"/>
      <c r="HG60" s="1"/>
      <c r="HH60" s="1"/>
      <c r="HJ60" s="309"/>
      <c r="HK60" s="310"/>
      <c r="HL60" s="310"/>
      <c r="HM60" s="310"/>
      <c r="HN60" s="1"/>
      <c r="HO60" s="1"/>
      <c r="HQ60" s="309"/>
      <c r="HR60" s="310"/>
      <c r="HS60" s="310"/>
      <c r="HT60" s="310"/>
      <c r="HU60" s="1"/>
      <c r="HV60" s="1"/>
      <c r="HX60" s="309"/>
      <c r="HY60" s="310"/>
      <c r="HZ60" s="310"/>
      <c r="IA60" s="310"/>
      <c r="IB60" s="1"/>
      <c r="IC60" s="1"/>
      <c r="IE60" s="309"/>
      <c r="IF60" s="310"/>
      <c r="IG60" s="310"/>
      <c r="IH60" s="310"/>
      <c r="II60" s="1"/>
      <c r="IJ60" s="1"/>
      <c r="IL60" s="309"/>
      <c r="IM60" s="310"/>
      <c r="IN60" s="310"/>
      <c r="IO60" s="310"/>
      <c r="IP60" s="1"/>
      <c r="IQ60" s="1"/>
      <c r="IS60" s="309"/>
      <c r="IT60" s="310"/>
      <c r="IU60" s="310"/>
      <c r="IV60" s="310"/>
    </row>
    <row r="61" spans="1:17" ht="12.75">
      <c r="A61" s="43">
        <v>12</v>
      </c>
      <c r="B61" s="279">
        <v>2.597</v>
      </c>
      <c r="C61" s="279">
        <v>2.572</v>
      </c>
      <c r="D61" s="279">
        <v>2.44</v>
      </c>
      <c r="E61" s="279">
        <v>2.349</v>
      </c>
      <c r="F61" s="282">
        <v>2.234</v>
      </c>
      <c r="G61" s="64"/>
      <c r="H61" s="75"/>
      <c r="I61" s="81"/>
      <c r="J61" s="81"/>
      <c r="K61" s="81"/>
      <c r="L61" s="81"/>
      <c r="M61" s="81"/>
      <c r="N61" s="94"/>
      <c r="O61" s="94"/>
      <c r="P61" s="94"/>
      <c r="Q61" s="4"/>
    </row>
    <row r="62" spans="1:17" ht="12.75" customHeight="1" thickBot="1">
      <c r="A62" s="43">
        <v>13</v>
      </c>
      <c r="B62" s="280">
        <v>2.767</v>
      </c>
      <c r="C62" s="280">
        <v>2.742</v>
      </c>
      <c r="D62" s="280">
        <v>2.61</v>
      </c>
      <c r="E62" s="280">
        <v>2.519</v>
      </c>
      <c r="F62" s="283">
        <v>2.404</v>
      </c>
      <c r="G62" s="64"/>
      <c r="H62" s="75"/>
      <c r="I62" s="81"/>
      <c r="J62" s="81"/>
      <c r="K62" s="81"/>
      <c r="L62" s="81"/>
      <c r="M62" s="81"/>
      <c r="N62" s="81"/>
      <c r="O62" s="81"/>
      <c r="P62" s="81"/>
      <c r="Q62" s="4"/>
    </row>
    <row r="63" spans="1:17" ht="12.75" customHeight="1">
      <c r="A63" s="95" t="s">
        <v>31</v>
      </c>
      <c r="B63" s="58">
        <f>IF(AND(M$2&lt;9,M$2&gt;0),B$64,(IF(AND(M$2&gt;8,M$2&lt;14),B$65,H47)))</f>
        <v>0</v>
      </c>
      <c r="C63" s="58">
        <f>IF(AND(M$2&lt;9,M$2&gt;0),C$64,(IF(AND(M$2&gt;8,M$2&lt;14),C$65,H47)))</f>
        <v>0</v>
      </c>
      <c r="D63" s="58">
        <f>IF(AND(M$2&lt;9,M$2&gt;0),D$64,(IF(AND(M$2&gt;8,M$2&lt;14),D$65,H47)))</f>
        <v>0</v>
      </c>
      <c r="E63" s="58">
        <f>IF(AND(M$2&lt;9,M$2&gt;0),E$64,(IF(AND(M$2&gt;8,M$2&lt;14),E$65,H47)))</f>
        <v>0</v>
      </c>
      <c r="F63" s="59">
        <f>IF(AND(M$2&lt;9,M$2&gt;0),F$64,(IF(AND(M$2&gt;8,M$2&lt;14),F$65,H47)))</f>
        <v>0</v>
      </c>
      <c r="G63" s="64"/>
      <c r="H63" s="75"/>
      <c r="I63" s="81"/>
      <c r="J63" s="81"/>
      <c r="K63" s="81"/>
      <c r="L63" s="56"/>
      <c r="M63" s="81"/>
      <c r="N63" s="81"/>
      <c r="O63" s="81"/>
      <c r="P63" s="81"/>
      <c r="Q63" s="4"/>
    </row>
    <row r="64" spans="1:17" ht="12.75" customHeight="1">
      <c r="A64" s="43"/>
      <c r="B64" s="64">
        <f>IF(M$2=1,B$50,(IF(M$2=2,B$51,(IF(M$2=3,B$52,(IF(M$2=4,B$53,(IF(M$2=5,B$54,(IF(M$2=6,B$55,(IF(M$2=7,B$56,(IF(M$2=8,B$57,H47)))))))))))))))</f>
        <v>0</v>
      </c>
      <c r="C64" s="64">
        <f>IF(M$2=1,C$50,(IF(M$2=2,C$51,(IF(M$2=3,C$52,(IF(M$2=4,C$53,(IF(M$2=5,C$54,(IF(M$2=6,C$55,(IF(M$2=7,C$56,(IF(M$2=8,C$57,H47)))))))))))))))</f>
        <v>0</v>
      </c>
      <c r="D64" s="64">
        <f>IF(M$2=1,D$50,(IF(M$2=2,D$51,(IF(M$2=3,D$52,(IF(M$2=4,D$53,(IF(M$2=5,D$54,(IF(M$2=6,D$55,(IF(M$2=7,D$56,(IF(M$2=8,D$57,H47)))))))))))))))</f>
        <v>0</v>
      </c>
      <c r="E64" s="64">
        <f>IF(M$2=1,E$50,(IF(M$2=2,E$51,(IF(M$2=3,E$52,(IF(M$2=4,E$53,(IF(M$2=5,E$54,(IF(M$2=6,E$55,(IF(M$2=7,E$56,(IF(M$2=8,E$57,H47)))))))))))))))</f>
        <v>0</v>
      </c>
      <c r="F64" s="75">
        <f>IF(M$2=1,F$50,(IF(M$2=2,F$51,(IF(M$2=3,F$52,(IF(M$2=4,F$53,(IF(M$2=5,F$54,(IF(M$2=6,F$55,(IF(M$2=7,F$56,(IF(M$2=8,F$57,H47)))))))))))))))</f>
        <v>0</v>
      </c>
      <c r="G64" s="64"/>
      <c r="H64" s="75"/>
      <c r="I64" s="81"/>
      <c r="J64" s="81"/>
      <c r="K64" s="81"/>
      <c r="L64" s="56"/>
      <c r="M64" s="81"/>
      <c r="N64" s="81"/>
      <c r="O64" s="81"/>
      <c r="P64" s="81"/>
      <c r="Q64" s="4"/>
    </row>
    <row r="65" spans="1:17" ht="12.75" customHeight="1" thickBot="1">
      <c r="A65" s="43"/>
      <c r="B65" s="64">
        <f>IF(M$2=13,B$62,(IF(M$2=12,B$61,(IF(M$2=11,B$60,(IF(M$2=10,B$59,(IF(M$2=9,B$58,H47)))))))))</f>
        <v>0</v>
      </c>
      <c r="C65" s="64">
        <f>IF(M$2=13,C$62,(IF(M$2=12,C$61,(IF(M$2=11,C$60,(IF(M$2=10,C$59,(IF(M$2=9,C$58,H47)))))))))</f>
        <v>0</v>
      </c>
      <c r="D65" s="64">
        <f>IF(M$2=13,D$62,(IF(M$2=12,D$61,(IF(M$2=11,D$60,(IF(M$2=10,D$59,(IF(M$2=9,D$58,H47)))))))))</f>
        <v>0</v>
      </c>
      <c r="E65" s="64">
        <f>IF(M$2=13,E$62,(IF(M$2=12,E$61,(IF(M$2=11,E$60,(IF(M$2=10,E$59,(IF(M$2=9,E$58,H47)))))))))</f>
        <v>0</v>
      </c>
      <c r="F65" s="75">
        <f>IF(M$2=13,F$62,(IF(M$2=12,F$61,(IF(M$2=11,F$60,(IF(M$2=10,F$59,(IF(M$2=9,F$58,H47)))))))))</f>
        <v>0</v>
      </c>
      <c r="G65" s="64"/>
      <c r="H65" s="75"/>
      <c r="I65" s="81"/>
      <c r="J65" s="81"/>
      <c r="K65" s="81"/>
      <c r="L65" s="56"/>
      <c r="M65" s="81"/>
      <c r="N65" s="81"/>
      <c r="O65" s="81"/>
      <c r="P65" s="81"/>
      <c r="Q65" s="4"/>
    </row>
    <row r="66" spans="1:17" ht="12.75" customHeight="1">
      <c r="A66" s="95"/>
      <c r="B66" s="96"/>
      <c r="C66" s="96"/>
      <c r="D66" s="96"/>
      <c r="E66" s="96"/>
      <c r="F66" s="96"/>
      <c r="G66" s="58"/>
      <c r="H66" s="58"/>
      <c r="I66" s="97"/>
      <c r="J66" s="97"/>
      <c r="K66" s="97"/>
      <c r="L66" s="98"/>
      <c r="M66" s="97"/>
      <c r="N66" s="97"/>
      <c r="O66" s="97"/>
      <c r="P66" s="99" t="s">
        <v>66</v>
      </c>
      <c r="Q66" s="4"/>
    </row>
    <row r="67" spans="1:16" ht="13.5" thickBot="1">
      <c r="A67" s="315" t="s">
        <v>12</v>
      </c>
      <c r="B67" s="316"/>
      <c r="C67" s="316"/>
      <c r="D67" s="316"/>
      <c r="E67" s="100"/>
      <c r="F67" s="100"/>
      <c r="G67" s="100"/>
      <c r="H67" s="100"/>
      <c r="I67" s="100"/>
      <c r="J67" s="100"/>
      <c r="K67" s="100"/>
      <c r="L67" s="64"/>
      <c r="M67" s="101">
        <f>IF(M$3=5,K$81,(IF(M$3=6,L$81,(IF(M$3=7,E$81,(IF(M$3=8,F$81,(IF(M$3=9,G$81,(IF(M$3=10,H$81,0)))))))))))</f>
        <v>0</v>
      </c>
      <c r="N67" s="101">
        <f>IF(M$3=1,C$81,(IF(M$3=2,D$81,(IF(M$3=3,I$81,(IF(M$3=4,J$81,0)))))))</f>
        <v>0</v>
      </c>
      <c r="O67" s="64"/>
      <c r="P67" s="75">
        <f>IF(M$3&lt;5,N$67,(IF(AND(M$3&gt;4,M$3&lt;11),M$67,A$1)))</f>
        <v>0</v>
      </c>
    </row>
    <row r="68" spans="1:16" ht="12.75" customHeight="1" thickBot="1">
      <c r="A68" s="43"/>
      <c r="B68" s="44" t="s">
        <v>13</v>
      </c>
      <c r="C68" s="261" t="s">
        <v>6</v>
      </c>
      <c r="D68" s="262"/>
      <c r="E68" s="317" t="s">
        <v>14</v>
      </c>
      <c r="F68" s="317"/>
      <c r="G68" s="317"/>
      <c r="H68" s="317"/>
      <c r="I68" s="318" t="s">
        <v>5</v>
      </c>
      <c r="J68" s="318"/>
      <c r="K68" s="318"/>
      <c r="L68" s="318"/>
      <c r="M68" s="101"/>
      <c r="N68" s="101"/>
      <c r="O68" s="64"/>
      <c r="P68" s="102" t="s">
        <v>67</v>
      </c>
    </row>
    <row r="69" spans="1:16" ht="26.25" thickBot="1">
      <c r="A69" s="43"/>
      <c r="B69" s="207"/>
      <c r="C69" s="184" t="s">
        <v>15</v>
      </c>
      <c r="D69" s="226" t="s">
        <v>16</v>
      </c>
      <c r="E69" s="199" t="s">
        <v>15</v>
      </c>
      <c r="F69" s="185" t="s">
        <v>78</v>
      </c>
      <c r="G69" s="185" t="s">
        <v>77</v>
      </c>
      <c r="H69" s="186" t="s">
        <v>38</v>
      </c>
      <c r="I69" s="184" t="s">
        <v>73</v>
      </c>
      <c r="J69" s="185" t="s">
        <v>74</v>
      </c>
      <c r="K69" s="185" t="s">
        <v>7</v>
      </c>
      <c r="L69" s="186" t="s">
        <v>8</v>
      </c>
      <c r="M69" s="101">
        <f>IF(M$3=5,K$78,(IF(M$3=6,L$78,(IF(M$3=7,E$78,(IF(M$3=8,F$78,(IF(M$3=9,G$78,(IF(M$3=10,H$78,0)))))))))))</f>
        <v>0</v>
      </c>
      <c r="N69" s="101">
        <f>IF(M$3=1,C$78,(IF(M$3=2,D$78,(IF(M$3=3,I$78,(IF(M$3=4,J$78,0)))))))</f>
        <v>0</v>
      </c>
      <c r="O69" s="64"/>
      <c r="P69" s="75">
        <f>IF(M$3&lt;5,N$69,(IF(AND(M$3&gt;4,M$3&lt;12),M$69,A$1)))</f>
        <v>0</v>
      </c>
    </row>
    <row r="70" spans="1:16" ht="12.75">
      <c r="A70" s="271" t="s">
        <v>41</v>
      </c>
      <c r="B70" s="207" t="s">
        <v>17</v>
      </c>
      <c r="C70" s="193">
        <f>IF(N$3=9,D$109,(IF(N$3=10,C$109,0)))</f>
        <v>0</v>
      </c>
      <c r="D70" s="194">
        <f>IF(N$3=11,G$109,(IF(N$3=12,H$109,0)))</f>
        <v>0</v>
      </c>
      <c r="E70" s="76">
        <v>0.226</v>
      </c>
      <c r="F70" s="76">
        <v>0.186</v>
      </c>
      <c r="G70" s="76">
        <v>0.177</v>
      </c>
      <c r="H70" s="76">
        <v>0</v>
      </c>
      <c r="I70" s="218">
        <v>0.252</v>
      </c>
      <c r="J70" s="219">
        <v>0.238</v>
      </c>
      <c r="K70" s="219">
        <v>0.233</v>
      </c>
      <c r="L70" s="220">
        <v>0.218</v>
      </c>
      <c r="M70" s="64">
        <f>IF(M$2&gt;2,"Weight N/A",0)</f>
        <v>0</v>
      </c>
      <c r="N70" s="311" t="s">
        <v>93</v>
      </c>
      <c r="O70" s="312"/>
      <c r="P70" s="313"/>
    </row>
    <row r="71" spans="1:16" ht="12.75">
      <c r="A71" s="272"/>
      <c r="B71" s="207" t="s">
        <v>18</v>
      </c>
      <c r="C71" s="191">
        <f>IF(N$3=9,D$110,(IF(N$3=10,C$110,0)))</f>
        <v>0</v>
      </c>
      <c r="D71" s="192">
        <f>IF(N$3=11,G$110,(IF(N$3=12,H$110,0)))</f>
        <v>0</v>
      </c>
      <c r="E71" s="77">
        <v>0.193</v>
      </c>
      <c r="F71" s="77">
        <v>0.153</v>
      </c>
      <c r="G71" s="77">
        <v>0.144</v>
      </c>
      <c r="H71" s="77">
        <v>0</v>
      </c>
      <c r="I71" s="221">
        <v>0.219</v>
      </c>
      <c r="J71" s="174">
        <v>0.205</v>
      </c>
      <c r="K71" s="174">
        <v>0.2</v>
      </c>
      <c r="L71" s="222">
        <v>0.185</v>
      </c>
      <c r="M71" s="106">
        <f>IF(M3=1,C79,(IF(M3=2,D79,(IF(M3=3,I79,(IF(M3=4,J79,(IF(M3=5,K79,(IF(M3=6,L79,0)))))))))))</f>
        <v>0</v>
      </c>
      <c r="N71" s="64">
        <f>(IF(M3=7,E79,(IF(M3=8,F79,(IF(M3=9,G79,(IF(M3=10,H79,0))))))))</f>
        <v>0</v>
      </c>
      <c r="O71" s="64"/>
      <c r="P71" s="75">
        <f>IF(M$3&lt;7,M$71,(IF(AND(M$3&gt;6,M$3&lt;12),N$71,(IF(M$3=13,D$132,(IF(M$3=14,C$132,D$1)))))))</f>
        <v>0</v>
      </c>
    </row>
    <row r="72" spans="1:16" ht="12.75">
      <c r="A72" s="272"/>
      <c r="B72" s="207" t="s">
        <v>20</v>
      </c>
      <c r="C72" s="191">
        <f>IF(N$3=9,D$111,(IF(N$3=10,C$111,0)))</f>
        <v>0</v>
      </c>
      <c r="D72" s="192">
        <f>IF(N$3=11,G$111,(IF(N$3=12,H$111,0)))</f>
        <v>0</v>
      </c>
      <c r="E72" s="77">
        <v>0.184</v>
      </c>
      <c r="F72" s="77">
        <v>0.144</v>
      </c>
      <c r="G72" s="77">
        <v>0.135</v>
      </c>
      <c r="H72" s="77">
        <v>0</v>
      </c>
      <c r="I72" s="221"/>
      <c r="J72" s="174">
        <v>0.196</v>
      </c>
      <c r="K72" s="174">
        <v>0.191</v>
      </c>
      <c r="L72" s="222">
        <v>0.176</v>
      </c>
      <c r="M72" s="64"/>
      <c r="N72" s="64"/>
      <c r="O72" s="64"/>
      <c r="P72" s="102" t="s">
        <v>105</v>
      </c>
    </row>
    <row r="73" spans="1:16" ht="12.75" customHeight="1" thickBot="1">
      <c r="A73" s="272"/>
      <c r="B73" s="207" t="s">
        <v>21</v>
      </c>
      <c r="C73" s="197"/>
      <c r="D73" s="214"/>
      <c r="E73" s="171">
        <v>0</v>
      </c>
      <c r="F73" s="148">
        <v>0</v>
      </c>
      <c r="G73" s="148">
        <v>0</v>
      </c>
      <c r="H73" s="149">
        <v>0</v>
      </c>
      <c r="I73" s="223"/>
      <c r="J73" s="224"/>
      <c r="K73" s="224"/>
      <c r="L73" s="225"/>
      <c r="M73" s="106">
        <f>IF(AND(M3=1,ISNUMBER(C83)),SUM(C82,C83),(IF(AND(M3=2,ISNUMBER(D83)),SUM(D82,D83),(IF(AND(M3=3,ISNUMBER(I83)),SUM(I82,I83),(IF(AND(M3=4,ISNUMBER(IJ83)),SUM(J82,J83),(IF(AND(M3=5,ISNUMBER(K83)),SUM(K82,K83),(IF(AND(M3=6,ISNUMBER(L83)),SUM(L82,L83),P71)))))))))))</f>
        <v>0</v>
      </c>
      <c r="N73" s="64">
        <f>(IF(M3=7,SUM(E82,E83),(IF(M3=8,SUM(F82,F83),(IF(M3=9,SUM(G82,G83),(IF(M3=10,SUM(H82,H83),0))))))))</f>
        <v>0</v>
      </c>
      <c r="O73" s="64"/>
      <c r="P73" s="75">
        <f>IF(M$3&lt;7,M$73,(IF(AND(M$3&gt;6,M$3&lt;12),N$73,(IF(M$3=13,(K$1*D$132),(IF(M$3=14,(K$1*C$132),D$1)))))))</f>
        <v>0</v>
      </c>
    </row>
    <row r="74" spans="1:16" ht="12.75" customHeight="1">
      <c r="A74" s="271" t="s">
        <v>42</v>
      </c>
      <c r="B74" s="44" t="s">
        <v>17</v>
      </c>
      <c r="C74" s="169"/>
      <c r="D74" s="172"/>
      <c r="E74" s="76">
        <v>0.621</v>
      </c>
      <c r="F74" s="76">
        <v>0.621</v>
      </c>
      <c r="G74" s="76">
        <v>0.621</v>
      </c>
      <c r="H74" s="76">
        <v>0</v>
      </c>
      <c r="I74" s="169">
        <v>0.739</v>
      </c>
      <c r="J74" s="169">
        <v>0.739</v>
      </c>
      <c r="K74" s="169">
        <v>0.739</v>
      </c>
      <c r="L74" s="169">
        <v>0.739</v>
      </c>
      <c r="M74" s="107"/>
      <c r="N74" s="107"/>
      <c r="O74" s="64"/>
      <c r="P74" s="102" t="s">
        <v>116</v>
      </c>
    </row>
    <row r="75" spans="1:16" ht="12.75">
      <c r="A75" s="272"/>
      <c r="B75" s="44" t="s">
        <v>18</v>
      </c>
      <c r="C75" s="170"/>
      <c r="D75" s="173"/>
      <c r="E75" s="77">
        <v>0.462</v>
      </c>
      <c r="F75" s="77">
        <v>0.462</v>
      </c>
      <c r="G75" s="77">
        <v>0.462</v>
      </c>
      <c r="H75" s="77">
        <v>0</v>
      </c>
      <c r="I75" s="170">
        <v>0.58</v>
      </c>
      <c r="J75" s="170">
        <v>0.58</v>
      </c>
      <c r="K75" s="170">
        <v>0.58</v>
      </c>
      <c r="L75" s="170">
        <v>0.58</v>
      </c>
      <c r="M75" s="106"/>
      <c r="N75" s="64"/>
      <c r="O75" s="64"/>
      <c r="P75" s="75" t="str">
        <f>IF(M$2=1,E109,(IF(M$2=2,(I74+I78),"Weight N/A")))</f>
        <v>Weight N/A</v>
      </c>
    </row>
    <row r="76" spans="1:16" ht="12.75">
      <c r="A76" s="272"/>
      <c r="B76" s="44" t="s">
        <v>20</v>
      </c>
      <c r="C76" s="170"/>
      <c r="D76" s="173"/>
      <c r="E76" s="77">
        <v>0.418</v>
      </c>
      <c r="F76" s="77">
        <v>0.418</v>
      </c>
      <c r="G76" s="77">
        <v>0.418</v>
      </c>
      <c r="H76" s="77">
        <v>0</v>
      </c>
      <c r="I76" s="170">
        <v>0</v>
      </c>
      <c r="J76" s="77">
        <v>0.536</v>
      </c>
      <c r="K76" s="77">
        <v>0.536</v>
      </c>
      <c r="L76" s="77">
        <v>0.536</v>
      </c>
      <c r="M76" s="107" t="s">
        <v>103</v>
      </c>
      <c r="N76" s="107" t="s">
        <v>104</v>
      </c>
      <c r="O76" s="64"/>
      <c r="P76" s="102" t="s">
        <v>97</v>
      </c>
    </row>
    <row r="77" spans="1:16" ht="12.75">
      <c r="A77" s="272"/>
      <c r="B77" s="44" t="s">
        <v>21</v>
      </c>
      <c r="C77" s="170"/>
      <c r="D77" s="173"/>
      <c r="E77" s="77">
        <v>0</v>
      </c>
      <c r="F77" s="77">
        <v>0</v>
      </c>
      <c r="G77" s="77">
        <v>0</v>
      </c>
      <c r="H77" s="77">
        <v>0</v>
      </c>
      <c r="I77" s="170"/>
      <c r="J77" s="77"/>
      <c r="K77" s="77"/>
      <c r="L77" s="173"/>
      <c r="M77" s="106">
        <f>SUM((I74*calculator!C$10),((I78*G1)))</f>
        <v>0</v>
      </c>
      <c r="N77" s="64">
        <f>(E109*G1)</f>
        <v>0</v>
      </c>
      <c r="O77" s="64"/>
      <c r="P77" s="75">
        <f>IF(M$2=1,N$77,(IF(M$2=2,M77,0)))</f>
        <v>0</v>
      </c>
    </row>
    <row r="78" spans="1:16" ht="12.75" customHeight="1" thickBot="1">
      <c r="A78" s="104" t="s">
        <v>19</v>
      </c>
      <c r="B78" s="44"/>
      <c r="C78" s="202"/>
      <c r="D78" s="203"/>
      <c r="E78" s="108">
        <v>0.098</v>
      </c>
      <c r="F78" s="109">
        <v>0.058</v>
      </c>
      <c r="G78" s="108">
        <v>0.049</v>
      </c>
      <c r="H78" s="110">
        <v>0</v>
      </c>
      <c r="I78" s="181">
        <v>0.103</v>
      </c>
      <c r="J78" s="182">
        <v>0.089</v>
      </c>
      <c r="K78" s="183">
        <v>0.084</v>
      </c>
      <c r="L78" s="187">
        <v>0.069</v>
      </c>
      <c r="M78" s="107"/>
      <c r="N78" s="107"/>
      <c r="O78" s="64"/>
      <c r="P78" s="102"/>
    </row>
    <row r="79" spans="1:16" ht="12.75">
      <c r="A79" s="95" t="s">
        <v>102</v>
      </c>
      <c r="B79" s="111"/>
      <c r="C79" s="64" t="str">
        <f>IF(M$2=1,C$80,(IF(AND(M$2=2,ISNUMBER(C81)),SUM(C81,C78),M87)))</f>
        <v>Selection N/A</v>
      </c>
      <c r="D79" s="64" t="str">
        <f>IF(M$2=1,D$80,(IF(AND(M$2=2,ISNUMBER(D81)),SUM(D81,D78),M87)))</f>
        <v>Selection N/A</v>
      </c>
      <c r="E79" s="58" t="str">
        <f>IF(M$2=1,E$80,(IF(AND(M$2=2,ISNUMBER(E81)),SUM(E81,E78),M87)))</f>
        <v>Selection N/A</v>
      </c>
      <c r="F79" s="58" t="str">
        <f>IF(M$2=1,F$80,(IF(AND(M$2=2,ISNUMBER(F81)),SUM(F81,F78),M87)))</f>
        <v>Selection N/A</v>
      </c>
      <c r="G79" s="58" t="str">
        <f>IF(M$2=1,G$80,(IF(AND(M$2=2,ISNUMBER(G81)),SUM(G81,G78),M87)))</f>
        <v>Selection N/A</v>
      </c>
      <c r="H79" s="58" t="str">
        <f>IF(M$2=1,H$80,(IF(AND(M$2=2,ISNUMBER(H81)),SUM(H81,H78),M87)))</f>
        <v>Selection N/A</v>
      </c>
      <c r="I79" s="58" t="str">
        <f>IF(M$2=1,I$80,(IF(AND(M$2=2,ISNUMBER(I81)),SUM(I81,I78),M87)))</f>
        <v>Selection N/A</v>
      </c>
      <c r="J79" s="58" t="str">
        <f>IF(M$2=1,J$80,(IF(AND(M$2=2,ISNUMBER(J81)),SUM(J81,J78),M87)))</f>
        <v>Selection N/A</v>
      </c>
      <c r="K79" s="58" t="str">
        <f>IF(M$2=1,K$80,(IF(AND(M$2=2,ISNUMBER(K81)),SUM(K81,K78),M87)))</f>
        <v>Selection N/A</v>
      </c>
      <c r="L79" s="188" t="str">
        <f>IF(M$2=1,L$80,(IF(AND(M$2=2,ISNUMBER(C81)),SUM(L81,L78),M87)))</f>
        <v>Selection N/A</v>
      </c>
      <c r="M79" s="64"/>
      <c r="N79" s="64"/>
      <c r="O79" s="64"/>
      <c r="P79" s="75"/>
    </row>
    <row r="80" spans="1:16" ht="12.75">
      <c r="A80" s="43" t="s">
        <v>43</v>
      </c>
      <c r="B80" s="44"/>
      <c r="C80" s="64" t="str">
        <f>IF(AND(M$2=1,M$4=1),C$70,(IF(AND(M$2=1,M$4=2),C$71,(IF(AND(M$2=1,M$4=3),C$72,(IF(AND(M$2&lt;5,M$4=4),M$87,M$87)))))))</f>
        <v>Selection N/A</v>
      </c>
      <c r="D80" s="64" t="str">
        <f>IF(AND(M$2=1,M$4=1),D$70,(IF(AND(M$2=1,M$4=2),D$71,(IF(AND(M$2=1,M$4=3),D$72,(IF(AND(M$2=1,M$4=4),M$87,M$87)))))))</f>
        <v>Selection N/A</v>
      </c>
      <c r="E80" s="64">
        <f>IF(AND(M$2=1,M$4=1),E$70,(IF(AND(M$2=1,M$4=2),E$71,(IF(AND(M$2=1,M$4=3),E$72,(IF(AND(M$2=1,M$4=4),E$73,0)))))))</f>
        <v>0</v>
      </c>
      <c r="F80" s="64">
        <f>IF(AND(M$2=1,M$4=1),F$70,(IF(AND(M$2=1,M$4=2),F$71,(IF(AND(M$2=1,M$4=3),F$72,(IF(AND(M$2=1,M$4=4),F$73,0)))))))</f>
        <v>0</v>
      </c>
      <c r="G80" s="64">
        <f>IF(AND(M$2=1,M$4=1),G$70,(IF(AND(M$2=1,M$4=2),G$71,(IF(AND(M$2=1,M$4=3),G$72,(IF(AND(M$2=1,M$4=4),G$73,0)))))))</f>
        <v>0</v>
      </c>
      <c r="H80" s="64">
        <f>IF(AND(M$2=1,M$4=1),H$70,(IF(AND(M$2=1,M$4=2),H$71,(IF(AND(M$2=1,M$4=3),H$72,(IF(AND(M$2=1,M$4=4),H$73,0)))))))</f>
        <v>0</v>
      </c>
      <c r="I80" s="64">
        <f>IF(AND(M$2=1,M$4=1),I$70,(IF(AND(M$2=1,M$4=2),I$71,(IF(AND(M$2=1,M$4=3),M$88,(IF(AND(M$2=1,M$4=4),M$88,M$88)))))))</f>
        <v>0</v>
      </c>
      <c r="J80" s="64" t="str">
        <f>IF(AND(M$2=1,M$4=1),J$70,(IF(AND(M$2=1,M$4=2),J$71,(IF(AND(M$2=1,M$4=3),J$72,M$87)))))</f>
        <v>Selection N/A</v>
      </c>
      <c r="K80" s="64" t="str">
        <f>IF(AND(M$2=1,M$4=1),K$70,(IF(AND(M$2=1,M$4=2),K$71,(IF(AND(M$2=1,M$4=3),K$72,(M$87))))))</f>
        <v>Selection N/A</v>
      </c>
      <c r="L80" s="189" t="str">
        <f>IF(AND(M$2=1,M$4=1),L$70,(IF(AND(M$2=1,M$4=2),L$71,(IF(AND(M$2=1,M$4=3),L$72,M$87)))))</f>
        <v>Selection N/A</v>
      </c>
      <c r="M80" s="64"/>
      <c r="N80" s="64"/>
      <c r="O80" s="64"/>
      <c r="P80" s="75"/>
    </row>
    <row r="81" spans="1:16" ht="12.75">
      <c r="A81" s="88" t="s">
        <v>44</v>
      </c>
      <c r="B81" s="64"/>
      <c r="C81" s="64" t="str">
        <f>IF(AND(M$2=2,M$4=1),C$74,(IF(AND(M$2=2,M$4=2),C$75,(IF(AND(M$2=2,M$4=3),C$76,(IF(AND(M$2=2,M$4=4),M$87,M$87)))))))</f>
        <v>Selection N/A</v>
      </c>
      <c r="D81" s="64" t="str">
        <f>IF(AND(M$2=2,M$4=1),D$74,(IF(AND(M$2=2,M$4=2),D$75,(IF(AND(M$2=2,M$4=3),D$76,(IF(AND(M$2=2,M$4=4),M$87,M$87)))))))</f>
        <v>Selection N/A</v>
      </c>
      <c r="E81" s="64">
        <f>IF(AND(M$2=2,M$4=1),E$74,(IF(AND(M$2=2,M$4=2),E$75,(IF(AND(M$2=2,M$4=3),E$76,(IF(AND(M$2=2,M$4=4),E$77,0)))))))</f>
        <v>0</v>
      </c>
      <c r="F81" s="64">
        <f>IF(AND(M$2=2,M$4=1),F$74,(IF(AND(M$2=2,M$4=2),F$75,(IF(AND(M$2=2,M$4=3),F$76,(IF(AND(M$2=2,M$4=4),F$77,0)))))))</f>
        <v>0</v>
      </c>
      <c r="G81" s="37">
        <f>IF(AND(M$2=2,M$4=1),G$74,(IF(AND(M$2=2,M$4=2),G$75,(IF(AND(M$2=2,M$4=3),G$76,(IF(AND(M$2=2,M$4=4),G$77,0)))))))</f>
        <v>0</v>
      </c>
      <c r="H81" s="64">
        <f>IF(AND(M$2=2,M$4=1),H$74,(IF(AND(M$2=2,M$4=2),H$75,(IF(AND(M$2=2,M$4=3),H$76,(IF(AND(M$2=2,M$4=4),H$77,0)))))))</f>
        <v>0</v>
      </c>
      <c r="I81" s="64">
        <f>IF(AND(M$2=2,M$4=1),I$74,(IF(AND(M$2=2,M$4=2),I$75,(IF(AND(M$2=2,M$4=3),I$76,(IF(AND(M$2=2,M$4=4),M$88,M$88)))))))</f>
        <v>0</v>
      </c>
      <c r="J81" s="64" t="str">
        <f>IF(AND(M$2=2,M$4=1),J$74,(IF(AND(M$2=2,M$4=2),J$75,(IF(AND(M$2=2,M$4=3),J$76,(IF(AND(M$2=2,M$4=4),M$87,M$87)))))))</f>
        <v>Selection N/A</v>
      </c>
      <c r="K81" s="64" t="str">
        <f>IF(AND(M$2=2,M$4=1),K$74,(IF(AND(M$2=2,M$4=2),K$75,(IF(AND(M$2=2,M$4=3),K$76,(IF(AND(M$2=2,M$4=4),M$87,M$87)))))))</f>
        <v>Selection N/A</v>
      </c>
      <c r="L81" s="189" t="str">
        <f>IF(AND(M$2=2,M$4=1),L$74,(IF(AND(M$2=2,M$4=2),L$75,(IF(AND(M$2=2,M$4=3),L$76,(IF(AND(M$2=2,M$4=4),M$87,M$87)))))))</f>
        <v>Selection N/A</v>
      </c>
      <c r="M81" s="64"/>
      <c r="N81" s="64"/>
      <c r="O81" s="64"/>
      <c r="P81" s="75"/>
    </row>
    <row r="82" spans="1:16" ht="12.75">
      <c r="A82" s="112" t="s">
        <v>95</v>
      </c>
      <c r="B82" s="64"/>
      <c r="C82" s="64">
        <f>IF(AND(M$2=2,M$4=1),PRODUCT(C$74,calculator!C$10),(IF(AND(M$2=2,M$4=2),(C$75*calculator!C$10),(IF(AND(M$2=2,M$4=3),PRODUCT(C$76,calculator!C$10),(IF(AND(M$2=2,M$4=4),0,0)))))))</f>
        <v>0</v>
      </c>
      <c r="D82" s="64">
        <f>IF(AND(M$2=2,M$4=1),(D$74*calculator!C$10),(IF(AND(M$2=2,M$4=2),PRODUCT(D$75,calculator!C$10),(IF(AND(M$2=2,M$4=3),PRODUCT(D$76,calculator!C$10),(IF(AND(M$2=2,M$4=4),0,0)))))))</f>
        <v>0</v>
      </c>
      <c r="E82" s="64">
        <f>IF(AND(M$2=2,M$4=1),PRODUCT(E$74,calculator!C$10),(IF(AND(M$2=2,M$4=2),PRODUCT(E$75,calculator!C$10),(IF(AND(M$2=2,M$4=3),PRODUCT(E$76,calculator!C$10),(IF(AND(M$2=2,M$4=4),PRODUCT(E$77,calculator!C$10),0)))))))</f>
        <v>0</v>
      </c>
      <c r="F82" s="64">
        <f>IF(AND(M$2=2,M$4=1),PRODUCT(F$74,calculator!C$10),(IF(AND(M$2=2,M$4=2),PRODUCT(F$75,calculator!C$10),(IF(AND(M$2=2,M$4=3),PRODUCT(F$76,calculator!C$10),(IF(AND(M$2=2,M$4=4),PRODUCT(F$77,calculator!C$10),0)))))))</f>
        <v>0</v>
      </c>
      <c r="G82" s="64">
        <f>IF(AND(M$2=2,M$4=1),PRODUCT(G$74,calculator!C$10),(IF(AND(M$2=2,M$4=2),PRODUCT(G$75,calculator!C$10),(IF(AND(M$2=2,M$4=3),PRODUCT(G$76,calculator!C$10),(IF(AND(M$2=2,M$4=4),PRODUCT(G$77,calculator!C$10),0)))))))</f>
        <v>0</v>
      </c>
      <c r="H82" s="64">
        <f>IF(AND(M$2=2,M$4=1),PRODUCT(H$74,calculator!C$10),(IF(AND(M$2=2,M$4=2),PRODUCT(H$75,calculator!C$10),(IF(AND(M$2=2,M$4=3),PRODUCT(H$76,calculator!C$10),(IF(AND(M$2=2,M$4=4),PRODUCT(H$77,calculator!C$10),0)))))))</f>
        <v>0</v>
      </c>
      <c r="I82" s="64">
        <f>IF(AND(M$2=2,M$4=1),PRODUCT(I$74,calculator!C$10),(IF(AND(M$2=2,M$4=2),PRODUCT(I$75,calculator!C$10),(IF(AND(M$2=2,M$4=3),PRODUCT(I$76,calculator!C$10),(IF(AND(M$2=2,M$4=4),0,0)))))))</f>
        <v>0</v>
      </c>
      <c r="J82" s="64">
        <f>IF(AND(M$2=2,M$4=1),PRODUCT(J$74,calculator!C$10),(IF(AND(M$2=2,M$4=2),PRODUCT(J$75,calculator!C$10),(IF(AND(M$2=2,M$4=3),PRODUCT(J$76,calculator!C$10),(IF(AND(M$2=2,M$4=4),0,0)))))))</f>
        <v>0</v>
      </c>
      <c r="K82" s="64">
        <f>IF(AND(M$2=2,M$4=1),PRODUCT(K$74,calculator!C$10),(IF(AND(M$2=2,M$4=2),PRODUCT(K$75,calculator!C$10),(IF(AND(M$2=2,M$4=3),PRODUCT(K$76,calculator!C$10),(IF(AND(M$2=2,M$4=4),0,0)))))))</f>
        <v>0</v>
      </c>
      <c r="L82" s="189">
        <f>IF(AND(M$2=2,M$4=1),PRODUCT(L$74,calculator!C$10),(IF(AND(M$2=2,M$4=2),PRODUCT(L$75,calculator!C$10),(IF(AND(M$2=2,M$4=3),PRODUCT(L$76,calculator!C$10),(IF(AND(M$2=2,M$4=4),0,0)))))))</f>
        <v>0</v>
      </c>
      <c r="M82" s="64"/>
      <c r="N82" s="64"/>
      <c r="O82" s="64"/>
      <c r="P82" s="75"/>
    </row>
    <row r="83" spans="1:16" ht="13.5" thickBot="1">
      <c r="A83" s="113" t="s">
        <v>96</v>
      </c>
      <c r="B83" s="61"/>
      <c r="C83" s="61">
        <f>IF(AND(M2=1,ISNUMBER(C80)),(K1*C80),(IF(AND(M2=2,ISNUMBER(C81)),(K1*C78),P71)))</f>
        <v>0</v>
      </c>
      <c r="D83" s="61">
        <f>IF(AND(M2=1,ISNUMBER(D80)),(K1*D80),(IF(AND(M2=2,ISNUMBER(D81)),(K1*D78),P71)))</f>
        <v>0</v>
      </c>
      <c r="E83" s="61" t="str">
        <f>IF(AND(M2=1,ISNUMBER(E80)),(K1*E80),(IF(AND(M2=2,ISNUMBER(E81)),(K1*E78),M87)))</f>
        <v>Selection N/A</v>
      </c>
      <c r="F83" s="61" t="str">
        <f>IF(AND(M2=1,ISNUMBER(F80)),(K1*F80),(IF(AND(M2=2,ISNUMBER(F81)),(K1*F78),M87)))</f>
        <v>Selection N/A</v>
      </c>
      <c r="G83" s="61" t="str">
        <f>IF(AND(M2=1,ISNUMBER(G80)),(K1*G80),(IF(AND(M2=2,ISNUMBER(G81)),(K1*G78),M87)))</f>
        <v>Selection N/A</v>
      </c>
      <c r="H83" s="61" t="str">
        <f>IF(AND(M2=1,ISNUMBER(H80)),(K1*H80),(IF(AND(M2=2,ISNUMBER(H81)),(K1*H78),M87)))</f>
        <v>Selection N/A</v>
      </c>
      <c r="I83" s="61">
        <f>IF(AND(M2=1,ISNUMBER(I80)),(K1*I80),(IF(AND(M2=2,ISNUMBER(I81)),(K1*I78),P71)))</f>
        <v>0</v>
      </c>
      <c r="J83" s="61">
        <f>IF(AND(M2=1,ISNUMBER(J80)),(K1*J80),(IF(AND(M2=2,ISNUMBER(J81)),(K1*J78),P71)))</f>
        <v>0</v>
      </c>
      <c r="K83" s="61">
        <f>IF(AND(M2=1,ISNUMBER(K80)),(K1*K80),(IF(AND(M2=2,ISNUMBER(K81)),(K1*K78),P71)))</f>
        <v>0</v>
      </c>
      <c r="L83" s="190">
        <f>IF(AND(M2=1,ISNUMBER(L80)),(K1*L80),(IF(AND(M2=2,ISNUMBER(L81)),(K1*L78),P71)))</f>
        <v>0</v>
      </c>
      <c r="M83" s="61"/>
      <c r="N83" s="61"/>
      <c r="O83" s="61"/>
      <c r="P83" s="62"/>
    </row>
    <row r="84" spans="1:16" ht="13.5" thickBot="1">
      <c r="A84" s="37"/>
      <c r="B84" s="37"/>
      <c r="C84" s="37"/>
      <c r="D84" s="37"/>
      <c r="E84" s="37"/>
      <c r="F84" s="37"/>
      <c r="G84" s="37"/>
      <c r="H84" s="37"/>
      <c r="I84" s="37"/>
      <c r="J84" s="64"/>
      <c r="K84" s="37"/>
      <c r="L84" s="37"/>
      <c r="M84" s="37"/>
      <c r="N84" s="37"/>
      <c r="O84" s="37"/>
      <c r="P84" s="37"/>
    </row>
    <row r="85" spans="1:16" ht="12.75" customHeight="1">
      <c r="A85" s="259" t="s">
        <v>22</v>
      </c>
      <c r="B85" s="276"/>
      <c r="C85" s="276"/>
      <c r="D85" s="276"/>
      <c r="E85" s="276"/>
      <c r="F85" s="276"/>
      <c r="G85" s="276"/>
      <c r="H85" s="276"/>
      <c r="I85" s="314"/>
      <c r="J85" s="58"/>
      <c r="K85" s="58"/>
      <c r="L85" s="114" t="s">
        <v>66</v>
      </c>
      <c r="M85" s="115">
        <f>IF(M$3=1,C$100,(IF(M$3=2,D$100,(IF(M$3=3,E$100,(IF(M$3=4,F$100,(IF(M$3=5,G$100,(IF(M$3=6,H$100,(IF(M$3=7,I$100,M89)))))))))))))</f>
        <v>0</v>
      </c>
      <c r="N85" s="37"/>
      <c r="O85" s="37"/>
      <c r="P85" s="37"/>
    </row>
    <row r="86" spans="1:16" ht="12.75">
      <c r="A86" s="116"/>
      <c r="B86" s="64"/>
      <c r="C86" s="64"/>
      <c r="D86" s="64"/>
      <c r="E86" s="64"/>
      <c r="F86" s="64"/>
      <c r="G86" s="64"/>
      <c r="H86" s="64"/>
      <c r="I86" s="75"/>
      <c r="J86" s="64"/>
      <c r="K86" s="64"/>
      <c r="L86" s="107" t="s">
        <v>67</v>
      </c>
      <c r="M86" s="117">
        <f>IF(M$3=1,C$97,(IF(M$3=2,D$97,(IF(M$3=3,E$97,(IF(M$3=4,F$97,(IF(M$3=5,G$97,(IF(M$3=6,H$97,(IF(M$3=7,I$97,M89)))))))))))))</f>
        <v>0</v>
      </c>
      <c r="N86" s="41"/>
      <c r="O86" s="37"/>
      <c r="P86" s="41"/>
    </row>
    <row r="87" spans="1:16" ht="12.75" customHeight="1" thickBot="1">
      <c r="A87" s="302"/>
      <c r="B87" s="147" t="s">
        <v>13</v>
      </c>
      <c r="C87" s="307" t="s">
        <v>6</v>
      </c>
      <c r="D87" s="307"/>
      <c r="E87" s="307" t="s">
        <v>23</v>
      </c>
      <c r="F87" s="307"/>
      <c r="G87" s="307"/>
      <c r="H87" s="307" t="s">
        <v>5</v>
      </c>
      <c r="I87" s="308"/>
      <c r="J87" s="64"/>
      <c r="K87" s="64"/>
      <c r="L87" s="64"/>
      <c r="M87" s="117" t="str">
        <f>IF(M$4=4,"DDU is N/A",(IF(M$2&gt;2,"Weight N/A",(IF(M$3&gt;7,"Sort N/A","Selection N/A")))))</f>
        <v>Selection N/A</v>
      </c>
      <c r="N87" s="37"/>
      <c r="O87" s="37"/>
      <c r="P87" s="37"/>
    </row>
    <row r="88" spans="1:16" ht="26.25" thickBot="1">
      <c r="A88" s="302"/>
      <c r="B88" s="44"/>
      <c r="C88" s="44" t="s">
        <v>15</v>
      </c>
      <c r="D88" s="118">
        <v>0.6</v>
      </c>
      <c r="E88" s="44" t="s">
        <v>15</v>
      </c>
      <c r="F88" s="44" t="s">
        <v>78</v>
      </c>
      <c r="G88" s="44" t="s">
        <v>77</v>
      </c>
      <c r="H88" s="44" t="s">
        <v>15</v>
      </c>
      <c r="I88" s="201">
        <v>0.6</v>
      </c>
      <c r="J88" s="64"/>
      <c r="K88" s="64"/>
      <c r="L88" s="64"/>
      <c r="M88" s="117">
        <f>IF(M$4=4,"DDU is N/A",(IF(M$4=3,"DSCF is N/A",(IF(M$2&gt;2,"Weight N/A",0)))))</f>
        <v>0</v>
      </c>
      <c r="N88" s="37"/>
      <c r="O88" s="37"/>
      <c r="P88" s="37"/>
    </row>
    <row r="89" spans="1:16" ht="12.75">
      <c r="A89" s="271" t="s">
        <v>63</v>
      </c>
      <c r="B89" s="44" t="s">
        <v>17</v>
      </c>
      <c r="C89" s="215">
        <f>IF(N$3=11,G$118,(IF(N$3=10,H$118,0)))</f>
        <v>0</v>
      </c>
      <c r="D89" s="216" t="str">
        <f>IF(N$3=8,I$118,(IF(N$3=9,J$118,"0")))</f>
        <v>0</v>
      </c>
      <c r="E89" s="76">
        <v>0.249</v>
      </c>
      <c r="F89" s="76">
        <v>0.205</v>
      </c>
      <c r="G89" s="76">
        <v>0.187</v>
      </c>
      <c r="H89" s="215" t="str">
        <f>IF(N$3=4,C$118,(IF(N$3=3,D$118,"0")))</f>
        <v>0</v>
      </c>
      <c r="I89" s="216" t="str">
        <f>IF(N$3=1,E$118,(IF(N$3=2,F$118,"0")))</f>
        <v>0</v>
      </c>
      <c r="J89" s="64"/>
      <c r="K89" s="64"/>
      <c r="L89" s="64"/>
      <c r="M89" s="117">
        <f>IF(M$3&gt;7,"Sort N/A",0)</f>
        <v>0</v>
      </c>
      <c r="N89" s="37"/>
      <c r="O89" s="37"/>
      <c r="P89" s="37"/>
    </row>
    <row r="90" spans="1:16" ht="12.75">
      <c r="A90" s="274"/>
      <c r="B90" s="44" t="s">
        <v>18</v>
      </c>
      <c r="C90" s="217" t="str">
        <f>IF(N$3=11,G$119,(IF(N$3=10,H$119,"0")))</f>
        <v>0</v>
      </c>
      <c r="D90" s="196" t="str">
        <f>IF(N$3=8,I$119,(IF(N$3=9,J$119,"0")))</f>
        <v>0</v>
      </c>
      <c r="E90" s="77">
        <v>0.216</v>
      </c>
      <c r="F90" s="77">
        <v>0.172</v>
      </c>
      <c r="G90" s="77">
        <v>0.154</v>
      </c>
      <c r="H90" s="217" t="str">
        <f>IF(N$3=4,C$119,(IF(N$3=3,D$119,"0")))</f>
        <v>0</v>
      </c>
      <c r="I90" s="196" t="str">
        <f>IF(N$3=1,E$119,(IF(N$3=2,F$119,"0")))</f>
        <v>0</v>
      </c>
      <c r="J90" s="64"/>
      <c r="K90" s="64"/>
      <c r="L90" s="105" t="s">
        <v>93</v>
      </c>
      <c r="M90" s="119" t="str">
        <f>IF(M3=1,C98,(IF(M3=2,D98,(IF(M3=3,E98,(IF(M3=4,F98,(IF(M3=5,G98,(IF(M3=6,H98,(IF(M3=7,I98,M87)))))))))))))</f>
        <v>Selection N/A</v>
      </c>
      <c r="N90" s="47" t="str">
        <f>IF(AND(M3=1,ISNUMBER(C102)),SUM(C101,C102),(IF(AND(M3=2,ISNUMBER(D102)),SUM(D101,D102),(IF(AND(M3=3,ISNUMBER(E102)),SUM(E101,E102),(IF(AND(M3=4,ISNUMBER(F102)),SUM(F101,F102),(IF(AND(M3=5,ISNUMBER(G102)),SUM(G101,G102),(IF(AND(M3=6,ISNUMBER(H102)),SUM(H101,H102),M90)))))))))))</f>
        <v>Selection N/A</v>
      </c>
      <c r="O90" s="37"/>
      <c r="P90" s="37"/>
    </row>
    <row r="91" spans="1:16" ht="13.5" thickBot="1">
      <c r="A91" s="274"/>
      <c r="B91" s="44" t="s">
        <v>20</v>
      </c>
      <c r="C91" s="213" t="str">
        <f>IF(N$3=11,G$120,(IF(N$3=10,H$120,"0")))</f>
        <v>0</v>
      </c>
      <c r="D91" s="198" t="str">
        <f>IF(N$3=8,I$120,(IF(N$3=9,J$120,"0")))</f>
        <v>0</v>
      </c>
      <c r="E91" s="77">
        <v>0.207</v>
      </c>
      <c r="F91" s="77">
        <v>0.163</v>
      </c>
      <c r="G91" s="77">
        <v>0.145</v>
      </c>
      <c r="H91" s="213" t="str">
        <f>IF(N$3=4,C$120,(IF(N$3=3,D$120,"0")))</f>
        <v>0</v>
      </c>
      <c r="I91" s="198" t="str">
        <f>IF(N$3=1,E$120,(IF(N$3=2,F$120,"0")))</f>
        <v>0</v>
      </c>
      <c r="J91" s="106"/>
      <c r="K91" s="64"/>
      <c r="L91" s="107" t="s">
        <v>105</v>
      </c>
      <c r="M91" s="119" t="str">
        <f>IF(M3&lt;7,N90,N91)</f>
        <v>Selection N/A</v>
      </c>
      <c r="N91" s="37" t="str">
        <f>IF(AND(M3=7,ISNUMBER(I102)),SUM(I101,I102),M90)</f>
        <v>Selection N/A</v>
      </c>
      <c r="O91" s="37"/>
      <c r="P91" s="37"/>
    </row>
    <row r="92" spans="1:16" ht="12.75" customHeight="1">
      <c r="A92" s="274"/>
      <c r="B92" s="44" t="s">
        <v>21</v>
      </c>
      <c r="C92" s="77"/>
      <c r="D92" s="77"/>
      <c r="E92" s="77">
        <v>0.198</v>
      </c>
      <c r="F92" s="77">
        <v>0.154</v>
      </c>
      <c r="G92" s="77">
        <v>0.136</v>
      </c>
      <c r="H92" s="77"/>
      <c r="I92" s="146"/>
      <c r="J92" s="107" t="s">
        <v>103</v>
      </c>
      <c r="K92" s="107" t="s">
        <v>104</v>
      </c>
      <c r="L92" s="107" t="s">
        <v>97</v>
      </c>
      <c r="M92" s="117">
        <f>IF(M$2=1,K93,(IF(M$2=2,J93,0)))</f>
        <v>0</v>
      </c>
      <c r="N92" s="37"/>
      <c r="O92" s="37"/>
      <c r="P92" s="37"/>
    </row>
    <row r="93" spans="1:16" ht="12.75">
      <c r="A93" s="271" t="s">
        <v>62</v>
      </c>
      <c r="B93" s="44" t="s">
        <v>17</v>
      </c>
      <c r="C93" s="76">
        <v>0.739</v>
      </c>
      <c r="D93" s="76">
        <v>0.739</v>
      </c>
      <c r="E93" s="76">
        <v>0.621</v>
      </c>
      <c r="F93" s="76">
        <v>0.621</v>
      </c>
      <c r="G93" s="76">
        <v>0.621</v>
      </c>
      <c r="H93" s="76">
        <v>0.739</v>
      </c>
      <c r="I93" s="145">
        <v>0.739</v>
      </c>
      <c r="J93" s="106">
        <f>SUM((C93*calculator!C$10),(C97*G1))</f>
        <v>0</v>
      </c>
      <c r="K93" s="64">
        <f>(G118*G1)</f>
        <v>0</v>
      </c>
      <c r="L93" s="64"/>
      <c r="M93" s="75"/>
      <c r="N93" s="37"/>
      <c r="O93" s="37"/>
      <c r="P93" s="37"/>
    </row>
    <row r="94" spans="1:16" ht="12.75">
      <c r="A94" s="272"/>
      <c r="B94" s="44" t="s">
        <v>18</v>
      </c>
      <c r="C94" s="77">
        <v>0.58</v>
      </c>
      <c r="D94" s="77">
        <v>0.58</v>
      </c>
      <c r="E94" s="77">
        <v>0.462</v>
      </c>
      <c r="F94" s="77">
        <v>0.462</v>
      </c>
      <c r="G94" s="77">
        <v>0.462</v>
      </c>
      <c r="H94" s="77">
        <v>0.58</v>
      </c>
      <c r="I94" s="77">
        <v>0.58</v>
      </c>
      <c r="J94" s="64"/>
      <c r="K94" s="64"/>
      <c r="L94" s="107" t="s">
        <v>116</v>
      </c>
      <c r="M94" s="117" t="str">
        <f>IF(M$2=1,G118,(IF(M$2=2,(C93+C97),"Weight N/A")))</f>
        <v>Weight N/A</v>
      </c>
      <c r="N94" s="37"/>
      <c r="O94" s="37"/>
      <c r="P94" s="37"/>
    </row>
    <row r="95" spans="1:16" ht="12.75">
      <c r="A95" s="272"/>
      <c r="B95" s="44" t="s">
        <v>20</v>
      </c>
      <c r="C95" s="77">
        <v>0.536</v>
      </c>
      <c r="D95" s="77">
        <v>0.536</v>
      </c>
      <c r="E95" s="77">
        <v>0.418</v>
      </c>
      <c r="F95" s="77">
        <v>0.418</v>
      </c>
      <c r="G95" s="77">
        <v>0.418</v>
      </c>
      <c r="H95" s="77">
        <v>0.536</v>
      </c>
      <c r="I95" s="77">
        <v>0.536</v>
      </c>
      <c r="J95" s="64"/>
      <c r="K95" s="64"/>
      <c r="L95" s="37"/>
      <c r="M95" s="75"/>
      <c r="N95" s="37"/>
      <c r="O95" s="37"/>
      <c r="P95" s="37"/>
    </row>
    <row r="96" spans="1:16" ht="12.75">
      <c r="A96" s="272"/>
      <c r="B96" s="44" t="s">
        <v>21</v>
      </c>
      <c r="C96" s="77"/>
      <c r="D96" s="77"/>
      <c r="E96" s="77">
        <v>0.373</v>
      </c>
      <c r="F96" s="77">
        <v>0.373</v>
      </c>
      <c r="G96" s="77">
        <v>0.373</v>
      </c>
      <c r="H96" s="77"/>
      <c r="I96" s="146"/>
      <c r="J96" s="64"/>
      <c r="K96" s="64"/>
      <c r="L96" s="64"/>
      <c r="M96" s="75"/>
      <c r="N96" s="37"/>
      <c r="O96" s="37"/>
      <c r="P96" s="37"/>
    </row>
    <row r="97" spans="1:16" ht="12.75" customHeight="1" thickBot="1">
      <c r="A97" s="104" t="s">
        <v>19</v>
      </c>
      <c r="B97" s="64"/>
      <c r="C97" s="191">
        <f>IF(N$3=11,G$122,(IF(N$3=10,H$122,G122)))</f>
        <v>0.402</v>
      </c>
      <c r="D97" s="191">
        <f>IF(N$3=8,I$122,(IF(N$3=9,J$122,I$122)))</f>
        <v>0.3</v>
      </c>
      <c r="E97" s="77">
        <v>0.121</v>
      </c>
      <c r="F97" s="77">
        <v>0.077</v>
      </c>
      <c r="G97" s="77">
        <v>0.059</v>
      </c>
      <c r="H97" s="193" t="str">
        <f>IF(N$3=4,C$122,(IF(N$3=3,D$122,"0")))</f>
        <v>0</v>
      </c>
      <c r="I97" s="196" t="str">
        <f>IF(N$3=1,E$122,(IF(N$3=2,F$122,"0")))</f>
        <v>0</v>
      </c>
      <c r="J97" s="64"/>
      <c r="K97" s="64"/>
      <c r="L97" s="64"/>
      <c r="M97" s="75"/>
      <c r="N97" s="37"/>
      <c r="O97" s="37"/>
      <c r="P97" s="37"/>
    </row>
    <row r="98" spans="1:16" ht="12.75">
      <c r="A98" s="95" t="s">
        <v>40</v>
      </c>
      <c r="B98" s="58"/>
      <c r="C98" s="58" t="str">
        <f>IF(M$2=1,C$99,(IF(M$2=2,SUM(C$97,C$100),C100)))</f>
        <v>Selection N/A</v>
      </c>
      <c r="D98" s="58" t="str">
        <f>IF(M$2=1,D$99,(IF(M$2=2,SUM(D$97,D$100),D100)))</f>
        <v>Selection N/A</v>
      </c>
      <c r="E98" s="58">
        <f>IF(M$2=1,E$99,(IF(M$2=2,SUM(E$97,E$100),E100)))</f>
        <v>0</v>
      </c>
      <c r="F98" s="58">
        <f>IF(M$2=1,F$99,(IF(M$2=2,SUM(F$97,F$100),F100)))</f>
        <v>0</v>
      </c>
      <c r="G98" s="58">
        <f>IF(M$2=1,G$99,(IF(M$2=2,SUM(G$97,G$100),G100)))</f>
        <v>0</v>
      </c>
      <c r="H98" s="58" t="str">
        <f>IF(M$2=1,H$99,(IF(M$2=2,SUM(H$97,H$100),H100)))</f>
        <v>Selection N/A</v>
      </c>
      <c r="I98" s="59" t="str">
        <f>IF(M$2=1,I$99,(IF(M$2=2,SUM(I$97,I$100),I100)))</f>
        <v>Selection N/A</v>
      </c>
      <c r="J98" s="64"/>
      <c r="K98" s="64">
        <f>IF(M2&gt;2,"Weight N/A",0)</f>
        <v>0</v>
      </c>
      <c r="L98" s="64"/>
      <c r="M98" s="75"/>
      <c r="N98" s="37"/>
      <c r="O98" s="37"/>
      <c r="P98" s="37"/>
    </row>
    <row r="99" spans="1:16" ht="12.75">
      <c r="A99" s="43" t="s">
        <v>43</v>
      </c>
      <c r="B99" s="64"/>
      <c r="C99" s="64" t="str">
        <f>IF(AND(M$2=1,M$4=1),C$89,(IF(AND(M$2=1,M$4=2),C$90,(IF(AND(M$2=1,M$4=3),C$91,(IF(AND(M$2&lt;5,M$4=4),M$87,M$87)))))))</f>
        <v>Selection N/A</v>
      </c>
      <c r="D99" s="64" t="str">
        <f>IF(AND(M$2=1,M$4=1),D$89,(IF(AND(M$2=1,M$4=2),D$90,(IF(AND(M$2=1,M$4=3),D$91,(IF(AND(M$2=1,M$4=4),M$87,M$87)))))))</f>
        <v>Selection N/A</v>
      </c>
      <c r="E99" s="64">
        <f>IF(AND(M$2=1,M$4=1),E$89,(IF(AND(M$2=1,M$4=2),E$90,(IF(AND(M$2=1,M$4=3),E$91,(IF(AND(M$2=1,M$4=4),E$92,K98)))))))</f>
        <v>0</v>
      </c>
      <c r="F99" s="64">
        <f>IF(AND(M$2=1,M$4=1),F$89,(IF(AND(M$2=1,M$4=2),F$90,(IF(AND(M$2=1,M$4=3),F$91,(IF(AND(M$2=1,M$4=4),F$92,K98)))))))</f>
        <v>0</v>
      </c>
      <c r="G99" s="64">
        <f>IF(AND(M$2=1,M$4=1),G$89,(IF(AND(M$2=1,M$4=2),G$90,(IF(AND(M$2=1,M$4=3),G$91,(IF(AND(M$2=1,M$4=4),G$92,K98)))))))</f>
        <v>0</v>
      </c>
      <c r="H99" s="64" t="str">
        <f>IF(AND(M$2=1,M$4=1),H$89,(IF(AND(M$2=1,M$4=2),H$90,(IF(AND(M$2=1,M$4=3),H$91,M87)))))</f>
        <v>Selection N/A</v>
      </c>
      <c r="I99" s="75" t="str">
        <f>IF(AND(M$2=1,M$4=1),I$89,(IF(AND(M$2=1,M$4=2),I$90,(IF(AND(M$2=1,M$4=3),I$91,(IF(AND(M$2=1,M$4=4),M$88,M$87)))))))</f>
        <v>Selection N/A</v>
      </c>
      <c r="J99" s="64"/>
      <c r="K99" s="64"/>
      <c r="L99" s="64"/>
      <c r="M99" s="75"/>
      <c r="N99" s="37"/>
      <c r="O99" s="37"/>
      <c r="P99" s="37"/>
    </row>
    <row r="100" spans="1:16" ht="12.75">
      <c r="A100" s="88" t="s">
        <v>44</v>
      </c>
      <c r="B100" s="64"/>
      <c r="C100" s="64" t="str">
        <f>IF(AND(M$2=2,M$4=1),C$93,(IF(AND(M$2=2,M$4=2),C$94,(IF(AND(M$2=2,M$4=3),C$95,(IF(AND(M$2=2,M$4=4),M$87,M$87)))))))</f>
        <v>Selection N/A</v>
      </c>
      <c r="D100" s="64" t="str">
        <f>IF(AND(M$2=2,M$4=1),D$93,(IF(AND(M$2=2,M$4=2),D$94,(IF(AND(M$2=2,M$4=3),D$95,(IF(AND(M$2=2,M$4=4),M$87,M$87)))))))</f>
        <v>Selection N/A</v>
      </c>
      <c r="E100" s="64">
        <f>IF(AND(M$2=2,M$4=1),E$93,(IF(AND(M$2=2,M$4=2),E$94,(IF(AND(M$2=2,M$4=3),E$95,(IF(AND(M$2=2,M$4=4),E$96,K98)))))))</f>
        <v>0</v>
      </c>
      <c r="F100" s="64">
        <f>IF(AND(M$2=2,M$4=1),F$93,(IF(AND(M$2=2,M$4=2),F$94,(IF(AND(M$2=2,M$4=3),F$95,(IF(AND(M$2=2,M$4=4),F$96,K98)))))))</f>
        <v>0</v>
      </c>
      <c r="G100" s="64">
        <f>IF(AND(M$2=2,M$4=1),G$93,(IF(AND(M$2=2,M$4=2),G$94,(IF(AND(M$2=2,M$4=3),G$95,(IF(AND(M$2=2,M$4=4),G$96,K98)))))))</f>
        <v>0</v>
      </c>
      <c r="H100" s="64" t="str">
        <f>IF(AND(M$2=2,M$4=1),H$93,(IF(AND(M$2=2,M$4=2),H$94,(IF(AND(M$2=2,M$4=3),H$95,M$87)))))</f>
        <v>Selection N/A</v>
      </c>
      <c r="I100" s="75" t="str">
        <f>IF(AND(M$2=2,M$4=1),I$93,(IF(AND(M$2=2,M$4=2),I$94,(IF(AND(M$2=2,M$4=3),I$95,(IF(AND(M$2=2,M$4=4),M$87,M$87)))))))</f>
        <v>Selection N/A</v>
      </c>
      <c r="J100" s="64"/>
      <c r="K100" s="64"/>
      <c r="L100" s="64"/>
      <c r="M100" s="75"/>
      <c r="N100" s="37"/>
      <c r="O100" s="37"/>
      <c r="P100" s="37"/>
    </row>
    <row r="101" spans="1:16" ht="12.75">
      <c r="A101" s="88" t="s">
        <v>95</v>
      </c>
      <c r="B101" s="64"/>
      <c r="C101" s="64">
        <f>IF(AND(M$2=2,M$4=1),PRODUCT(C$74,calculator!C$10),(IF(AND(M$2=2,M$4=2),PRODUCT(C$75,calculator!C$10),(IF(AND(M$2=2,M$4=3),PRODUCT(C$76,calculator!C$10),(IF(AND(M$2=2,M$4=4),0,0)))))))</f>
        <v>0</v>
      </c>
      <c r="D101" s="64">
        <f>IF(AND(M$2=2,M$4=1),PRODUCT(D$74,calculator!C$10),(IF(AND(M$2=2,M$4=2),PRODUCT(D$75,calculator!C$10),(IF(AND(M$2=2,M$4=3),PRODUCT(D$76,calculator!C$10),(IF(AND(M$2=2,M$4=4),0,0)))))))</f>
        <v>0</v>
      </c>
      <c r="E101" s="64">
        <f>IF(AND(M$2=2,M$4=1),PRODUCT(E$74,calculator!C$10),(IF(AND(M$2=2,M$4=2),PRODUCT(E$75,calculator!C$10),(IF(AND(M$2=2,M$4=3),PRODUCT(E$76,calculator!C$10),(IF(AND(M$2=2,M$4=4),PRODUCT(E$77,calculator!C$10),K98)))))))</f>
        <v>0</v>
      </c>
      <c r="F101" s="64">
        <f>IF(AND(M$2=2,M$4=1),PRODUCT(F$74,calculator!C$10),(IF(AND(M$2=2,M$4=2),PRODUCT(F$75,calculator!C$10),(IF(AND(M$2=2,M$4=3),PRODUCT(F$76,calculator!C$10),(IF(AND(M$2=2,M$4=4),PRODUCT(F$77,calculator!C$10),K98)))))))</f>
        <v>0</v>
      </c>
      <c r="G101" s="64">
        <f>IF(AND(M$2=2,M$4=1),PRODUCT(G$74,calculator!C$10),(IF(AND(M$2=2,M$4=2),PRODUCT(G$75,calculator!C$10),(IF(AND(M$2=2,M$4=3),PRODUCT(G$76,calculator!C$10),(IF(AND(M$2=2,M$4=4),PRODUCT(G$77,calculator!C$10),K98)))))))</f>
        <v>0</v>
      </c>
      <c r="H101" s="64">
        <f>IF(AND(rates!M$2=2,rates!M$4=1),PRODUCT(H$93,calculator!C$10),(IF(AND(M$2=2,M$4=2),PRODUCT(H$94,calculator!C$10),(IF(AND(M$2=2,M$4=3),PRODUCT(H$95,calculator!C$10),(IF(AND(M$2=2,M$4=4),0,0)))))))</f>
        <v>0</v>
      </c>
      <c r="I101" s="75">
        <f>IF(AND(rates!M$2=2,rates!M$4=1),PRODUCT(I$93,calculator!C$10),(IF(AND(M$2=2,M$4=2),PRODUCT(I$94,calculator!C$10),(IF(AND(M$2=2,M$4=3),PRODUCT(I$95,calculator!C$10),(IF(AND(M$2=2,M$4=4),0,0)))))))</f>
        <v>0</v>
      </c>
      <c r="J101" s="64"/>
      <c r="K101" s="64"/>
      <c r="L101" s="64"/>
      <c r="M101" s="75"/>
      <c r="N101" s="37"/>
      <c r="O101" s="37"/>
      <c r="P101" s="37"/>
    </row>
    <row r="102" spans="1:16" ht="13.5" thickBot="1">
      <c r="A102" s="120" t="s">
        <v>96</v>
      </c>
      <c r="B102" s="61"/>
      <c r="C102" s="61" t="str">
        <f>IF(AND(M2=1,ISNUMBER(C99)),(K1*C99),(IF(AND(M2=2,ISNUMBER(C100)),(K1*C97),C99)))</f>
        <v>Selection N/A</v>
      </c>
      <c r="D102" s="61" t="str">
        <f>IF(AND(M2=1,ISNUMBER(D99)),(K1*D99),(IF(AND(M2=2,ISNUMBER(D100)),(K1*D97),D99)))</f>
        <v>Selection N/A</v>
      </c>
      <c r="E102" s="61">
        <f>IF(AND(M2=1,ISNUMBER(E99)),(K1*E99),(IF(AND(M2=2,ISNUMBER(E100)),(K1*E97),K1*98)))</f>
        <v>0</v>
      </c>
      <c r="F102" s="61">
        <f>IF(AND(M2=1,ISNUMBER(F99)),(K1*F99),(IF(AND(M2=2,ISNUMBER(F100)),(K1*F97),K98)))</f>
        <v>0</v>
      </c>
      <c r="G102" s="61">
        <f>IF(AND(M2=1,ISNUMBER(G99)),(K1*G99),(IF(AND(M2=2,ISNUMBER(G100)),(K1*G97),K98)))</f>
        <v>0</v>
      </c>
      <c r="H102" s="61" t="str">
        <f>IF(AND(M2=1,ISNUMBER(H99)),(K1*H99),(IF(AND(M2=2,ISNUMBER(H100)),(K1*H97),H99)))</f>
        <v>Selection N/A</v>
      </c>
      <c r="I102" s="62" t="str">
        <f>IF(AND(M2=1,ISNUMBER(I99)),(K1*I99),(IF(AND(M2=2,ISNUMBER(I100)),(K1*I97),I99)))</f>
        <v>Selection N/A</v>
      </c>
      <c r="J102" s="61"/>
      <c r="K102" s="61"/>
      <c r="L102" s="61"/>
      <c r="M102" s="62"/>
      <c r="N102" s="37"/>
      <c r="O102" s="37"/>
      <c r="P102" s="37"/>
    </row>
    <row r="103" spans="1:16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1:16" ht="12.75">
      <c r="A104" s="29"/>
      <c r="B104" s="29"/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6" ht="13.5" thickBot="1">
      <c r="A105" s="204" t="s">
        <v>136</v>
      </c>
      <c r="B105" s="205"/>
      <c r="C105" s="6"/>
      <c r="D105" s="6"/>
      <c r="F105" s="2"/>
    </row>
    <row r="106" spans="1:8" ht="13.5" thickBot="1">
      <c r="A106" s="275" t="s">
        <v>12</v>
      </c>
      <c r="B106" s="276"/>
      <c r="C106" s="276"/>
      <c r="D106" s="276"/>
      <c r="E106" s="143" t="s">
        <v>150</v>
      </c>
      <c r="F106" s="143" t="s">
        <v>150</v>
      </c>
      <c r="G106" s="143"/>
      <c r="H106" s="144"/>
    </row>
    <row r="107" spans="1:13" ht="13.5" thickBot="1">
      <c r="A107" s="167"/>
      <c r="B107" s="168" t="s">
        <v>13</v>
      </c>
      <c r="C107" s="319" t="s">
        <v>4</v>
      </c>
      <c r="D107" s="319"/>
      <c r="E107" s="320"/>
      <c r="F107" s="320"/>
      <c r="G107" s="320"/>
      <c r="H107" s="321"/>
      <c r="L107" s="103"/>
      <c r="M107" s="103"/>
    </row>
    <row r="108" spans="1:8" ht="39" thickBot="1">
      <c r="A108" s="43"/>
      <c r="B108" s="210"/>
      <c r="C108" s="209" t="s">
        <v>139</v>
      </c>
      <c r="D108" s="208" t="s">
        <v>141</v>
      </c>
      <c r="E108" s="209" t="s">
        <v>134</v>
      </c>
      <c r="F108" s="209" t="s">
        <v>154</v>
      </c>
      <c r="G108" s="209" t="s">
        <v>140</v>
      </c>
      <c r="H108" s="186" t="s">
        <v>142</v>
      </c>
    </row>
    <row r="109" spans="1:9" ht="12.75">
      <c r="A109" s="271" t="s">
        <v>41</v>
      </c>
      <c r="B109" s="211" t="s">
        <v>17</v>
      </c>
      <c r="C109" s="193">
        <v>0.26</v>
      </c>
      <c r="D109" s="193">
        <v>0.258</v>
      </c>
      <c r="E109" s="193">
        <v>0.561</v>
      </c>
      <c r="F109" s="193">
        <v>0.461</v>
      </c>
      <c r="G109" s="193">
        <v>0.438</v>
      </c>
      <c r="H109" s="195">
        <v>0.343</v>
      </c>
      <c r="I109" s="76"/>
    </row>
    <row r="110" spans="1:9" ht="12.75">
      <c r="A110" s="272"/>
      <c r="B110" s="211" t="s">
        <v>18</v>
      </c>
      <c r="C110" s="191">
        <v>0.227</v>
      </c>
      <c r="D110" s="191">
        <v>0.225</v>
      </c>
      <c r="E110" s="191">
        <v>0.528</v>
      </c>
      <c r="F110" s="191">
        <v>0.428</v>
      </c>
      <c r="G110" s="191">
        <v>0.405</v>
      </c>
      <c r="H110" s="196">
        <v>0.31</v>
      </c>
      <c r="I110" s="77"/>
    </row>
    <row r="111" spans="1:9" ht="12.75">
      <c r="A111" s="272"/>
      <c r="B111" s="211" t="s">
        <v>20</v>
      </c>
      <c r="C111" s="191">
        <v>0</v>
      </c>
      <c r="D111" s="191">
        <v>0.216</v>
      </c>
      <c r="E111" s="191">
        <v>0</v>
      </c>
      <c r="F111" s="191">
        <v>0.419</v>
      </c>
      <c r="G111" s="191">
        <v>0.396</v>
      </c>
      <c r="H111" s="196">
        <v>0.301</v>
      </c>
      <c r="I111" s="77"/>
    </row>
    <row r="112" spans="1:66" s="150" customFormat="1" ht="13.5" thickBot="1">
      <c r="A112" s="273"/>
      <c r="B112" s="212" t="s">
        <v>21</v>
      </c>
      <c r="C112" s="213"/>
      <c r="D112" s="197"/>
      <c r="E112" s="197"/>
      <c r="F112" s="197"/>
      <c r="G112" s="197"/>
      <c r="H112" s="198"/>
      <c r="I112" s="77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</row>
    <row r="113" spans="9:65" ht="12.75">
      <c r="I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</row>
    <row r="114" spans="1:2" ht="13.5" thickBot="1">
      <c r="A114" s="204" t="s">
        <v>136</v>
      </c>
      <c r="B114" s="205"/>
    </row>
    <row r="115" spans="1:10" ht="13.5" thickBot="1">
      <c r="A115" s="275" t="s">
        <v>22</v>
      </c>
      <c r="B115" s="276"/>
      <c r="C115" s="276"/>
      <c r="D115" s="276"/>
      <c r="E115" s="143"/>
      <c r="F115" s="143"/>
      <c r="G115" s="143"/>
      <c r="H115" s="143"/>
      <c r="I115" s="143"/>
      <c r="J115" s="144"/>
    </row>
    <row r="116" spans="1:10" ht="13.5" thickBot="1">
      <c r="A116" s="167"/>
      <c r="B116" s="168" t="s">
        <v>13</v>
      </c>
      <c r="C116" s="319" t="s">
        <v>5</v>
      </c>
      <c r="D116" s="319"/>
      <c r="E116" s="320"/>
      <c r="F116" s="320"/>
      <c r="G116" s="319" t="s">
        <v>4</v>
      </c>
      <c r="H116" s="320"/>
      <c r="I116" s="320"/>
      <c r="J116" s="321"/>
    </row>
    <row r="117" spans="1:10" ht="26.25" thickBot="1">
      <c r="A117" s="43"/>
      <c r="B117" s="206"/>
      <c r="C117" s="185" t="s">
        <v>131</v>
      </c>
      <c r="D117" s="185" t="s">
        <v>132</v>
      </c>
      <c r="E117" s="185" t="s">
        <v>137</v>
      </c>
      <c r="F117" s="186" t="s">
        <v>138</v>
      </c>
      <c r="G117" s="184" t="s">
        <v>146</v>
      </c>
      <c r="H117" s="185" t="s">
        <v>147</v>
      </c>
      <c r="I117" s="185" t="s">
        <v>148</v>
      </c>
      <c r="J117" s="186" t="s">
        <v>149</v>
      </c>
    </row>
    <row r="118" spans="1:10" ht="12.75">
      <c r="A118" s="271" t="s">
        <v>41</v>
      </c>
      <c r="B118" s="207" t="s">
        <v>17</v>
      </c>
      <c r="C118" s="193">
        <v>0.489</v>
      </c>
      <c r="D118" s="193">
        <v>0.436</v>
      </c>
      <c r="E118" s="193">
        <v>0.4</v>
      </c>
      <c r="F118" s="195">
        <v>0.339</v>
      </c>
      <c r="G118" s="193">
        <v>0.553</v>
      </c>
      <c r="H118" s="193">
        <v>0.483</v>
      </c>
      <c r="I118" s="193">
        <v>0.451</v>
      </c>
      <c r="J118" s="195">
        <v>0.366</v>
      </c>
    </row>
    <row r="119" spans="1:10" ht="12.75">
      <c r="A119" s="272"/>
      <c r="B119" s="207" t="s">
        <v>18</v>
      </c>
      <c r="C119" s="191">
        <v>0.456</v>
      </c>
      <c r="D119" s="191">
        <v>0.403</v>
      </c>
      <c r="E119" s="191">
        <v>0.367</v>
      </c>
      <c r="F119" s="196">
        <v>0.306</v>
      </c>
      <c r="G119" s="191">
        <v>0.52</v>
      </c>
      <c r="H119" s="191">
        <v>0.45</v>
      </c>
      <c r="I119" s="191">
        <v>0.418</v>
      </c>
      <c r="J119" s="196">
        <v>0.333</v>
      </c>
    </row>
    <row r="120" spans="1:10" ht="12.75">
      <c r="A120" s="272"/>
      <c r="B120" s="207" t="s">
        <v>20</v>
      </c>
      <c r="C120" s="191">
        <v>0</v>
      </c>
      <c r="D120" s="191">
        <v>0.394</v>
      </c>
      <c r="E120" s="191">
        <v>0.358</v>
      </c>
      <c r="F120" s="196">
        <v>0.297</v>
      </c>
      <c r="G120" s="191">
        <v>0</v>
      </c>
      <c r="H120" s="191">
        <v>0.441</v>
      </c>
      <c r="I120" s="191">
        <v>0.409</v>
      </c>
      <c r="J120" s="196">
        <v>0.324</v>
      </c>
    </row>
    <row r="121" spans="1:10" ht="13.5" thickBot="1">
      <c r="A121" s="273"/>
      <c r="B121" s="156" t="s">
        <v>21</v>
      </c>
      <c r="C121" s="197"/>
      <c r="D121" s="197"/>
      <c r="E121" s="197"/>
      <c r="F121" s="198"/>
      <c r="G121" s="197"/>
      <c r="H121" s="197"/>
      <c r="I121" s="197"/>
      <c r="J121" s="198"/>
    </row>
    <row r="122" spans="1:10" ht="13.5" thickBot="1">
      <c r="A122" s="286" t="s">
        <v>19</v>
      </c>
      <c r="B122" s="287"/>
      <c r="C122" s="284">
        <v>0.338</v>
      </c>
      <c r="D122" s="284">
        <v>0.285</v>
      </c>
      <c r="E122" s="284">
        <v>0.249</v>
      </c>
      <c r="F122" s="285">
        <v>0.188</v>
      </c>
      <c r="G122" s="284">
        <v>0.402</v>
      </c>
      <c r="H122" s="284">
        <v>0.332</v>
      </c>
      <c r="I122" s="284">
        <v>0.3</v>
      </c>
      <c r="J122" s="285">
        <v>0.215</v>
      </c>
    </row>
    <row r="123" ht="13.5" thickBot="1"/>
    <row r="124" spans="1:6" ht="13.5" thickBot="1">
      <c r="A124" s="228" t="s">
        <v>136</v>
      </c>
      <c r="B124" s="229"/>
      <c r="C124" s="230" t="s">
        <v>151</v>
      </c>
      <c r="D124" s="231"/>
      <c r="F124" s="2"/>
    </row>
    <row r="125" spans="1:4" ht="13.5" thickBot="1">
      <c r="A125" s="268" t="s">
        <v>12</v>
      </c>
      <c r="B125" s="269"/>
      <c r="C125" s="269"/>
      <c r="D125" s="270"/>
    </row>
    <row r="126" spans="1:4" ht="13.5" thickBot="1">
      <c r="A126" s="167"/>
      <c r="B126" s="168" t="s">
        <v>13</v>
      </c>
      <c r="C126" s="227" t="s">
        <v>4</v>
      </c>
      <c r="D126" s="232"/>
    </row>
    <row r="127" spans="1:4" ht="26.25" thickBot="1">
      <c r="A127" s="43"/>
      <c r="B127" s="236"/>
      <c r="C127" s="209" t="s">
        <v>134</v>
      </c>
      <c r="D127" s="233" t="s">
        <v>135</v>
      </c>
    </row>
    <row r="128" spans="1:4" ht="12.75">
      <c r="A128" s="271" t="s">
        <v>41</v>
      </c>
      <c r="B128" s="237" t="s">
        <v>17</v>
      </c>
      <c r="C128" s="193">
        <v>0.52</v>
      </c>
      <c r="D128" s="195">
        <v>0.44</v>
      </c>
    </row>
    <row r="129" spans="1:4" ht="12.75">
      <c r="A129" s="272"/>
      <c r="B129" s="237" t="s">
        <v>18</v>
      </c>
      <c r="C129" s="191">
        <v>0.487</v>
      </c>
      <c r="D129" s="196">
        <v>0.407</v>
      </c>
    </row>
    <row r="130" spans="1:4" ht="12.75">
      <c r="A130" s="272"/>
      <c r="B130" s="237" t="s">
        <v>20</v>
      </c>
      <c r="C130" s="191">
        <v>0</v>
      </c>
      <c r="D130" s="196">
        <v>0.398</v>
      </c>
    </row>
    <row r="131" spans="1:4" ht="13.5" thickBot="1">
      <c r="A131" s="273"/>
      <c r="B131" s="235" t="s">
        <v>21</v>
      </c>
      <c r="C131" s="197"/>
      <c r="D131" s="198"/>
    </row>
    <row r="132" spans="1:4" ht="12.75">
      <c r="A132" s="95" t="s">
        <v>102</v>
      </c>
      <c r="B132" s="236"/>
      <c r="C132" s="240">
        <f>IF(M$2=1,C$133,(IF(AND(M$2=2,ISNUMBER(C$134)),M87,"")))</f>
      </c>
      <c r="D132" s="241">
        <f>IF(M$2=1,D$133,(IF(AND(M$2=2,ISNUMBER(D$134)),M87,"")))</f>
      </c>
    </row>
    <row r="133" spans="1:4" ht="12.75">
      <c r="A133" s="43" t="s">
        <v>43</v>
      </c>
      <c r="B133" s="237"/>
      <c r="C133" s="240" t="str">
        <f>IF(AND(M$2=1,M$4=1),C$128,(IF(AND(M$2=1,M$4=2),C$129,(IF(AND(M$2=1,M$4=3),C$130,M$87)))))</f>
        <v>Selection N/A</v>
      </c>
      <c r="D133" s="241" t="str">
        <f>IF(AND(M$2=1,M$4=1),D$128,(IF(AND(M$2=1,M$4=2),D$129,(IF(AND(M$2=1,M$4=3),D$130,M$87)))))</f>
        <v>Selection N/A</v>
      </c>
    </row>
    <row r="134" spans="1:4" ht="12.75">
      <c r="A134" s="88" t="s">
        <v>44</v>
      </c>
      <c r="B134" s="238"/>
      <c r="C134" s="240" t="str">
        <f>M$87</f>
        <v>Selection N/A</v>
      </c>
      <c r="D134" s="241" t="str">
        <f>M$87</f>
        <v>Selection N/A</v>
      </c>
    </row>
    <row r="135" spans="1:4" ht="12.75">
      <c r="A135" s="88" t="s">
        <v>95</v>
      </c>
      <c r="B135" s="238"/>
      <c r="C135" s="240" t="str">
        <f>M$87</f>
        <v>Selection N/A</v>
      </c>
      <c r="D135" s="241" t="str">
        <f>M$87</f>
        <v>Selection N/A</v>
      </c>
    </row>
    <row r="136" spans="1:4" ht="13.5" thickBot="1">
      <c r="A136" s="120" t="s">
        <v>96</v>
      </c>
      <c r="B136" s="239"/>
      <c r="C136" s="242">
        <f>IF(AND(M$2=1,ISNUMBER(C$133)),(K$1*C$133),P$71)</f>
        <v>0</v>
      </c>
      <c r="D136" s="243">
        <f>IF(AND(M$2=1,ISNUMBER(D$133)),(K$1*D$133),P$71)</f>
        <v>0</v>
      </c>
    </row>
    <row r="137" ht="12.75">
      <c r="A137" s="234"/>
    </row>
  </sheetData>
  <sheetProtection password="8D71" sheet="1" objects="1" scenarios="1"/>
  <mergeCells count="66">
    <mergeCell ref="G116:J116"/>
    <mergeCell ref="C116:F116"/>
    <mergeCell ref="C107:H107"/>
    <mergeCell ref="A115:D115"/>
    <mergeCell ref="IE60:IH60"/>
    <mergeCell ref="EY60:FB60"/>
    <mergeCell ref="FF60:FI60"/>
    <mergeCell ref="FM60:FP60"/>
    <mergeCell ref="FT60:FW60"/>
    <mergeCell ref="GH60:GK60"/>
    <mergeCell ref="GO60:GR60"/>
    <mergeCell ref="IL60:IO60"/>
    <mergeCell ref="IS60:IV60"/>
    <mergeCell ref="E68:H68"/>
    <mergeCell ref="I68:L68"/>
    <mergeCell ref="HC60:HF60"/>
    <mergeCell ref="HJ60:HM60"/>
    <mergeCell ref="HQ60:HT60"/>
    <mergeCell ref="HX60:IA60"/>
    <mergeCell ref="GA60:GD60"/>
    <mergeCell ref="GV60:GY60"/>
    <mergeCell ref="EK60:EN60"/>
    <mergeCell ref="ER60:EU60"/>
    <mergeCell ref="CG60:CJ60"/>
    <mergeCell ref="CN60:CQ60"/>
    <mergeCell ref="CU60:CX60"/>
    <mergeCell ref="DB60:DE60"/>
    <mergeCell ref="DI60:DL60"/>
    <mergeCell ref="DP60:DS60"/>
    <mergeCell ref="DW60:DZ60"/>
    <mergeCell ref="ED60:EG60"/>
    <mergeCell ref="BE60:BH60"/>
    <mergeCell ref="BL60:BO60"/>
    <mergeCell ref="BS60:BV60"/>
    <mergeCell ref="BZ60:CC60"/>
    <mergeCell ref="AJ60:AM60"/>
    <mergeCell ref="A67:D67"/>
    <mergeCell ref="AQ60:AT60"/>
    <mergeCell ref="AX60:BA60"/>
    <mergeCell ref="E87:G87"/>
    <mergeCell ref="H87:I87"/>
    <mergeCell ref="V60:Y60"/>
    <mergeCell ref="AC60:AF60"/>
    <mergeCell ref="N70:P70"/>
    <mergeCell ref="A85:I85"/>
    <mergeCell ref="A87:A88"/>
    <mergeCell ref="C87:D87"/>
    <mergeCell ref="B4:B6"/>
    <mergeCell ref="A22:G22"/>
    <mergeCell ref="B24:B25"/>
    <mergeCell ref="C24:G25"/>
    <mergeCell ref="A4:A6"/>
    <mergeCell ref="A24:A26"/>
    <mergeCell ref="D15:F15"/>
    <mergeCell ref="H17:I17"/>
    <mergeCell ref="A70:A73"/>
    <mergeCell ref="A74:A77"/>
    <mergeCell ref="A46:D46"/>
    <mergeCell ref="C68:D68"/>
    <mergeCell ref="A125:D125"/>
    <mergeCell ref="A128:A131"/>
    <mergeCell ref="A93:A96"/>
    <mergeCell ref="A89:A92"/>
    <mergeCell ref="A118:A121"/>
    <mergeCell ref="A106:D106"/>
    <mergeCell ref="A109:A112"/>
  </mergeCells>
  <hyperlinks>
    <hyperlink ref="A50" r:id="rId1" tooltip="See footnote 2, &quot;Flats weighing 1 oz. ...&quot;" display="Footnote_2_4610229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7"/>
  <sheetViews>
    <sheetView workbookViewId="0" topLeftCell="A1">
      <selection activeCell="F5" sqref="F5"/>
    </sheetView>
  </sheetViews>
  <sheetFormatPr defaultColWidth="9.140625" defaultRowHeight="12.75"/>
  <cols>
    <col min="1" max="1" width="14.421875" style="0" customWidth="1"/>
    <col min="2" max="2" width="19.57421875" style="0" customWidth="1"/>
    <col min="3" max="3" width="2.57421875" style="0" customWidth="1"/>
    <col min="4" max="4" width="7.421875" style="16" bestFit="1" customWidth="1"/>
    <col min="5" max="5" width="2.421875" style="0" customWidth="1"/>
    <col min="6" max="6" width="28.00390625" style="0" customWidth="1"/>
    <col min="7" max="7" width="3.28125" style="0" customWidth="1"/>
    <col min="8" max="8" width="27.7109375" style="0" bestFit="1" customWidth="1"/>
    <col min="9" max="9" width="15.8515625" style="0" customWidth="1"/>
    <col min="10" max="10" width="13.8515625" style="0" customWidth="1"/>
    <col min="11" max="11" width="16.140625" style="0" customWidth="1"/>
    <col min="12" max="12" width="13.7109375" style="0" customWidth="1"/>
  </cols>
  <sheetData>
    <row r="1" spans="1:12" ht="13.5" customHeight="1">
      <c r="A1" s="175" t="s">
        <v>35</v>
      </c>
      <c r="B1" s="176" t="s">
        <v>24</v>
      </c>
      <c r="C1" s="177"/>
      <c r="D1" s="178" t="s">
        <v>11</v>
      </c>
      <c r="E1" s="177"/>
      <c r="F1" s="179" t="s">
        <v>34</v>
      </c>
      <c r="G1" s="179"/>
      <c r="H1" s="180" t="s">
        <v>83</v>
      </c>
      <c r="I1" s="37"/>
      <c r="J1" s="151" t="s">
        <v>11</v>
      </c>
      <c r="K1" s="152" t="s">
        <v>34</v>
      </c>
      <c r="L1" s="153"/>
    </row>
    <row r="2" spans="1:12" ht="12.75">
      <c r="A2" s="37">
        <v>1</v>
      </c>
      <c r="B2" s="50" t="s">
        <v>79</v>
      </c>
      <c r="C2" s="37"/>
      <c r="D2" s="121">
        <f>IF(rates!M1&lt;3,1,"&lt;=3.3")</f>
        <v>1</v>
      </c>
      <c r="E2" s="37"/>
      <c r="F2" s="122" t="str">
        <f>IF(rates!M$1&lt;3,"Presorted",(IF(rates!M$1=3,"Auto 3 Digit ","Auto 3-Digit")))</f>
        <v>Presorted</v>
      </c>
      <c r="G2" s="123"/>
      <c r="H2" s="122" t="str">
        <f>IF(rates!M$1&gt;2,"None","N/A")</f>
        <v>N/A</v>
      </c>
      <c r="I2" s="37"/>
      <c r="J2" s="154">
        <v>1</v>
      </c>
      <c r="K2" s="100" t="str">
        <f>IF(OR(rates!L16=1,rates!R$1=3),"Mixed AADC",(IF(rates!R$1=2,"Mixed ADC",(IF(rates!R$1=4,"Auto Basic","Mixed AAD")))))</f>
        <v>Mixed AAD</v>
      </c>
      <c r="L2" s="155"/>
    </row>
    <row r="3" spans="1:12" ht="12.75" customHeight="1">
      <c r="A3" s="37">
        <v>2</v>
      </c>
      <c r="B3" s="50" t="s">
        <v>80</v>
      </c>
      <c r="C3" s="37"/>
      <c r="D3" s="121">
        <f>IF(rates!M1&lt;3,2,(IF(AND(rates!M1=3,rates!M3&gt;12)," ","&gt;3.3")))</f>
        <v>2</v>
      </c>
      <c r="E3" s="37"/>
      <c r="F3" s="122" t="str">
        <f>IF(rates!M$1=1,"Mixed AADC",(IF(rates!M$1=2,"Mixed ADC","Auto 5 Digit ")))</f>
        <v>Auto 5 Digit </v>
      </c>
      <c r="G3" s="123"/>
      <c r="H3" s="122">
        <f>IF(rates!M$1&gt;2,"DBMC","")</f>
      </c>
      <c r="I3" s="37"/>
      <c r="J3" s="154">
        <v>2</v>
      </c>
      <c r="K3" s="100" t="str">
        <f>IF(rates!R$1=4,"Auto 3/5","AADC")</f>
        <v>AADC</v>
      </c>
      <c r="L3" s="155"/>
    </row>
    <row r="4" spans="1:12" ht="12.75">
      <c r="A4" s="37">
        <v>3</v>
      </c>
      <c r="B4" s="200" t="s">
        <v>81</v>
      </c>
      <c r="C4" s="37"/>
      <c r="D4" s="121">
        <f>IF(rates!M1&lt;3,3,"")</f>
        <v>3</v>
      </c>
      <c r="E4" s="37"/>
      <c r="F4" s="122" t="str">
        <f>IF(rates!M$1=1,"AADC",(IF(rates!M$1=2,"ADC",(IF(rates!M$1=3,"Auto AADC","Auto ADC")))))</f>
        <v>Auto ADC</v>
      </c>
      <c r="G4" s="123"/>
      <c r="H4" s="122">
        <f>IF(rates!M$1&gt;2,"DSCF","")</f>
      </c>
      <c r="I4" s="37"/>
      <c r="J4" s="154">
        <v>3</v>
      </c>
      <c r="K4" s="100" t="str">
        <f>IF(rates!R$1=4,"","3‑Digit")</f>
        <v>3‑Digit</v>
      </c>
      <c r="L4" s="155"/>
    </row>
    <row r="5" spans="1:12" ht="12.75">
      <c r="A5" s="37">
        <v>4</v>
      </c>
      <c r="B5" s="200" t="s">
        <v>82</v>
      </c>
      <c r="C5" s="37"/>
      <c r="D5" s="121">
        <f>IF(rates!M1=2,4,(IF(rates!M1=1,3.5,"")))</f>
      </c>
      <c r="E5" s="37"/>
      <c r="F5" s="122" t="str">
        <f>IF(rates!M$1&lt;3,"3 Digit",(IF(rates!M$1=3,"Auto Mixed AADC","Auto Mixed ADC")))</f>
        <v>3 Digit</v>
      </c>
      <c r="G5" s="123"/>
      <c r="H5" s="122">
        <f>IF(rates!M$1&gt;2,"DDU","")</f>
      </c>
      <c r="I5" s="37"/>
      <c r="J5" s="154" t="str">
        <f>IF(rates!M$1=2,"","3.3")</f>
        <v>3.3</v>
      </c>
      <c r="K5" s="100" t="str">
        <f>IF(rates!R$1=4,"","5‑Digit")</f>
        <v>5‑Digit</v>
      </c>
      <c r="L5" s="155"/>
    </row>
    <row r="6" spans="1:12" ht="12.75" customHeight="1">
      <c r="A6" s="37">
        <v>5</v>
      </c>
      <c r="B6" s="37"/>
      <c r="C6" s="37"/>
      <c r="D6" s="121">
        <f>IF(rates!M1=2,5,(IF(rates!M1=1,"CARD","")))</f>
      </c>
      <c r="E6" s="37"/>
      <c r="F6" s="122" t="str">
        <f>IF(rates!M$1&lt;3,"5 Digit",(IF(rates!M$1=3,"","ECR Basic")))</f>
        <v>5 Digit</v>
      </c>
      <c r="G6" s="123"/>
      <c r="H6" s="124"/>
      <c r="I6" s="37"/>
      <c r="J6" s="154">
        <f>IF(rates!M$1=3,"&lt;=3.5","")</f>
      </c>
      <c r="K6" s="100">
        <f>IF(rates!R$1&lt;2,"","")</f>
      </c>
      <c r="L6" s="155"/>
    </row>
    <row r="7" spans="1:12" ht="12.75" customHeight="1">
      <c r="A7" s="37">
        <v>6</v>
      </c>
      <c r="B7" s="37"/>
      <c r="C7" s="37"/>
      <c r="D7" s="121">
        <f>IF(rates!M1=2,6,"")</f>
      </c>
      <c r="E7" s="37"/>
      <c r="F7" s="122">
        <f>IF(rates!M$1=1,"",(IF(rates!M$1=3,"ECR Basic",(IF(rates!M$1=4,"ECR HD","")))))</f>
      </c>
      <c r="G7" s="123"/>
      <c r="H7" s="123"/>
      <c r="I7" s="37"/>
      <c r="J7" s="154">
        <f>IF(AND(rates!M$1=1,rates!M$3&lt;6),"",4)</f>
        <v>4</v>
      </c>
      <c r="K7" s="100" t="str">
        <f>IF(rates!R$1&lt;3,"Presorted","Presorted Basic")</f>
        <v>Presorted</v>
      </c>
      <c r="L7" s="155"/>
    </row>
    <row r="8" spans="1:12" ht="12.75">
      <c r="A8" s="37">
        <v>7</v>
      </c>
      <c r="B8" s="37"/>
      <c r="C8" s="37"/>
      <c r="D8" s="121">
        <f>IF(rates!M1=2,7,"")</f>
      </c>
      <c r="E8" s="37"/>
      <c r="F8" s="122">
        <f>IF(rates!M$1=3,"ECR HD ",(IF(rates!M$1=4,"ECR Sat","")))</f>
      </c>
      <c r="G8" s="37"/>
      <c r="H8" s="37"/>
      <c r="I8" s="37"/>
      <c r="J8" s="154">
        <f>IF(AND(rates!M$1=1,rates!M$3&lt;6),"",5)</f>
        <v>5</v>
      </c>
      <c r="K8" s="100">
        <f>IF(rates!R$1&gt;2,"Presorted 3/5","")</f>
      </c>
      <c r="L8" s="155"/>
    </row>
    <row r="9" spans="1:12" ht="12.75">
      <c r="A9" s="37">
        <v>8</v>
      </c>
      <c r="B9" s="37"/>
      <c r="C9" s="37"/>
      <c r="D9" s="121">
        <f>IF(rates!M1=2,8,"")</f>
      </c>
      <c r="E9" s="37"/>
      <c r="F9" s="122" t="str">
        <f>IF(rates!M$1=3,"ECR Sat",(IF(rates!M$1=4,"NA 3-Digit"," ")))</f>
        <v> </v>
      </c>
      <c r="G9" s="123"/>
      <c r="H9" s="37"/>
      <c r="I9" s="37"/>
      <c r="J9" s="154">
        <f>IF(AND(rates!M$1=1,rates!M$3&lt;6),"",6)</f>
        <v>6</v>
      </c>
      <c r="K9" s="100">
        <f>IF(rates!R$1&gt;2,"ECR Basic","")</f>
      </c>
      <c r="L9" s="155"/>
    </row>
    <row r="10" spans="1:12" ht="12.75">
      <c r="A10" s="37">
        <v>9</v>
      </c>
      <c r="B10" s="37"/>
      <c r="C10" s="37"/>
      <c r="D10" s="121">
        <f>IF(rates!M1=2,9,"")</f>
      </c>
      <c r="E10" s="37"/>
      <c r="F10" s="122">
        <f>IF(rates!M$1=3,"NA MACH - AADC",(IF(rates!M$1=4,"NA 5-Digit","")))</f>
      </c>
      <c r="G10" s="37"/>
      <c r="H10" s="37"/>
      <c r="I10" s="37"/>
      <c r="J10" s="154">
        <f>IF(AND(rates!M$1=1,rates!M$3&lt;6),"",7)</f>
        <v>7</v>
      </c>
      <c r="K10" s="100">
        <f>IF(rates!R$1&gt;2,"ECR High Density","")</f>
      </c>
      <c r="L10" s="155"/>
    </row>
    <row r="11" spans="1:12" ht="12.75">
      <c r="A11" s="37">
        <v>10</v>
      </c>
      <c r="B11" s="37"/>
      <c r="C11" s="37"/>
      <c r="D11" s="121">
        <f>IF(rates!M1=2,10,"")</f>
      </c>
      <c r="E11" s="37"/>
      <c r="F11" s="122">
        <f>IF(rates!M$1=3,"NA MACH Mixed AADC ",(IF(rates!M$1=4,"NA ADC","")))</f>
      </c>
      <c r="G11" s="37"/>
      <c r="H11" s="37"/>
      <c r="I11" s="37"/>
      <c r="J11" s="154">
        <f>IF(AND(rates!M$1=1,rates!M$3&lt;6),"",8)</f>
        <v>8</v>
      </c>
      <c r="K11" s="100">
        <f>IF(rates!R$1&gt;2,"ECR Saturation","")</f>
      </c>
      <c r="L11" s="155"/>
    </row>
    <row r="12" spans="1:12" ht="12.75">
      <c r="A12" s="37">
        <v>11</v>
      </c>
      <c r="B12" s="37"/>
      <c r="C12" s="37"/>
      <c r="D12" s="121">
        <f>IF(rates!M1=2,11,"")</f>
      </c>
      <c r="E12" s="37"/>
      <c r="F12" s="122">
        <f>IF(rates!M$1=3,"NA NON-MACH - 3-Digit",(IF(rates!M$1=4,"NA Mixed ADC","")))</f>
      </c>
      <c r="G12" s="37"/>
      <c r="H12" s="37"/>
      <c r="I12" s="37"/>
      <c r="J12" s="154">
        <f>IF(AND(rates!M$1=1,rates!M$3&lt;6),"",9)</f>
        <v>9</v>
      </c>
      <c r="K12" s="157">
        <f>IF(rates!R$1=3,"ECR Automation","")</f>
      </c>
      <c r="L12" s="155"/>
    </row>
    <row r="13" spans="1:12" ht="12.75">
      <c r="A13" s="37">
        <v>12</v>
      </c>
      <c r="B13" s="37"/>
      <c r="C13" s="37"/>
      <c r="D13" s="121">
        <f>IF(rates!M1=2,12,"")</f>
      </c>
      <c r="E13" s="37"/>
      <c r="F13" s="122">
        <f>IF(rates!M$1=3,"NA NON-MACH - 5-Digit","")</f>
      </c>
      <c r="G13" s="37"/>
      <c r="H13" s="37"/>
      <c r="I13" s="37"/>
      <c r="J13" s="154">
        <f>IF(AND(rates!M$1=1,rates!M$3&lt;6),"",10)</f>
        <v>10</v>
      </c>
      <c r="K13" s="64"/>
      <c r="L13" s="155"/>
    </row>
    <row r="14" spans="1:12" ht="12.75">
      <c r="A14" s="37">
        <v>13</v>
      </c>
      <c r="B14" s="37"/>
      <c r="C14" s="37"/>
      <c r="D14" s="121">
        <f>IF(rates!M1=2,13,"")</f>
      </c>
      <c r="E14" s="37"/>
      <c r="F14" s="122">
        <f>IF(rates!M$1=3,"NA NON-MACH - ADC","")</f>
      </c>
      <c r="G14" s="37"/>
      <c r="H14" s="37"/>
      <c r="I14" s="37"/>
      <c r="J14" s="154">
        <f>IF(AND(rates!M$1=1,rates!M$3&lt;6),"",11)</f>
        <v>11</v>
      </c>
      <c r="K14" s="64"/>
      <c r="L14" s="155"/>
    </row>
    <row r="15" spans="1:12" ht="12.75">
      <c r="A15" s="37">
        <v>14</v>
      </c>
      <c r="B15" s="37"/>
      <c r="C15" s="37"/>
      <c r="D15" s="121"/>
      <c r="E15" s="37"/>
      <c r="F15" s="122">
        <f>IF(rates!M$1=3,"NA NON-MACH - Mixed ADC ","")</f>
      </c>
      <c r="G15" s="37"/>
      <c r="H15" s="37"/>
      <c r="I15" s="37"/>
      <c r="J15" s="154">
        <f>IF(AND(rates!M$1=1,rates!M$3&lt;6),"",12)</f>
        <v>12</v>
      </c>
      <c r="K15" s="64"/>
      <c r="L15" s="155"/>
    </row>
    <row r="16" spans="1:12" ht="12.75">
      <c r="A16" s="37">
        <v>15</v>
      </c>
      <c r="B16" s="37"/>
      <c r="C16" s="37"/>
      <c r="D16" s="125">
        <f>IF(AND(rates!M1=1,rates!M$3=1),"CARD","")</f>
      </c>
      <c r="E16" s="37"/>
      <c r="F16" s="122"/>
      <c r="G16" s="126"/>
      <c r="H16" s="126"/>
      <c r="I16" s="121"/>
      <c r="J16" s="154">
        <f>IF(AND(rates!M$1=1,rates!M$3&lt;6),"",13)</f>
        <v>13</v>
      </c>
      <c r="K16" s="126"/>
      <c r="L16" s="155"/>
    </row>
    <row r="17" spans="1:12" ht="12.75">
      <c r="A17" s="37">
        <v>16</v>
      </c>
      <c r="B17" s="37"/>
      <c r="C17" s="37"/>
      <c r="D17" s="127"/>
      <c r="E17" s="37"/>
      <c r="F17" s="122"/>
      <c r="G17" s="128"/>
      <c r="H17" s="45"/>
      <c r="I17" s="125"/>
      <c r="J17" s="158">
        <f>IF(rates!M$1=1,"CARD","")</f>
      </c>
      <c r="K17" s="103"/>
      <c r="L17" s="159"/>
    </row>
    <row r="18" spans="1:12" ht="12.75">
      <c r="A18" s="37"/>
      <c r="B18" s="37"/>
      <c r="C18" s="37"/>
      <c r="D18" s="127"/>
      <c r="E18" s="37"/>
      <c r="F18" s="37"/>
      <c r="G18" s="37"/>
      <c r="H18" s="37"/>
      <c r="I18" s="37"/>
      <c r="J18" s="160"/>
      <c r="K18" s="64"/>
      <c r="L18" s="161"/>
    </row>
    <row r="19" spans="1:12" ht="12.75">
      <c r="A19" s="37"/>
      <c r="B19" s="37"/>
      <c r="C19" s="37"/>
      <c r="D19" s="127"/>
      <c r="E19" s="37"/>
      <c r="F19" s="130"/>
      <c r="G19" s="130"/>
      <c r="H19" s="44"/>
      <c r="I19" s="44"/>
      <c r="J19" s="162"/>
      <c r="K19" s="64"/>
      <c r="L19" s="161"/>
    </row>
    <row r="20" spans="1:12" ht="12.75">
      <c r="A20" s="37"/>
      <c r="B20" s="37"/>
      <c r="C20" s="37"/>
      <c r="D20" s="127"/>
      <c r="E20" s="37"/>
      <c r="F20" s="46"/>
      <c r="G20" s="131"/>
      <c r="H20" s="46"/>
      <c r="I20" s="46"/>
      <c r="J20" s="162" t="s">
        <v>133</v>
      </c>
      <c r="K20" s="64"/>
      <c r="L20" s="163"/>
    </row>
    <row r="21" spans="1:12" ht="12.75">
      <c r="A21" s="132"/>
      <c r="B21" s="132"/>
      <c r="C21" s="132"/>
      <c r="D21" s="133"/>
      <c r="E21" s="132"/>
      <c r="F21" s="132"/>
      <c r="G21" s="132"/>
      <c r="H21" s="132"/>
      <c r="I21" s="132"/>
      <c r="J21" s="164"/>
      <c r="K21" s="165"/>
      <c r="L21" s="166"/>
    </row>
    <row r="22" spans="1:11" ht="12.75">
      <c r="A22" s="132"/>
      <c r="B22" s="132"/>
      <c r="C22" s="132"/>
      <c r="D22" s="133"/>
      <c r="E22" s="132"/>
      <c r="F22" s="132"/>
      <c r="G22" s="132"/>
      <c r="H22" s="132"/>
      <c r="I22" s="132"/>
      <c r="J22" s="132"/>
      <c r="K22" s="132"/>
    </row>
    <row r="23" spans="1:11" ht="12.75">
      <c r="A23" s="132"/>
      <c r="B23" s="132"/>
      <c r="C23" s="132"/>
      <c r="D23" s="133"/>
      <c r="E23" s="132"/>
      <c r="F23" s="132"/>
      <c r="G23" s="132"/>
      <c r="H23" s="132"/>
      <c r="I23" s="132"/>
      <c r="J23" s="132"/>
      <c r="K23" s="132"/>
    </row>
    <row r="24" spans="1:11" ht="12.75">
      <c r="A24" s="132"/>
      <c r="B24" s="132"/>
      <c r="C24" s="132"/>
      <c r="D24" s="133"/>
      <c r="E24" s="132"/>
      <c r="F24" s="132"/>
      <c r="G24" s="132"/>
      <c r="H24" s="132"/>
      <c r="I24" s="132"/>
      <c r="J24" s="132"/>
      <c r="K24" s="132"/>
    </row>
    <row r="25" spans="1:11" ht="12.75">
      <c r="A25" s="132"/>
      <c r="B25" s="132"/>
      <c r="C25" s="132"/>
      <c r="D25" s="133"/>
      <c r="E25" s="132"/>
      <c r="F25" s="132"/>
      <c r="G25" s="132"/>
      <c r="H25" s="132"/>
      <c r="I25" s="132"/>
      <c r="J25" s="132"/>
      <c r="K25" s="132"/>
    </row>
    <row r="26" spans="1:11" ht="12.75">
      <c r="A26" s="132"/>
      <c r="B26" s="132"/>
      <c r="C26" s="132"/>
      <c r="D26" s="133"/>
      <c r="E26" s="132"/>
      <c r="F26" s="132"/>
      <c r="G26" s="132"/>
      <c r="H26" s="132"/>
      <c r="I26" s="132"/>
      <c r="J26" s="132"/>
      <c r="K26" s="132"/>
    </row>
    <row r="27" spans="1:11" ht="12.75">
      <c r="A27" s="132"/>
      <c r="B27" s="132"/>
      <c r="C27" s="132"/>
      <c r="D27" s="133"/>
      <c r="E27" s="132"/>
      <c r="F27" s="132"/>
      <c r="G27" s="132"/>
      <c r="H27" s="132"/>
      <c r="I27" s="132"/>
      <c r="J27" s="132"/>
      <c r="K27" s="132"/>
    </row>
  </sheetData>
  <sheetProtection password="8D71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Finney</dc:creator>
  <cp:keywords/>
  <dc:description/>
  <cp:lastModifiedBy>Larry Finney</cp:lastModifiedBy>
  <dcterms:created xsi:type="dcterms:W3CDTF">2005-12-20T19:33:38Z</dcterms:created>
  <dcterms:modified xsi:type="dcterms:W3CDTF">2008-10-15T14:03:38Z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1521506422</vt:i4>
  </property>
  <property fmtid="{D5CDD505-2E9C-101B-9397-08002B2CF9AE}" pid="3" name="_EmailSubject">
    <vt:lpwstr>AQP PMO Issue/Problem/Task Request - AEC Calculator</vt:lpwstr>
  </property>
  <property fmtid="{D5CDD505-2E9C-101B-9397-08002B2CF9AE}" pid="4" name="_AuthorEmail">
    <vt:lpwstr>larry.finney@usps.gov</vt:lpwstr>
  </property>
  <property fmtid="{D5CDD505-2E9C-101B-9397-08002B2CF9AE}" pid="5" name="_AuthorEmailDisplayName">
    <vt:lpwstr>Finney, Larry - Memphis, TN - Contractor</vt:lpwstr>
  </property>
  <property fmtid="{D5CDD505-2E9C-101B-9397-08002B2CF9AE}" pid="6" name="_PreviousAdHocReviewCycleID">
    <vt:i4>309701359</vt:i4>
  </property>
</Properties>
</file>