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4512" windowWidth="15480" windowHeight="11340" tabRatio="647" activeTab="0"/>
  </bookViews>
  <sheets>
    <sheet name="Summary" sheetId="1" r:id="rId1"/>
    <sheet name="Science" sheetId="2" r:id="rId2"/>
    <sheet name="Telescope" sheetId="3" r:id="rId3"/>
    <sheet name="BUS" sheetId="4" r:id="rId4"/>
    <sheet name="moments" sheetId="5" r:id="rId5"/>
    <sheet name="OB-BFL ws" sheetId="6" state="hidden" r:id="rId6"/>
    <sheet name="FWheel ws " sheetId="7" state="hidden" r:id="rId7"/>
    <sheet name="SBA mass ws" sheetId="8" state="hidden" r:id="rId8"/>
    <sheet name="SBA power " sheetId="9" state="hidden" r:id="rId9"/>
  </sheets>
  <definedNames>
    <definedName name="_xlnm.Print_Area" localSheetId="0">'Summary'!$A$1:$L$29</definedName>
  </definedNames>
  <calcPr fullCalcOnLoad="1"/>
</workbook>
</file>

<file path=xl/comments8.xml><?xml version="1.0" encoding="utf-8"?>
<comments xmlns="http://schemas.openxmlformats.org/spreadsheetml/2006/main">
  <authors>
    <author>lmgullo</author>
  </authors>
  <commentList>
    <comment ref="B1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this includes: 3 latch valves, 2 fill/drain Valves, 3 fiters, 2 pressure transducers</t>
        </r>
      </text>
    </comment>
    <comment ref="C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includes redundant components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required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based on Hessi heritage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RWA15
</t>
        </r>
      </text>
    </comment>
    <comment ref="B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One roll and one cross axis star tracker
</t>
        </r>
      </text>
    </comment>
    <comment ref="B3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
</t>
        </r>
      </text>
    </comment>
  </commentList>
</comments>
</file>

<file path=xl/comments9.xml><?xml version="1.0" encoding="utf-8"?>
<comments xmlns="http://schemas.openxmlformats.org/spreadsheetml/2006/main">
  <authors>
    <author>lmgullo</author>
  </authors>
  <commentList>
    <comment ref="B3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not sure what this is.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assumption is that there are four, RWA 15's per subcontractor information.</t>
        </r>
      </text>
    </comment>
    <comment ref="B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quantity of one gyro</t>
        </r>
      </text>
    </comment>
    <comment ref="B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beginning power supply will be 209 and at the end of the mission we should be at 170 per the proposal.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</t>
        </r>
      </text>
    </comment>
    <comment ref="E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years, assumes 2-3% degradation per year.
</t>
        </r>
      </text>
    </comment>
    <comment ref="D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with zero margin</t>
        </r>
      </text>
    </comment>
    <comment ref="E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assumes 2-3% degration per year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28 volt battery operating at 21 amp hours</t>
        </r>
      </text>
    </comment>
    <comment ref="D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that we need with zero margin</t>
        </r>
      </text>
    </comment>
    <comment ref="B36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 </t>
        </r>
      </text>
    </comment>
  </commentList>
</comments>
</file>

<file path=xl/sharedStrings.xml><?xml version="1.0" encoding="utf-8"?>
<sst xmlns="http://schemas.openxmlformats.org/spreadsheetml/2006/main" count="660" uniqueCount="385">
  <si>
    <t>Optical Bench</t>
  </si>
  <si>
    <t>Secondary Metering Structure</t>
  </si>
  <si>
    <t>Tertiary Metering Structure</t>
  </si>
  <si>
    <t>MLI</t>
  </si>
  <si>
    <t>Spacecraft Bus Assembly</t>
  </si>
  <si>
    <t>Baffle Upper</t>
  </si>
  <si>
    <t xml:space="preserve">Solar Array Support Structure </t>
  </si>
  <si>
    <t>Array Substrates &amp; Mounts</t>
  </si>
  <si>
    <t>Composite Shear Assembly</t>
  </si>
  <si>
    <t>Truss Assembly</t>
  </si>
  <si>
    <t>Mounts and Fittings</t>
  </si>
  <si>
    <t>Fasteners</t>
  </si>
  <si>
    <t>Primary Structure</t>
  </si>
  <si>
    <t>OTA Kinematic Mount</t>
  </si>
  <si>
    <t>Command and Data Handling</t>
  </si>
  <si>
    <t>SCU - Spacecraft Control Unit</t>
  </si>
  <si>
    <t>Electrical Power Systems</t>
  </si>
  <si>
    <t>Battery</t>
  </si>
  <si>
    <t>Solar Panels</t>
  </si>
  <si>
    <t>PCU - Power Control Unit</t>
  </si>
  <si>
    <t>Spacecraft Harness</t>
  </si>
  <si>
    <t>Attitude Control System</t>
  </si>
  <si>
    <t xml:space="preserve">ACS DPU </t>
  </si>
  <si>
    <t>Reaction Wheel Assembly</t>
  </si>
  <si>
    <t>Transponder</t>
  </si>
  <si>
    <t xml:space="preserve">LGA - Low Gain Antennas </t>
  </si>
  <si>
    <t>HGA - High Gain Antennas</t>
  </si>
  <si>
    <t>RF Cabling</t>
  </si>
  <si>
    <t>Gyro</t>
  </si>
  <si>
    <t>Star Cameras/Trackers</t>
  </si>
  <si>
    <t>Sun Position Sensors</t>
  </si>
  <si>
    <t>Main Engine - 5 lbf</t>
  </si>
  <si>
    <t>Attitude Engine - .2lbs</t>
  </si>
  <si>
    <t>Valve and Plumbing Package</t>
  </si>
  <si>
    <t>Tank</t>
  </si>
  <si>
    <t>Thermal Control System</t>
  </si>
  <si>
    <t>Temperature Sensors</t>
  </si>
  <si>
    <t>MLI - Multilayer Insulation Assembly Blanket</t>
  </si>
  <si>
    <t>Sun Position Monitors</t>
  </si>
  <si>
    <t>Subtotal</t>
  </si>
  <si>
    <t xml:space="preserve">SIRU - Solar Interface Remote Unit </t>
  </si>
  <si>
    <t>Propellant</t>
  </si>
  <si>
    <t>Valves and Plumbing Package</t>
  </si>
  <si>
    <t>Power Supply</t>
  </si>
  <si>
    <t xml:space="preserve">Primary Structure </t>
  </si>
  <si>
    <t>Communications</t>
  </si>
  <si>
    <t>Mechanical Systems</t>
  </si>
  <si>
    <t>Propulsion System</t>
  </si>
  <si>
    <t>Total Dry Mass</t>
  </si>
  <si>
    <t>Station Keeping</t>
  </si>
  <si>
    <t>Orbit Change</t>
  </si>
  <si>
    <t>Total Wet Mass</t>
  </si>
  <si>
    <t>Heaters</t>
  </si>
  <si>
    <t>Radiators</t>
  </si>
  <si>
    <t>Quantity</t>
  </si>
  <si>
    <t xml:space="preserve">Quantity </t>
  </si>
  <si>
    <t>Minimum</t>
  </si>
  <si>
    <t>Latch Valves</t>
  </si>
  <si>
    <t>Fill/Drain Valves</t>
  </si>
  <si>
    <t>Filters</t>
  </si>
  <si>
    <t>Pressure Transducers</t>
  </si>
  <si>
    <t xml:space="preserve">Mechanical Systems </t>
  </si>
  <si>
    <t>LGA - Low Gain Antennas</t>
  </si>
  <si>
    <t>TWTA - Traveling Wave Tube Amplifier</t>
  </si>
  <si>
    <t>Total CBE (kg)</t>
  </si>
  <si>
    <t xml:space="preserve">Unit </t>
  </si>
  <si>
    <t>Thermal Bus</t>
  </si>
  <si>
    <t>W (cm)</t>
  </si>
  <si>
    <t>H (cm)</t>
  </si>
  <si>
    <t>Mass (kg)</t>
  </si>
  <si>
    <t>Filter Wheel Worksheet</t>
  </si>
  <si>
    <t xml:space="preserve">Triple filter stack </t>
  </si>
  <si>
    <t>Volume cm3</t>
  </si>
  <si>
    <t>Material Density gm/cm3</t>
  </si>
  <si>
    <t>R (cm)</t>
  </si>
  <si>
    <t>T (cm)</t>
  </si>
  <si>
    <t>shutter assembly</t>
  </si>
  <si>
    <t>Total Volume cm3</t>
  </si>
  <si>
    <t>Optical Bench Assembly</t>
  </si>
  <si>
    <t>D (cm)</t>
  </si>
  <si>
    <t>BEG MIN</t>
  </si>
  <si>
    <t>END MIN</t>
  </si>
  <si>
    <t>T MAX</t>
  </si>
  <si>
    <t>T MIN</t>
  </si>
  <si>
    <t>QTY</t>
  </si>
  <si>
    <t>Peak (w)</t>
  </si>
  <si>
    <t>Total (w)</t>
  </si>
  <si>
    <t xml:space="preserve"> </t>
  </si>
  <si>
    <t>Optical bench may be made out of hexcel, graphite epoxy, and aluminum honeycomb</t>
  </si>
  <si>
    <t>Metering structure may be hexapod</t>
  </si>
  <si>
    <t>3 filter wheels</t>
  </si>
  <si>
    <t>each filter wheel is powered by a motor</t>
  </si>
  <si>
    <t>duty cycle = 10 seconds / 3600 seconds</t>
  </si>
  <si>
    <t>or possible 15 seconds / 3600 seconds</t>
  </si>
  <si>
    <t>motors are space grade vacuum motors; series 25, p/n VSS25-200-1-2</t>
  </si>
  <si>
    <t>I = .6</t>
  </si>
  <si>
    <t>R = 3.25</t>
  </si>
  <si>
    <t>V = 1.95</t>
  </si>
  <si>
    <t>P = 1.17 watts</t>
  </si>
  <si>
    <t>P  ~ 1.2 watts</t>
  </si>
  <si>
    <t>2 windings per phase angle</t>
  </si>
  <si>
    <t>Peak Power ~ 2.4 watts</t>
  </si>
  <si>
    <t xml:space="preserve">Peak Power X 3 = 7.2 watts </t>
  </si>
  <si>
    <t>Eric ponslet assumes the optical bench is 88 kg.  however, the range is of data is from 50 kg -150 kg</t>
  </si>
  <si>
    <t>Filter Wheel Assumptions:</t>
  </si>
  <si>
    <t>Shutter Assumptions:</t>
  </si>
  <si>
    <t>open for 1 second</t>
  </si>
  <si>
    <t>closed for 1 second</t>
  </si>
  <si>
    <t>2 seconds of operation per 10 minutes</t>
  </si>
  <si>
    <t>Mass</t>
  </si>
  <si>
    <t>Power Consumption</t>
  </si>
  <si>
    <t>Power Dissipation</t>
  </si>
  <si>
    <t>Margin</t>
  </si>
  <si>
    <t>Total</t>
  </si>
  <si>
    <t>Science Data Processor</t>
  </si>
  <si>
    <t>Solid State Recorder</t>
  </si>
  <si>
    <t>Sun Shield</t>
  </si>
  <si>
    <t>Thermal Propertires</t>
  </si>
  <si>
    <t>Payload Attach Fitting</t>
  </si>
  <si>
    <t>Shutter Assembly</t>
  </si>
  <si>
    <t>Packaged CCD's (each)</t>
  </si>
  <si>
    <t>Packaged HgCdTe's (each)</t>
  </si>
  <si>
    <t>Packaged Guider CCDs (each)</t>
  </si>
  <si>
    <t xml:space="preserve">Focal plane (FIDO) assembly </t>
  </si>
  <si>
    <t>Thermal Surface Treatments</t>
  </si>
  <si>
    <t>Thermal Mount / Isolation Hardware</t>
  </si>
  <si>
    <t>Active Thermal Control Hardware</t>
  </si>
  <si>
    <t>CCD Servicing Electronics</t>
  </si>
  <si>
    <t>HgCdTe Servicing Electronics</t>
  </si>
  <si>
    <t>Spectrometer Servicing Electronics</t>
  </si>
  <si>
    <t>Instrument Passive RADIATOR</t>
  </si>
  <si>
    <t>Harnessing to SC Bus</t>
  </si>
  <si>
    <t>CBE Total (kg)</t>
  </si>
  <si>
    <t>CCD Cold Plate Rear Electronics</t>
  </si>
  <si>
    <t>HgCdTe Cold Plate Rear Electronics</t>
  </si>
  <si>
    <t>COMMENTS</t>
  </si>
  <si>
    <t>Packaged Spectrometer (cold)</t>
  </si>
  <si>
    <t>sensor part is small; there are actuators</t>
  </si>
  <si>
    <t>Guider Servicing Electronics</t>
  </si>
  <si>
    <t>status of current design</t>
  </si>
  <si>
    <t>operational experience</t>
  </si>
  <si>
    <t>Rockwell estimate</t>
  </si>
  <si>
    <t>50% ps eff + estimate</t>
  </si>
  <si>
    <t>BAE RAD750 estimate;</t>
  </si>
  <si>
    <t>Peak Pwr
(total)</t>
  </si>
  <si>
    <t>Peak Pwr
 (ea)</t>
  </si>
  <si>
    <t>Idle Pwr
(ea)</t>
  </si>
  <si>
    <t>Idle Pwr
(total)</t>
  </si>
  <si>
    <t>Avg Pwr
(total)</t>
  </si>
  <si>
    <t>Alcatel: assuming today's power for our size memory in the future</t>
  </si>
  <si>
    <t>Pk Duty
Cycle</t>
  </si>
  <si>
    <t>MASS (kg)</t>
  </si>
  <si>
    <t>POWER (W)</t>
  </si>
  <si>
    <r>
      <t>Radiator (6mm Al avg x 2m</t>
    </r>
    <r>
      <rPr>
        <vertAlign val="superscript"/>
        <sz val="7.5"/>
        <rFont val="Arial"/>
        <family val="2"/>
      </rPr>
      <t>2</t>
    </r>
    <r>
      <rPr>
        <sz val="10"/>
        <rFont val="Arial"/>
        <family val="0"/>
      </rPr>
      <t>)</t>
    </r>
  </si>
  <si>
    <t>as reqd</t>
  </si>
  <si>
    <t>Secondary Mirror</t>
  </si>
  <si>
    <t>Tertiary Mirror</t>
  </si>
  <si>
    <t>Mass (each)</t>
  </si>
  <si>
    <r>
      <t>Primary Mirror (0.38</t>
    </r>
    <r>
      <rPr>
        <sz val="7.5"/>
        <rFont val="Symbol"/>
        <family val="1"/>
      </rPr>
      <t>f</t>
    </r>
    <r>
      <rPr>
        <sz val="10"/>
        <rFont val="Arial"/>
        <family val="0"/>
      </rPr>
      <t xml:space="preserve"> hole)</t>
    </r>
  </si>
  <si>
    <t>Folding Flat (0.76 x 0.38 elipse)</t>
  </si>
  <si>
    <t>Thermal Surface Treatments (MLI)</t>
  </si>
  <si>
    <t>ROM Estimate</t>
  </si>
  <si>
    <t>PDR Level Design</t>
  </si>
  <si>
    <t>CDR Level Design</t>
  </si>
  <si>
    <t>Flown Hardware</t>
  </si>
  <si>
    <t>Detailed Design</t>
  </si>
  <si>
    <t>Spectrometer Thermal (MLI +)</t>
  </si>
  <si>
    <t>set equal to imager CCD power; more outputs per device</t>
  </si>
  <si>
    <t>Telescope Control Unit (Shutter &amp; Focus)</t>
  </si>
  <si>
    <t>Hexapod Focus Mechansim</t>
  </si>
  <si>
    <t>Bipod Mounts to Optics Bench</t>
  </si>
  <si>
    <t>Fast Steering Mechanism</t>
  </si>
  <si>
    <t>% Ltwt</t>
  </si>
  <si>
    <t>Bolted Interfaces to Optic Bench</t>
  </si>
  <si>
    <t>Optical Baffling Overlays</t>
  </si>
  <si>
    <t>Thermal MLI Closeouts</t>
  </si>
  <si>
    <t>Optics Lower "Coffin"</t>
  </si>
  <si>
    <t>Thermal MLI Edge Closeouts</t>
  </si>
  <si>
    <t>Optics Bench Flat &amp; Curbs</t>
  </si>
  <si>
    <t>Optics Bench to Bus Mounting Strut pairs</t>
  </si>
  <si>
    <t>TBS</t>
  </si>
  <si>
    <t>Temp sensors, heaters &amp; harness</t>
  </si>
  <si>
    <t>Thermal Straps to Cold Plate (AIRS)</t>
  </si>
  <si>
    <t>Secondary Mirror Housing &amp; Struts</t>
  </si>
  <si>
    <t>TMA-63 (composite) Telescope Structure</t>
  </si>
  <si>
    <t>Hexapod Focus Mechansim (OPTIONAL)</t>
  </si>
  <si>
    <t>Primary "Cold Stovepipe" Light Baffle</t>
  </si>
  <si>
    <t>Detailed Evaluation</t>
  </si>
  <si>
    <t>Science Payload TMA 63</t>
  </si>
  <si>
    <t>TMA 63 Telescope Assembly</t>
  </si>
  <si>
    <t>CBE Total</t>
  </si>
  <si>
    <r>
      <t xml:space="preserve">Thermal Dewar &amp; Cosmic Ray Shield </t>
    </r>
  </si>
  <si>
    <r>
      <t>Conic Shield (0.01thk x 0.15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0.40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0.65 ht Al Cone)</t>
    </r>
  </si>
  <si>
    <t>Structure</t>
  </si>
  <si>
    <t>C&amp;DH</t>
  </si>
  <si>
    <t>Comm</t>
  </si>
  <si>
    <t>ACS</t>
  </si>
  <si>
    <t>Avionics</t>
  </si>
  <si>
    <t>TOTALS</t>
  </si>
  <si>
    <t>SUBTOTAL</t>
  </si>
  <si>
    <t>Split (composite) Aperture Doors</t>
  </si>
  <si>
    <t>Primary (front) Solar Array</t>
  </si>
  <si>
    <t>Cooldown (rear) Solar Array</t>
  </si>
  <si>
    <t>Thermal Isolation Mounts</t>
  </si>
  <si>
    <t>TCS</t>
  </si>
  <si>
    <r>
      <t xml:space="preserve">Cold Plate </t>
    </r>
    <r>
      <rPr>
        <sz val="10"/>
        <rFont val="Arial"/>
        <family val="2"/>
      </rPr>
      <t>(6 x 650 OD x 260 ID - moly)</t>
    </r>
  </si>
  <si>
    <t>Peak Poser</t>
  </si>
  <si>
    <t>Shadow Power</t>
  </si>
  <si>
    <t>SUBTOTAL (Avionics)</t>
  </si>
  <si>
    <t>Spacecraft Bus (IMDC values)</t>
  </si>
  <si>
    <t>Propulsion Hardware</t>
  </si>
  <si>
    <t>SPACECRAFT BUS</t>
  </si>
  <si>
    <t>SNAP MISSSION SUMMARY</t>
  </si>
  <si>
    <t>Ball Aerospace BCP 2000</t>
  </si>
  <si>
    <t>Spectrum Astro - SA 200HP</t>
  </si>
  <si>
    <t>Orbital StarBus</t>
  </si>
  <si>
    <t>Lockheed Martin - LM 900</t>
  </si>
  <si>
    <t>Orbital - Midstar</t>
  </si>
  <si>
    <t>IMDC / RSDO Catalog Listings (dry)</t>
  </si>
  <si>
    <t>averages</t>
  </si>
  <si>
    <r>
      <t>TMA-63 Optics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(ULE &amp; t = D / 8)</t>
    </r>
  </si>
  <si>
    <t>Monohydrazine Fuel</t>
  </si>
  <si>
    <t>Bus mass</t>
  </si>
  <si>
    <t>OAV power available</t>
  </si>
  <si>
    <t>Percent Reserve</t>
  </si>
  <si>
    <t>RESERVES PHILOSOPHY</t>
  </si>
  <si>
    <r>
      <t>Launch MARGIN</t>
    </r>
    <r>
      <rPr>
        <sz val="10"/>
        <rFont val="Arial"/>
        <family val="2"/>
      </rPr>
      <t xml:space="preserve"> based on 2020 kg capacity</t>
    </r>
  </si>
  <si>
    <r>
      <t xml:space="preserve">note 1: </t>
    </r>
    <r>
      <rPr>
        <sz val="10"/>
        <rFont val="Arial"/>
        <family val="2"/>
      </rPr>
      <t>Solar arrays are listed with baffle</t>
    </r>
  </si>
  <si>
    <r>
      <t xml:space="preserve">note 3: </t>
    </r>
    <r>
      <rPr>
        <sz val="10"/>
        <rFont val="Arial"/>
        <family val="2"/>
      </rPr>
      <t xml:space="preserve">Bus Avionics is generally </t>
    </r>
    <r>
      <rPr>
        <b/>
        <sz val="10"/>
        <rFont val="Arial"/>
        <family val="2"/>
      </rPr>
      <t>previously flown</t>
    </r>
    <r>
      <rPr>
        <sz val="10"/>
        <rFont val="Arial"/>
        <family val="2"/>
      </rPr>
      <t xml:space="preserve"> hardware</t>
    </r>
  </si>
  <si>
    <t>Avg Pwr + reserve</t>
  </si>
  <si>
    <t>CBE + reserve</t>
  </si>
  <si>
    <t>OTA Mounted Instrument Components</t>
  </si>
  <si>
    <t>EPS …IMDC battery divided by 4</t>
  </si>
  <si>
    <t>Mass (total)</t>
  </si>
  <si>
    <t>Telescope Thermal Control Unit (CPU only)</t>
  </si>
  <si>
    <t>Peak Pwr</t>
  </si>
  <si>
    <t>inputs from imager</t>
  </si>
  <si>
    <t>see bus</t>
  </si>
  <si>
    <t>Thermal (outer FEP-Ag &amp; MLI)</t>
  </si>
  <si>
    <r>
      <t xml:space="preserve">note 2: </t>
    </r>
    <r>
      <rPr>
        <sz val="10"/>
        <rFont val="Arial"/>
        <family val="2"/>
      </rPr>
      <t>TCS entry is Bus &amp; Telescope, estimated from HST archives</t>
    </r>
  </si>
  <si>
    <t>Ribbed Composite Cover Halves</t>
  </si>
  <si>
    <t>Cover Hinge Mechanism</t>
  </si>
  <si>
    <t>Frangibolt Release Mechanisms</t>
  </si>
  <si>
    <t>size or area</t>
  </si>
  <si>
    <t>Instrument Front End electronics (WARM)</t>
  </si>
  <si>
    <t>Al Baffle Tube and Vane Assembly</t>
  </si>
  <si>
    <t>KSC / GSFC letter of 25 Jan 2002 on Delta 4 M+ Capabilities</t>
  </si>
  <si>
    <t>OPTICAL TELESCOPE</t>
  </si>
  <si>
    <t>SNAP SCIENCE</t>
  </si>
  <si>
    <t>REOSC Primary: 210 kg in ULE or 242 kg in Zerodur</t>
  </si>
  <si>
    <t>STRAY LIGHT BAFFLE Assembly</t>
  </si>
  <si>
    <t>REOSC Primary: 210 kg in ULE</t>
  </si>
  <si>
    <t xml:space="preserve">    or 242 kg in (open back) Zerodur</t>
  </si>
  <si>
    <t>Telescope Structure FEM of 9 Aug '02</t>
  </si>
  <si>
    <t>Baffle FEM of 25 April '02</t>
  </si>
  <si>
    <t xml:space="preserve"> ...reserved for OTA heaters (from HST)</t>
  </si>
  <si>
    <t xml:space="preserve">    Al honeycomb Tube may save 11 kg</t>
  </si>
  <si>
    <t>Heavy FUSE heritage mechanism (Swales)</t>
  </si>
  <si>
    <t>template imported from HSIMAS06</t>
  </si>
  <si>
    <t>+X is CAMERA</t>
  </si>
  <si>
    <t>USER INPUTS in RUST</t>
  </si>
  <si>
    <t>user or calculated entries</t>
  </si>
  <si>
    <t>CALCULATED VALUES in BLACK</t>
  </si>
  <si>
    <r>
      <t xml:space="preserve">        (Mu / 12)* (v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+w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 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…for box</t>
    </r>
  </si>
  <si>
    <t>Local 2nd Moments ..see formulas</t>
  </si>
  <si>
    <t xml:space="preserve">  Parallel Axis Moments</t>
  </si>
  <si>
    <t>2nd Moment @ ass'y CG</t>
  </si>
  <si>
    <r>
      <t>M* [(OD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+ID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)/16 +H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/12) 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…for tube</t>
    </r>
  </si>
  <si>
    <t>Shape</t>
  </si>
  <si>
    <t xml:space="preserve">    ITEM SIZE</t>
  </si>
  <si>
    <t>1st MASS MOMENTS</t>
  </si>
  <si>
    <t xml:space="preserve">  Ixx</t>
  </si>
  <si>
    <t xml:space="preserve">  Iyy</t>
  </si>
  <si>
    <t xml:space="preserve">  Izz</t>
  </si>
  <si>
    <t xml:space="preserve"> IXX@cg</t>
  </si>
  <si>
    <t xml:space="preserve"> IYY@cg</t>
  </si>
  <si>
    <t xml:space="preserve"> IZZ@cg</t>
  </si>
  <si>
    <t>Ixx+IXX</t>
  </si>
  <si>
    <t>Iyy+IYY</t>
  </si>
  <si>
    <t>Izz+IZZ</t>
  </si>
  <si>
    <t>reserve</t>
  </si>
  <si>
    <t xml:space="preserve">  X</t>
  </si>
  <si>
    <t xml:space="preserve">  Y</t>
  </si>
  <si>
    <t xml:space="preserve">  Z</t>
  </si>
  <si>
    <t>M*X</t>
  </si>
  <si>
    <t>M*Y</t>
  </si>
  <si>
    <t>M*Z</t>
  </si>
  <si>
    <r>
      <t>M (y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</si>
  <si>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</si>
  <si>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</si>
  <si>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</si>
  <si>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</si>
  <si>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</si>
  <si>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t xml:space="preserve">   (meters)</t>
  </si>
  <si>
    <t xml:space="preserve">      (kg meters)</t>
  </si>
  <si>
    <r>
      <t>(kg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>)</t>
    </r>
  </si>
  <si>
    <t>X tube</t>
  </si>
  <si>
    <t>box</t>
  </si>
  <si>
    <t>Z tube</t>
  </si>
  <si>
    <t>Telescope Control (Shutter &amp; Focus)</t>
  </si>
  <si>
    <t>Telescope Thermal Control (CPU only)</t>
  </si>
  <si>
    <t>BUS Structure</t>
  </si>
  <si>
    <t>Avionics SUBTOTAL</t>
  </si>
  <si>
    <t>Uniform Density MISSION</t>
  </si>
  <si>
    <t xml:space="preserve">    ITEM CG LOCATION</t>
  </si>
  <si>
    <t>Cassegrain Guider Assembly</t>
  </si>
  <si>
    <t>This is provided mostly as a SANITY CHECK</t>
  </si>
  <si>
    <t>O.D. or (x side)</t>
  </si>
  <si>
    <t xml:space="preserve">  I.D. or (y side)</t>
  </si>
  <si>
    <t xml:space="preserve">  Ht or (z side)</t>
  </si>
  <si>
    <t xml:space="preserve">  Second Moments @ CG</t>
  </si>
  <si>
    <t xml:space="preserve"> First Moment SUMS</t>
  </si>
  <si>
    <t xml:space="preserve">   C.G. coords (XYZ)</t>
  </si>
  <si>
    <t>REOSC study values (heavy?)</t>
  </si>
  <si>
    <t>Science Sub-Total</t>
  </si>
  <si>
    <t>Payload Mount</t>
  </si>
  <si>
    <t>Solar Arrays</t>
  </si>
  <si>
    <t>Bus Harness</t>
  </si>
  <si>
    <t>BUS PAF Half</t>
  </si>
  <si>
    <t>Antenna Support</t>
  </si>
  <si>
    <t>kg mass</t>
  </si>
  <si>
    <t xml:space="preserve">                                     TOTALS</t>
  </si>
  <si>
    <t xml:space="preserve">Propulsion (estimate) </t>
  </si>
  <si>
    <r>
      <t>Prelim IMDC</t>
    </r>
    <r>
      <rPr>
        <sz val="10"/>
        <color indexed="8"/>
        <rFont val="Arial"/>
        <family val="2"/>
      </rPr>
      <t xml:space="preserve"> (Karpati- SysOvw)</t>
    </r>
  </si>
  <si>
    <t>watts OAV</t>
  </si>
  <si>
    <t>Power Electronics (5W harness loss)</t>
  </si>
  <si>
    <t>RF Comm (Rcvr, S &amp; Ka Xmitrs)</t>
  </si>
  <si>
    <t>Thermal Hardware (65W OTA htrs)</t>
  </si>
  <si>
    <t>Bus Structure (Tube, Plates, Misc)</t>
  </si>
  <si>
    <t>Ball CT-602 Star Tracker (2)</t>
  </si>
  <si>
    <t>ACS Electronics (MAP)</t>
  </si>
  <si>
    <t>Litton 4 axis SIRU</t>
  </si>
  <si>
    <t>Reaction Wheels (Explorer - 30 Nms)</t>
  </si>
  <si>
    <t>EVD for 8 thrusters</t>
  </si>
  <si>
    <t>Lord Wheel Isolation</t>
  </si>
  <si>
    <t>Adcole 17061 Digital SS (2)</t>
  </si>
  <si>
    <t>Adcole 11866 Coarse SS (8)</t>
  </si>
  <si>
    <r>
      <t>IMDC - ACS</t>
    </r>
    <r>
      <rPr>
        <sz val="10"/>
        <color indexed="8"/>
        <rFont val="Arial"/>
        <family val="2"/>
      </rPr>
      <t xml:space="preserve"> (Ericsson SNAP_ACS)</t>
    </r>
  </si>
  <si>
    <t xml:space="preserve">                                 Sub-TOTALS</t>
  </si>
  <si>
    <t>kg CBEs</t>
  </si>
  <si>
    <t>Primary mirror</t>
  </si>
  <si>
    <t>Main optics bench</t>
  </si>
  <si>
    <t>Metering main structure</t>
  </si>
  <si>
    <t>Exterior baffle tube</t>
  </si>
  <si>
    <t xml:space="preserve">Aft metering structure-aka 'Coffin' </t>
  </si>
  <si>
    <t>Telescope door</t>
  </si>
  <si>
    <t>Dewar/radiation shell</t>
  </si>
  <si>
    <t>Secondary spider</t>
  </si>
  <si>
    <t>Spacecraft Interface structure</t>
  </si>
  <si>
    <t>Interior baffle tube</t>
  </si>
  <si>
    <t>Other hardware (see Excel spreadsheet)</t>
  </si>
  <si>
    <t>Blankets</t>
  </si>
  <si>
    <t>Tertiary mirror</t>
  </si>
  <si>
    <t>Focal plane subassembly and mount</t>
  </si>
  <si>
    <t>Focal plane radiator</t>
  </si>
  <si>
    <t>Secondary mirror mechanism</t>
  </si>
  <si>
    <t>Fold mirror</t>
  </si>
  <si>
    <t>Other hardware</t>
  </si>
  <si>
    <t>Main electronics box</t>
  </si>
  <si>
    <t>Shutter mechanism</t>
  </si>
  <si>
    <t>Secondary mirror</t>
  </si>
  <si>
    <t>Spectrographs</t>
  </si>
  <si>
    <t>Total Instrument Mass Estimate</t>
  </si>
  <si>
    <t>includes 100 w Thermal</t>
  </si>
  <si>
    <r>
      <t>IMDC - MSE</t>
    </r>
    <r>
      <rPr>
        <sz val="10"/>
        <color indexed="8"/>
        <rFont val="Arial"/>
        <family val="2"/>
      </rPr>
      <t xml:space="preserve"> (Amato ISAL_systems)</t>
    </r>
  </si>
  <si>
    <t>Focal plane electronics (2)</t>
  </si>
  <si>
    <t>Payload Total (includes 65w thermal)</t>
  </si>
  <si>
    <t>no steerable dishes</t>
  </si>
  <si>
    <t>steering mirror ??</t>
  </si>
  <si>
    <t>my comments</t>
  </si>
  <si>
    <t>includes 3 Tbit SSR</t>
  </si>
  <si>
    <t>cabling (WOW !! )</t>
  </si>
  <si>
    <t>still ROMs</t>
  </si>
  <si>
    <t xml:space="preserve"> (doesn't include 1.4TBit SSR - 20 kg / 70w)</t>
  </si>
  <si>
    <t>find SNAP_Mass&amp;Cost_Summary.xls (from IMDC)</t>
  </si>
  <si>
    <t>allowed Science Mass</t>
  </si>
  <si>
    <t>big battery ??</t>
  </si>
  <si>
    <t>1st JPL mass est</t>
  </si>
  <si>
    <t>kg - 2 NiH batteries - 42 Ahr ea</t>
  </si>
  <si>
    <t>sq meter array, including rear</t>
  </si>
  <si>
    <r>
      <t>Cone Shield (0.01thk x 0.25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0.65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0.65 ht Al)</t>
    </r>
  </si>
  <si>
    <t>STAR 24 - 285 lbsec impulse &amp; 40 lb dead weight</t>
  </si>
  <si>
    <t>consider two star 17As, still in production</t>
  </si>
  <si>
    <r>
      <t>ACS -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look at Litton HRG gyro's (4 / pkg)</t>
    </r>
  </si>
  <si>
    <r>
      <t xml:space="preserve">Monohydrazine Fuel </t>
    </r>
    <r>
      <rPr>
        <b/>
        <i/>
        <sz val="10"/>
        <rFont val="Arial"/>
        <family val="2"/>
      </rPr>
      <t>(no disposal)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</si>
</sst>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%"/>
    <numFmt numFmtId="172" formatCode="0.000%"/>
    <numFmt numFmtId="173" formatCode="0.0000%"/>
    <numFmt numFmtId="174" formatCode="0.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vertAlign val="superscript"/>
      <sz val="7.5"/>
      <name val="Arial"/>
      <family val="2"/>
    </font>
    <font>
      <sz val="7.5"/>
      <name val="Symbol"/>
      <family val="1"/>
    </font>
    <font>
      <sz val="7.5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7.5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b/>
      <sz val="10"/>
      <color indexed="16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 quotePrefix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right"/>
    </xf>
    <xf numFmtId="1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164" fontId="0" fillId="5" borderId="1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9" fontId="0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5" borderId="1" xfId="0" applyNumberFormat="1" applyFont="1" applyFill="1" applyBorder="1" applyAlignment="1">
      <alignment/>
    </xf>
    <xf numFmtId="0" fontId="0" fillId="0" borderId="1" xfId="0" applyFont="1" applyBorder="1" applyAlignment="1" quotePrefix="1">
      <alignment horizontal="right"/>
    </xf>
    <xf numFmtId="1" fontId="0" fillId="0" borderId="1" xfId="0" applyNumberFormat="1" applyFont="1" applyBorder="1" applyAlignment="1" quotePrefix="1">
      <alignment horizontal="right"/>
    </xf>
    <xf numFmtId="165" fontId="0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5" fontId="0" fillId="5" borderId="4" xfId="0" applyNumberFormat="1" applyFont="1" applyFill="1" applyBorder="1" applyAlignment="1">
      <alignment/>
    </xf>
    <xf numFmtId="9" fontId="0" fillId="0" borderId="4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164" fontId="0" fillId="4" borderId="4" xfId="0" applyNumberFormat="1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164" fontId="0" fillId="5" borderId="4" xfId="0" applyNumberFormat="1" applyFont="1" applyFill="1" applyBorder="1" applyAlignment="1">
      <alignment/>
    </xf>
    <xf numFmtId="164" fontId="0" fillId="5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4" fontId="0" fillId="4" borderId="5" xfId="0" applyNumberFormat="1" applyFont="1" applyFill="1" applyBorder="1" applyAlignment="1">
      <alignment/>
    </xf>
    <xf numFmtId="9" fontId="0" fillId="0" borderId="5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2" fontId="12" fillId="5" borderId="13" xfId="0" applyNumberFormat="1" applyFont="1" applyFill="1" applyBorder="1" applyAlignment="1">
      <alignment/>
    </xf>
    <xf numFmtId="9" fontId="7" fillId="0" borderId="13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65" fontId="12" fillId="4" borderId="13" xfId="0" applyNumberFormat="1" applyFont="1" applyFill="1" applyBorder="1" applyAlignment="1">
      <alignment/>
    </xf>
    <xf numFmtId="165" fontId="12" fillId="0" borderId="13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12" fillId="5" borderId="13" xfId="0" applyNumberFormat="1" applyFont="1" applyFill="1" applyBorder="1" applyAlignment="1">
      <alignment/>
    </xf>
    <xf numFmtId="9" fontId="7" fillId="0" borderId="1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9" fontId="0" fillId="2" borderId="5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2" fontId="12" fillId="4" borderId="13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9" fontId="7" fillId="0" borderId="13" xfId="0" applyNumberFormat="1" applyFont="1" applyFill="1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 quotePrefix="1">
      <alignment horizontal="right"/>
    </xf>
    <xf numFmtId="1" fontId="0" fillId="0" borderId="4" xfId="0" applyNumberFormat="1" applyFont="1" applyBorder="1" applyAlignment="1" quotePrefix="1">
      <alignment horizontal="right"/>
    </xf>
    <xf numFmtId="1" fontId="0" fillId="5" borderId="4" xfId="0" applyNumberFormat="1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0" fillId="0" borderId="5" xfId="0" applyBorder="1" applyAlignment="1">
      <alignment horizontal="center" wrapText="1"/>
    </xf>
    <xf numFmtId="0" fontId="0" fillId="2" borderId="5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1" xfId="0" applyFont="1" applyBorder="1" applyAlignment="1" quotePrefix="1">
      <alignment/>
    </xf>
    <xf numFmtId="0" fontId="0" fillId="0" borderId="13" xfId="0" applyBorder="1" applyAlignment="1">
      <alignment/>
    </xf>
    <xf numFmtId="0" fontId="17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7" fillId="5" borderId="4" xfId="0" applyFont="1" applyFill="1" applyBorder="1" applyAlignment="1">
      <alignment/>
    </xf>
    <xf numFmtId="0" fontId="0" fillId="0" borderId="5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 wrapText="1"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65" fontId="0" fillId="5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4" xfId="0" applyNumberFormat="1" applyBorder="1" applyAlignment="1">
      <alignment/>
    </xf>
    <xf numFmtId="0" fontId="0" fillId="5" borderId="4" xfId="0" applyFill="1" applyBorder="1" applyAlignment="1">
      <alignment/>
    </xf>
    <xf numFmtId="0" fontId="0" fillId="0" borderId="13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5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0" xfId="0" applyAlignment="1" quotePrefix="1">
      <alignment/>
    </xf>
    <xf numFmtId="9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19" fillId="0" borderId="5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0" fillId="0" borderId="2" xfId="0" applyFill="1" applyBorder="1" applyAlignment="1">
      <alignment/>
    </xf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2" xfId="0" applyNumberForma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/>
    </xf>
    <xf numFmtId="0" fontId="20" fillId="0" borderId="4" xfId="0" applyFont="1" applyBorder="1" applyAlignment="1">
      <alignment horizontal="center"/>
    </xf>
    <xf numFmtId="0" fontId="0" fillId="4" borderId="2" xfId="0" applyFill="1" applyBorder="1" applyAlignment="1">
      <alignment/>
    </xf>
    <xf numFmtId="1" fontId="0" fillId="5" borderId="5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" fontId="0" fillId="5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right"/>
    </xf>
    <xf numFmtId="0" fontId="5" fillId="0" borderId="29" xfId="0" applyFont="1" applyBorder="1" applyAlignment="1" quotePrefix="1">
      <alignment horizontal="lef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2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164" fontId="0" fillId="5" borderId="6" xfId="0" applyNumberFormat="1" applyFont="1" applyFill="1" applyBorder="1" applyAlignment="1">
      <alignment/>
    </xf>
    <xf numFmtId="49" fontId="25" fillId="0" borderId="29" xfId="0" applyNumberFormat="1" applyFont="1" applyBorder="1" applyAlignment="1">
      <alignment horizontal="center"/>
    </xf>
    <xf numFmtId="165" fontId="25" fillId="0" borderId="26" xfId="0" applyNumberFormat="1" applyFont="1" applyBorder="1" applyAlignment="1">
      <alignment/>
    </xf>
    <xf numFmtId="165" fontId="25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5" xfId="0" applyNumberFormat="1" applyBorder="1" applyAlignment="1">
      <alignment/>
    </xf>
    <xf numFmtId="49" fontId="25" fillId="0" borderId="33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30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164" fontId="26" fillId="0" borderId="31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6" fillId="0" borderId="3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0" xfId="0" applyNumberFormat="1" applyBorder="1" applyAlignment="1">
      <alignment/>
    </xf>
    <xf numFmtId="49" fontId="27" fillId="0" borderId="23" xfId="0" applyNumberFormat="1" applyFont="1" applyBorder="1" applyAlignment="1">
      <alignment horizontal="center"/>
    </xf>
    <xf numFmtId="164" fontId="28" fillId="0" borderId="19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16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2" borderId="2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164" fontId="0" fillId="0" borderId="31" xfId="0" applyNumberFormat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6" xfId="0" applyBorder="1" applyAlignment="1" quotePrefix="1">
      <alignment horizontal="left"/>
    </xf>
    <xf numFmtId="0" fontId="1" fillId="0" borderId="19" xfId="0" applyFont="1" applyBorder="1" applyAlignment="1">
      <alignment horizontal="left"/>
    </xf>
    <xf numFmtId="0" fontId="0" fillId="0" borderId="16" xfId="0" applyFont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0" fillId="2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9" fontId="0" fillId="0" borderId="1" xfId="0" applyNumberFormat="1" applyFont="1" applyBorder="1" applyAlignment="1">
      <alignment/>
    </xf>
    <xf numFmtId="49" fontId="25" fillId="0" borderId="34" xfId="0" applyNumberFormat="1" applyFont="1" applyBorder="1" applyAlignment="1">
      <alignment horizontal="center"/>
    </xf>
    <xf numFmtId="165" fontId="25" fillId="0" borderId="32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26" fillId="0" borderId="27" xfId="0" applyNumberFormat="1" applyFont="1" applyBorder="1" applyAlignment="1">
      <alignment/>
    </xf>
    <xf numFmtId="164" fontId="26" fillId="0" borderId="32" xfId="0" applyNumberFormat="1" applyFont="1" applyBorder="1" applyAlignment="1">
      <alignment/>
    </xf>
    <xf numFmtId="164" fontId="26" fillId="0" borderId="28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0" xfId="0" applyNumberFormat="1" applyBorder="1" applyAlignment="1">
      <alignment/>
    </xf>
    <xf numFmtId="9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0" fillId="0" borderId="34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23" xfId="0" applyFont="1" applyFill="1" applyBorder="1" applyAlignment="1">
      <alignment/>
    </xf>
    <xf numFmtId="1" fontId="0" fillId="5" borderId="19" xfId="0" applyNumberFormat="1" applyFill="1" applyBorder="1" applyAlignment="1">
      <alignment/>
    </xf>
    <xf numFmtId="49" fontId="25" fillId="0" borderId="16" xfId="0" applyNumberFormat="1" applyFont="1" applyBorder="1" applyAlignment="1">
      <alignment horizontal="center"/>
    </xf>
    <xf numFmtId="165" fontId="25" fillId="0" borderId="19" xfId="0" applyNumberFormat="1" applyFont="1" applyBorder="1" applyAlignment="1">
      <alignment/>
    </xf>
    <xf numFmtId="165" fontId="25" fillId="0" borderId="20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1" fontId="28" fillId="0" borderId="19" xfId="0" applyNumberFormat="1" applyFont="1" applyBorder="1" applyAlignment="1">
      <alignment/>
    </xf>
    <xf numFmtId="1" fontId="28" fillId="0" borderId="20" xfId="0" applyNumberFormat="1" applyFont="1" applyBorder="1" applyAlignment="1">
      <alignment/>
    </xf>
    <xf numFmtId="1" fontId="28" fillId="0" borderId="1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25" fillId="0" borderId="0" xfId="0" applyFont="1" applyAlignment="1">
      <alignment/>
    </xf>
    <xf numFmtId="2" fontId="1" fillId="0" borderId="2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9" xfId="0" applyBorder="1" applyAlignment="1" quotePrefix="1">
      <alignment horizontal="center"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34" xfId="0" applyFont="1" applyBorder="1" applyAlignment="1">
      <alignment/>
    </xf>
    <xf numFmtId="9" fontId="0" fillId="0" borderId="0" xfId="0" applyNumberFormat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XX@cg" TargetMode="External" /><Relationship Id="rId2" Type="http://schemas.openxmlformats.org/officeDocument/2006/relationships/hyperlink" Target="mailto:IXX@cg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B23" sqref="B23"/>
    </sheetView>
  </sheetViews>
  <sheetFormatPr defaultColWidth="7.7109375" defaultRowHeight="12.75"/>
  <cols>
    <col min="1" max="1" width="4.7109375" style="0" customWidth="1"/>
    <col min="2" max="2" width="33.7109375" style="0" customWidth="1"/>
    <col min="3" max="3" width="8.140625" style="0" bestFit="1" customWidth="1"/>
    <col min="7" max="7" width="8.28125" style="0" customWidth="1"/>
    <col min="8" max="8" width="3.7109375" style="0" customWidth="1"/>
    <col min="9" max="9" width="6.7109375" style="0" customWidth="1"/>
    <col min="10" max="10" width="9.7109375" style="0" customWidth="1"/>
  </cols>
  <sheetData>
    <row r="1" ht="13.5" thickBot="1">
      <c r="A1" t="s">
        <v>87</v>
      </c>
    </row>
    <row r="2" spans="1:7" ht="13.5" thickBot="1">
      <c r="A2" s="1" t="s">
        <v>212</v>
      </c>
      <c r="C2" s="335" t="s">
        <v>151</v>
      </c>
      <c r="D2" s="336"/>
      <c r="E2" s="335" t="s">
        <v>152</v>
      </c>
      <c r="F2" s="337"/>
      <c r="G2" s="336"/>
    </row>
    <row r="3" spans="3:9" ht="27" customHeight="1">
      <c r="C3" s="126" t="s">
        <v>190</v>
      </c>
      <c r="D3" s="126" t="s">
        <v>230</v>
      </c>
      <c r="E3" s="146" t="s">
        <v>235</v>
      </c>
      <c r="F3" s="126" t="s">
        <v>148</v>
      </c>
      <c r="G3" s="192" t="s">
        <v>229</v>
      </c>
      <c r="I3" s="214" t="s">
        <v>135</v>
      </c>
    </row>
    <row r="4" spans="1:7" ht="12.75">
      <c r="A4" s="1" t="s">
        <v>248</v>
      </c>
      <c r="C4" s="157"/>
      <c r="D4" s="157"/>
      <c r="E4" s="157"/>
      <c r="F4" s="157"/>
      <c r="G4" s="157"/>
    </row>
    <row r="5" spans="2:9" ht="12.75">
      <c r="B5" s="5" t="str">
        <f>Science!A4</f>
        <v>Focal plane (FIDO) assembly </v>
      </c>
      <c r="C5" s="162">
        <f>Science!F16</f>
        <v>37.583202398195745</v>
      </c>
      <c r="D5" s="163">
        <f>Science!F16*(1+Science!G16)</f>
        <v>44.764842877834894</v>
      </c>
      <c r="E5" s="213">
        <f>Science!J16</f>
        <v>9.2704</v>
      </c>
      <c r="F5" s="164">
        <f>Science!M16</f>
        <v>4.2354400000000005</v>
      </c>
      <c r="G5" s="165">
        <f>Science!M16*(1+Science!N16)</f>
        <v>5.041056</v>
      </c>
      <c r="I5" s="34"/>
    </row>
    <row r="6" spans="2:9" ht="12.75">
      <c r="B6" s="5" t="str">
        <f>Science!A17</f>
        <v>Thermal Dewar &amp; Cosmic Ray Shield </v>
      </c>
      <c r="C6" s="162">
        <f>Science!F21</f>
        <v>28.010727981725392</v>
      </c>
      <c r="D6" s="163">
        <f>Science!F21*(1+Science!G21)</f>
        <v>35.01340997715674</v>
      </c>
      <c r="E6" s="212"/>
      <c r="F6" s="212"/>
      <c r="G6" s="212"/>
      <c r="I6" s="34"/>
    </row>
    <row r="7" spans="2:9" ht="12.75">
      <c r="B7" s="5" t="str">
        <f>Science!A22</f>
        <v>Instrument Front End electronics (WARM)</v>
      </c>
      <c r="C7" s="162">
        <f>Science!F29</f>
        <v>57.6</v>
      </c>
      <c r="D7" s="163">
        <f>Science!F29*(1+Science!G29)</f>
        <v>71.10000000000001</v>
      </c>
      <c r="E7" s="213">
        <f>Science!J29</f>
        <v>47</v>
      </c>
      <c r="F7" s="162">
        <f>Science!M29</f>
        <v>31.700000000000003</v>
      </c>
      <c r="G7" s="163">
        <f>Science!M29*(1+Science!N29)</f>
        <v>39.475</v>
      </c>
      <c r="I7" s="34"/>
    </row>
    <row r="8" spans="2:9" ht="12.75">
      <c r="B8" s="5" t="str">
        <f>Science!A30</f>
        <v>OTA Mounted Instrument Components</v>
      </c>
      <c r="C8" s="162">
        <f>Science!F36</f>
        <v>55.06</v>
      </c>
      <c r="D8" s="163">
        <f>Science!F36*(1+Science!G36)</f>
        <v>67.325</v>
      </c>
      <c r="E8" s="213">
        <f>Science!J36</f>
        <v>386</v>
      </c>
      <c r="F8" s="162">
        <f>Science!M36</f>
        <v>99.98</v>
      </c>
      <c r="G8" s="163">
        <f>Science!M36*(1+Science!N36)</f>
        <v>121.475</v>
      </c>
      <c r="I8" s="34"/>
    </row>
    <row r="9" spans="2:9" ht="12.75">
      <c r="B9" s="5" t="str">
        <f>Science!A37</f>
        <v>Instrument Passive RADIATOR</v>
      </c>
      <c r="C9" s="162">
        <f>Science!F42</f>
        <v>39.559999999999995</v>
      </c>
      <c r="D9" s="163">
        <f>Science!F42*(1+Science!G42)</f>
        <v>49.449999999999996</v>
      </c>
      <c r="E9" s="212"/>
      <c r="F9" s="212"/>
      <c r="G9" s="212"/>
      <c r="I9" s="34"/>
    </row>
    <row r="10" spans="2:9" ht="12.75">
      <c r="B10" s="4" t="s">
        <v>199</v>
      </c>
      <c r="C10" s="162">
        <f>SUM(C5:C9)</f>
        <v>217.81393037992115</v>
      </c>
      <c r="D10" s="163">
        <f>SUM(D5:D9)</f>
        <v>267.65325285499165</v>
      </c>
      <c r="E10" s="213">
        <f>SUM(E5:E9)</f>
        <v>442.2704</v>
      </c>
      <c r="F10" s="162">
        <f>SUM(F5:F9)</f>
        <v>135.91544</v>
      </c>
      <c r="G10" s="163">
        <f>SUM(G5:G9)</f>
        <v>165.991056</v>
      </c>
      <c r="I10" s="34"/>
    </row>
    <row r="11" spans="1:9" ht="12.75">
      <c r="A11" s="1" t="s">
        <v>247</v>
      </c>
      <c r="C11" s="205"/>
      <c r="D11" s="206"/>
      <c r="E11" s="207"/>
      <c r="F11" s="207"/>
      <c r="G11" s="208"/>
      <c r="I11" t="s">
        <v>251</v>
      </c>
    </row>
    <row r="12" spans="2:9" ht="12.75">
      <c r="B12" s="5" t="str">
        <f>Telescope!A4</f>
        <v>TMA-63 Optics (ULE &amp; t = D / 8)</v>
      </c>
      <c r="C12" s="203">
        <f>Telescope!H21</f>
        <v>289.1103703170591</v>
      </c>
      <c r="D12" s="204">
        <f>Telescope!H21*(1+Telescope!I21)</f>
        <v>339.17520631650626</v>
      </c>
      <c r="E12" s="22"/>
      <c r="F12" s="22"/>
      <c r="G12" s="22"/>
      <c r="I12" t="s">
        <v>252</v>
      </c>
    </row>
    <row r="13" spans="2:9" ht="12.75">
      <c r="B13" s="5" t="str">
        <f>Telescope!A22</f>
        <v>TMA-63 (composite) Telescope Structure</v>
      </c>
      <c r="C13" s="162">
        <f>Telescope!H38</f>
        <v>243.54</v>
      </c>
      <c r="D13" s="163">
        <f>Telescope!H38*(1+Telescope!I38)</f>
        <v>293.0775</v>
      </c>
      <c r="E13" s="22"/>
      <c r="F13" s="22"/>
      <c r="G13" s="22"/>
      <c r="I13" t="str">
        <f>Telescope!J22</f>
        <v>Telescope Structure FEM of 9 Aug '02</v>
      </c>
    </row>
    <row r="14" spans="2:9" ht="12.75">
      <c r="B14" s="4" t="s">
        <v>199</v>
      </c>
      <c r="C14" s="162">
        <f>SUM(C12:C13)</f>
        <v>532.6503703170591</v>
      </c>
      <c r="D14" s="163">
        <f>SUM(D12:D13)</f>
        <v>632.2527063165062</v>
      </c>
      <c r="E14" s="202">
        <v>180</v>
      </c>
      <c r="F14" s="160">
        <v>63</v>
      </c>
      <c r="G14" s="5">
        <v>63</v>
      </c>
      <c r="I14" s="188" t="s">
        <v>255</v>
      </c>
    </row>
    <row r="15" spans="1:9" ht="12.75">
      <c r="A15" s="1" t="str">
        <f>Telescope!A39</f>
        <v>STRAY LIGHT BAFFLE Assembly</v>
      </c>
      <c r="C15" s="205"/>
      <c r="D15" s="206" t="s">
        <v>87</v>
      </c>
      <c r="E15" s="207"/>
      <c r="F15" s="207"/>
      <c r="G15" s="208"/>
      <c r="I15" t="str">
        <f>Telescope!J39</f>
        <v>Baffle FEM of 25 April '02</v>
      </c>
    </row>
    <row r="16" spans="2:9" ht="12.75">
      <c r="B16" s="5" t="str">
        <f>Telescope!B40</f>
        <v>Al Baffle Tube and Vane Assembly</v>
      </c>
      <c r="C16" s="203">
        <f>Telescope!H46</f>
        <v>159.7</v>
      </c>
      <c r="D16" s="210">
        <f>Telescope!H46*(1+Telescope!I46)</f>
        <v>191.79</v>
      </c>
      <c r="E16" s="22"/>
      <c r="F16" s="22"/>
      <c r="G16" s="22"/>
      <c r="I16" t="str">
        <f>Telescope!J40</f>
        <v>    Al honeycomb Tube may save 11 kg</v>
      </c>
    </row>
    <row r="17" spans="2:7" ht="12.75">
      <c r="B17" s="5" t="str">
        <f>Telescope!B47</f>
        <v>Split (composite) Aperture Doors</v>
      </c>
      <c r="C17" s="162">
        <f>Telescope!H51</f>
        <v>17.4</v>
      </c>
      <c r="D17" s="210">
        <f>Telescope!H51*(1+Telescope!I51)</f>
        <v>20.88</v>
      </c>
      <c r="E17" s="22"/>
      <c r="F17" s="22"/>
      <c r="G17" s="22"/>
    </row>
    <row r="18" spans="2:7" ht="12.75">
      <c r="B18" s="4" t="s">
        <v>199</v>
      </c>
      <c r="C18" s="209">
        <f>SUM(C16:C17)</f>
        <v>177.1</v>
      </c>
      <c r="D18" s="211">
        <f>SUM(D16:D17)</f>
        <v>212.67</v>
      </c>
      <c r="E18" s="22"/>
      <c r="F18" s="22"/>
      <c r="G18" s="22"/>
    </row>
    <row r="19" spans="1:7" ht="12.75">
      <c r="A19" s="1" t="s">
        <v>211</v>
      </c>
      <c r="C19" s="205"/>
      <c r="D19" s="206"/>
      <c r="E19" s="207"/>
      <c r="F19" s="207"/>
      <c r="G19" s="208"/>
    </row>
    <row r="20" spans="2:7" ht="12.75">
      <c r="B20" s="5" t="str">
        <f>BUS!A4</f>
        <v>Structure</v>
      </c>
      <c r="C20" s="162">
        <f>BUS!E5</f>
        <v>80</v>
      </c>
      <c r="D20" s="190">
        <f>BUS!E5*(1+BUS!F5)</f>
        <v>100</v>
      </c>
      <c r="E20" s="161"/>
      <c r="F20" s="160"/>
      <c r="G20" s="5"/>
    </row>
    <row r="21" spans="2:7" ht="12.75">
      <c r="B21" s="5" t="str">
        <f>BUS!A6</f>
        <v>Avionics</v>
      </c>
      <c r="C21" s="162">
        <f>BUS!E12</f>
        <v>256</v>
      </c>
      <c r="D21" s="190">
        <f>BUS!E12*(1+BUS!F12)</f>
        <v>289.1</v>
      </c>
      <c r="E21" s="161">
        <f>BUS!G12</f>
        <v>507.5</v>
      </c>
      <c r="F21" s="160">
        <f>BUS!J12</f>
        <v>247</v>
      </c>
      <c r="G21" s="163">
        <f>BUS!J12*(1+BUS!K12)</f>
        <v>277.5</v>
      </c>
    </row>
    <row r="22" spans="2:7" ht="12.75">
      <c r="B22" s="5" t="str">
        <f>BUS!A13</f>
        <v>Propulsion Hardware</v>
      </c>
      <c r="C22" s="162">
        <f>BUS!E13</f>
        <v>34.1</v>
      </c>
      <c r="D22" s="190">
        <f>BUS!E13*(1+BUS!F13)</f>
        <v>37.510000000000005</v>
      </c>
      <c r="E22" s="161"/>
      <c r="F22" s="160"/>
      <c r="G22" s="5"/>
    </row>
    <row r="23" spans="2:11" ht="12.75">
      <c r="B23" s="5" t="str">
        <f>BUS!B14</f>
        <v>Monohydrazine Fuel (no disposal)</v>
      </c>
      <c r="C23" s="162">
        <f>BUS!E14</f>
        <v>72</v>
      </c>
      <c r="D23" s="190">
        <f>BUS!E14*(1+BUS!F14)</f>
        <v>74.88</v>
      </c>
      <c r="E23" s="161"/>
      <c r="F23" s="160"/>
      <c r="G23" s="5"/>
      <c r="I23" s="77" t="s">
        <v>225</v>
      </c>
      <c r="J23" s="137"/>
      <c r="K23" s="148"/>
    </row>
    <row r="24" spans="2:11" ht="12.75">
      <c r="B24" s="4" t="s">
        <v>199</v>
      </c>
      <c r="C24" s="162">
        <f>SUM(C20:C23)</f>
        <v>442.1</v>
      </c>
      <c r="D24" s="163">
        <f>SUM(D20:D23)</f>
        <v>501.49</v>
      </c>
      <c r="E24" s="161">
        <f>SUM(E20:E23)</f>
        <v>507.5</v>
      </c>
      <c r="F24" s="162">
        <f>SUM(F20:F23)</f>
        <v>247</v>
      </c>
      <c r="G24" s="163">
        <f>SUM(G20:G23)</f>
        <v>277.5</v>
      </c>
      <c r="I24" s="76">
        <v>0.25</v>
      </c>
      <c r="J24" s="136" t="s">
        <v>161</v>
      </c>
      <c r="K24" s="148"/>
    </row>
    <row r="25" spans="9:11" ht="13.5" thickBot="1">
      <c r="I25" s="68">
        <v>0.2</v>
      </c>
      <c r="J25" s="149" t="s">
        <v>187</v>
      </c>
      <c r="K25" s="86"/>
    </row>
    <row r="26" spans="1:11" ht="13.5" thickBot="1">
      <c r="A26" s="139" t="s">
        <v>198</v>
      </c>
      <c r="B26" s="135"/>
      <c r="C26" s="151">
        <f>C10+C14+C18+C24</f>
        <v>1369.6643006969803</v>
      </c>
      <c r="D26" s="151">
        <f>D10+D14+D18+D24</f>
        <v>1614.065959171498</v>
      </c>
      <c r="E26" s="151">
        <f>E10+E14+E18+E24</f>
        <v>1129.7703999999999</v>
      </c>
      <c r="F26" s="151">
        <f>F10+F14+F18+F24</f>
        <v>445.91544</v>
      </c>
      <c r="G26" s="152">
        <f>G10+G14+G18+G24</f>
        <v>506.49105599999996</v>
      </c>
      <c r="I26" s="68">
        <v>0.15</v>
      </c>
      <c r="J26" s="149" t="s">
        <v>162</v>
      </c>
      <c r="K26" s="86"/>
    </row>
    <row r="27" spans="1:11" ht="12.75">
      <c r="A27" s="70"/>
      <c r="B27" s="10" t="s">
        <v>314</v>
      </c>
      <c r="C27" s="171">
        <f>C10+C14+C18</f>
        <v>927.5643006969802</v>
      </c>
      <c r="D27" s="171">
        <f>D10+D14+D18</f>
        <v>1112.575959171498</v>
      </c>
      <c r="E27" s="171"/>
      <c r="F27" s="171"/>
      <c r="G27" s="171"/>
      <c r="I27" s="68">
        <v>0.1</v>
      </c>
      <c r="J27" s="149" t="s">
        <v>163</v>
      </c>
      <c r="K27" s="86"/>
    </row>
    <row r="28" spans="5:11" ht="12.75">
      <c r="E28" s="150"/>
      <c r="F28" s="150"/>
      <c r="I28" s="68">
        <v>0.08</v>
      </c>
      <c r="J28" s="149" t="s">
        <v>165</v>
      </c>
      <c r="K28" s="86"/>
    </row>
    <row r="29" spans="1:11" ht="12.75">
      <c r="A29" s="70" t="s">
        <v>226</v>
      </c>
      <c r="C29" s="170">
        <f>2020/C26-1</f>
        <v>0.4748139372341702</v>
      </c>
      <c r="D29" s="170">
        <f>2020/D26-1</f>
        <v>0.2514978018846692</v>
      </c>
      <c r="E29" s="150"/>
      <c r="F29" s="150"/>
      <c r="I29" s="68">
        <v>0.04</v>
      </c>
      <c r="J29" s="80" t="s">
        <v>164</v>
      </c>
      <c r="K29" s="84"/>
    </row>
    <row r="30" spans="1:6" ht="12.75">
      <c r="A30" s="10"/>
      <c r="B30" t="s">
        <v>246</v>
      </c>
      <c r="C30" s="170"/>
      <c r="D30" s="170"/>
      <c r="E30" s="150"/>
      <c r="F30" s="150"/>
    </row>
    <row r="31" spans="1:3" ht="12.75">
      <c r="A31" s="147"/>
      <c r="C31" s="147"/>
    </row>
  </sheetData>
  <mergeCells count="2">
    <mergeCell ref="C2:D2"/>
    <mergeCell ref="E2:G2"/>
  </mergeCells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Zeros="0" zoomScale="75" zoomScaleNormal="75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30.57421875" style="0" customWidth="1"/>
    <col min="4" max="15" width="7.7109375" style="0" customWidth="1"/>
  </cols>
  <sheetData>
    <row r="1" spans="1:3" ht="13.5" thickBot="1">
      <c r="A1" s="10"/>
      <c r="B1" s="10"/>
      <c r="C1" s="10"/>
    </row>
    <row r="2" spans="1:14" ht="13.5" thickBot="1">
      <c r="A2" s="70" t="s">
        <v>188</v>
      </c>
      <c r="B2" s="10"/>
      <c r="C2" s="10"/>
      <c r="D2" s="128"/>
      <c r="E2" s="335" t="s">
        <v>151</v>
      </c>
      <c r="F2" s="337"/>
      <c r="G2" s="336"/>
      <c r="H2" s="335" t="s">
        <v>152</v>
      </c>
      <c r="I2" s="337"/>
      <c r="J2" s="337"/>
      <c r="K2" s="337"/>
      <c r="L2" s="337"/>
      <c r="M2" s="337"/>
      <c r="N2" s="336"/>
    </row>
    <row r="3" spans="2:15" ht="24.75" customHeight="1">
      <c r="B3" s="10"/>
      <c r="C3" s="10"/>
      <c r="D3" s="51" t="s">
        <v>55</v>
      </c>
      <c r="E3" s="126" t="s">
        <v>157</v>
      </c>
      <c r="F3" s="126" t="s">
        <v>132</v>
      </c>
      <c r="G3" s="126" t="s">
        <v>224</v>
      </c>
      <c r="H3" s="126" t="s">
        <v>145</v>
      </c>
      <c r="I3" s="52" t="s">
        <v>146</v>
      </c>
      <c r="J3" s="53" t="s">
        <v>144</v>
      </c>
      <c r="K3" s="126" t="s">
        <v>147</v>
      </c>
      <c r="L3" s="53" t="s">
        <v>150</v>
      </c>
      <c r="M3" s="126" t="s">
        <v>148</v>
      </c>
      <c r="N3" s="126" t="s">
        <v>224</v>
      </c>
      <c r="O3" t="s">
        <v>135</v>
      </c>
    </row>
    <row r="4" spans="1:14" ht="12.75">
      <c r="A4" s="70" t="s">
        <v>123</v>
      </c>
      <c r="B4" s="10"/>
      <c r="C4" s="10"/>
      <c r="D4" s="173"/>
      <c r="E4" s="155"/>
      <c r="F4" s="156"/>
      <c r="G4" s="156"/>
      <c r="H4" s="156"/>
      <c r="I4" s="156"/>
      <c r="J4" s="156"/>
      <c r="K4" s="156"/>
      <c r="L4" s="156"/>
      <c r="M4" s="156"/>
      <c r="N4" s="156"/>
    </row>
    <row r="5" spans="1:15" ht="12.75">
      <c r="A5" s="3"/>
      <c r="B5" s="10"/>
      <c r="C5" s="5" t="s">
        <v>120</v>
      </c>
      <c r="D5" s="27">
        <v>36</v>
      </c>
      <c r="E5" s="60">
        <v>0.1</v>
      </c>
      <c r="F5" s="61">
        <f>D5*E5</f>
        <v>3.6</v>
      </c>
      <c r="G5" s="69">
        <v>0.15</v>
      </c>
      <c r="H5" s="64">
        <v>0.08</v>
      </c>
      <c r="I5" s="64">
        <v>0.01</v>
      </c>
      <c r="J5" s="66">
        <f>H5*D5</f>
        <v>2.88</v>
      </c>
      <c r="K5" s="64">
        <f>I5*D5</f>
        <v>0.36</v>
      </c>
      <c r="L5" s="59">
        <v>0.1</v>
      </c>
      <c r="M5" s="61">
        <f>L5*J5+(1-L5)*K5</f>
        <v>0.612</v>
      </c>
      <c r="N5" s="69">
        <v>0.15</v>
      </c>
      <c r="O5" t="s">
        <v>140</v>
      </c>
    </row>
    <row r="6" spans="1:15" ht="12.75">
      <c r="A6" s="3"/>
      <c r="B6" s="10"/>
      <c r="C6" s="5" t="s">
        <v>133</v>
      </c>
      <c r="D6" s="27">
        <v>36</v>
      </c>
      <c r="E6" s="60">
        <v>0.01</v>
      </c>
      <c r="F6" s="61">
        <f aca="true" t="shared" si="0" ref="F6:F13">D6*E6</f>
        <v>0.36</v>
      </c>
      <c r="G6" s="69">
        <v>0.2</v>
      </c>
      <c r="H6" s="64">
        <v>0.04</v>
      </c>
      <c r="I6" s="64">
        <v>0.02</v>
      </c>
      <c r="J6" s="66">
        <f aca="true" t="shared" si="1" ref="J6:J42">H6*D6</f>
        <v>1.44</v>
      </c>
      <c r="K6" s="64">
        <f aca="true" t="shared" si="2" ref="K6:K42">I6*D6</f>
        <v>0.72</v>
      </c>
      <c r="L6" s="59">
        <v>0.1</v>
      </c>
      <c r="M6" s="61">
        <f aca="true" t="shared" si="3" ref="M6:M42">L6*J6+(1-L6)*K6</f>
        <v>0.792</v>
      </c>
      <c r="N6" s="69">
        <v>0.2</v>
      </c>
      <c r="O6" t="s">
        <v>139</v>
      </c>
    </row>
    <row r="7" spans="1:15" ht="12.75">
      <c r="A7" s="3"/>
      <c r="B7" s="10"/>
      <c r="C7" s="5" t="s">
        <v>121</v>
      </c>
      <c r="D7" s="27">
        <v>36</v>
      </c>
      <c r="E7" s="60">
        <v>0.1</v>
      </c>
      <c r="F7" s="61">
        <f t="shared" si="0"/>
        <v>3.6</v>
      </c>
      <c r="G7" s="69">
        <v>0.15</v>
      </c>
      <c r="H7" s="65">
        <v>0.0064</v>
      </c>
      <c r="I7" s="64">
        <v>0.006</v>
      </c>
      <c r="J7" s="66">
        <f t="shared" si="1"/>
        <v>0.23040000000000002</v>
      </c>
      <c r="K7" s="64">
        <f t="shared" si="2"/>
        <v>0.216</v>
      </c>
      <c r="L7" s="59">
        <v>0.1</v>
      </c>
      <c r="M7" s="61">
        <f t="shared" si="3"/>
        <v>0.21744</v>
      </c>
      <c r="N7" s="69">
        <v>0.15</v>
      </c>
      <c r="O7" t="s">
        <v>141</v>
      </c>
    </row>
    <row r="8" spans="1:15" ht="12.75">
      <c r="A8" s="3"/>
      <c r="B8" s="10"/>
      <c r="C8" s="5" t="s">
        <v>134</v>
      </c>
      <c r="D8" s="27">
        <v>36</v>
      </c>
      <c r="E8" s="60">
        <v>0.01</v>
      </c>
      <c r="F8" s="61">
        <f t="shared" si="0"/>
        <v>0.36</v>
      </c>
      <c r="G8" s="69">
        <v>0.2</v>
      </c>
      <c r="H8" s="64">
        <v>0.05</v>
      </c>
      <c r="I8" s="64">
        <v>0.01</v>
      </c>
      <c r="J8" s="66">
        <f t="shared" si="1"/>
        <v>1.8</v>
      </c>
      <c r="K8" s="64">
        <f t="shared" si="2"/>
        <v>0.36</v>
      </c>
      <c r="L8" s="59">
        <v>0.1</v>
      </c>
      <c r="M8" s="61">
        <f t="shared" si="3"/>
        <v>0.504</v>
      </c>
      <c r="N8" s="69">
        <v>0.2</v>
      </c>
      <c r="O8" t="s">
        <v>141</v>
      </c>
    </row>
    <row r="9" spans="1:15" ht="12.75">
      <c r="A9" s="3"/>
      <c r="B9" s="10"/>
      <c r="C9" s="5" t="s">
        <v>136</v>
      </c>
      <c r="D9" s="27">
        <v>1</v>
      </c>
      <c r="E9" s="60">
        <v>10</v>
      </c>
      <c r="F9" s="61">
        <f t="shared" si="0"/>
        <v>10</v>
      </c>
      <c r="G9" s="69">
        <v>0.2</v>
      </c>
      <c r="H9" s="64">
        <v>1</v>
      </c>
      <c r="I9" s="64">
        <v>0.1</v>
      </c>
      <c r="J9" s="66">
        <f t="shared" si="1"/>
        <v>1</v>
      </c>
      <c r="K9" s="64">
        <f t="shared" si="2"/>
        <v>0.1</v>
      </c>
      <c r="L9" s="59">
        <v>0.1</v>
      </c>
      <c r="M9" s="61">
        <f t="shared" si="3"/>
        <v>0.19</v>
      </c>
      <c r="N9" s="69">
        <v>0.2</v>
      </c>
      <c r="O9" t="s">
        <v>137</v>
      </c>
    </row>
    <row r="10" spans="1:14" ht="12.75">
      <c r="A10" s="3"/>
      <c r="B10" s="10"/>
      <c r="C10" s="5" t="s">
        <v>166</v>
      </c>
      <c r="D10" s="198" t="s">
        <v>154</v>
      </c>
      <c r="E10" s="60">
        <v>0.2</v>
      </c>
      <c r="F10" s="61">
        <v>0.2</v>
      </c>
      <c r="G10" s="69">
        <v>0.25</v>
      </c>
      <c r="H10" s="64"/>
      <c r="I10" s="64"/>
      <c r="J10" s="58"/>
      <c r="K10" s="24"/>
      <c r="L10" s="59"/>
      <c r="M10" s="61"/>
      <c r="N10" s="69"/>
    </row>
    <row r="11" spans="1:15" ht="12.75">
      <c r="A11" s="3"/>
      <c r="B11" s="10"/>
      <c r="C11" s="74" t="s">
        <v>122</v>
      </c>
      <c r="D11" s="27">
        <v>16</v>
      </c>
      <c r="E11" s="60">
        <v>0.1</v>
      </c>
      <c r="F11" s="61">
        <f t="shared" si="0"/>
        <v>1.6</v>
      </c>
      <c r="G11" s="69">
        <v>0.2</v>
      </c>
      <c r="H11" s="64">
        <v>0.12</v>
      </c>
      <c r="I11" s="64">
        <v>0.12</v>
      </c>
      <c r="J11" s="66">
        <f t="shared" si="1"/>
        <v>1.92</v>
      </c>
      <c r="K11" s="24">
        <f t="shared" si="2"/>
        <v>1.92</v>
      </c>
      <c r="L11" s="59">
        <v>0.9</v>
      </c>
      <c r="M11" s="61">
        <f t="shared" si="3"/>
        <v>1.92</v>
      </c>
      <c r="N11" s="69">
        <v>0.2</v>
      </c>
      <c r="O11" t="s">
        <v>167</v>
      </c>
    </row>
    <row r="12" spans="1:14" ht="12.75">
      <c r="A12" s="3"/>
      <c r="B12" s="21" t="s">
        <v>205</v>
      </c>
      <c r="C12" s="194"/>
      <c r="D12" s="27">
        <v>1</v>
      </c>
      <c r="E12" s="60">
        <f>10220*0.006*(PI()/4)*(0.65^2-0.26^2)</f>
        <v>17.09220239819574</v>
      </c>
      <c r="F12" s="61">
        <f t="shared" si="0"/>
        <v>17.09220239819574</v>
      </c>
      <c r="G12" s="69">
        <v>0.2</v>
      </c>
      <c r="H12" s="24"/>
      <c r="I12" s="24"/>
      <c r="J12" s="58">
        <f t="shared" si="1"/>
        <v>0</v>
      </c>
      <c r="K12" s="24">
        <f t="shared" si="2"/>
        <v>0</v>
      </c>
      <c r="L12" s="59"/>
      <c r="M12" s="57">
        <f t="shared" si="3"/>
        <v>0</v>
      </c>
      <c r="N12" s="69"/>
    </row>
    <row r="13" spans="1:14" ht="12.75">
      <c r="A13" s="3"/>
      <c r="B13" s="10"/>
      <c r="C13" s="5" t="s">
        <v>125</v>
      </c>
      <c r="D13" s="27">
        <v>3</v>
      </c>
      <c r="E13" s="60">
        <v>0.157</v>
      </c>
      <c r="F13" s="61">
        <f t="shared" si="0"/>
        <v>0.471</v>
      </c>
      <c r="G13" s="69">
        <v>0.2</v>
      </c>
      <c r="H13" s="24"/>
      <c r="I13" s="24"/>
      <c r="J13" s="58">
        <f t="shared" si="1"/>
        <v>0</v>
      </c>
      <c r="K13" s="24">
        <f t="shared" si="2"/>
        <v>0</v>
      </c>
      <c r="L13" s="59"/>
      <c r="M13" s="57">
        <f t="shared" si="3"/>
        <v>0</v>
      </c>
      <c r="N13" s="69"/>
    </row>
    <row r="14" spans="1:14" ht="12.75">
      <c r="A14" s="3"/>
      <c r="B14" s="10"/>
      <c r="C14" s="5" t="s">
        <v>124</v>
      </c>
      <c r="D14" s="198" t="s">
        <v>154</v>
      </c>
      <c r="E14" s="60">
        <v>0.1</v>
      </c>
      <c r="F14" s="61">
        <v>0.1</v>
      </c>
      <c r="G14" s="69">
        <v>0.25</v>
      </c>
      <c r="H14" s="24"/>
      <c r="I14" s="24"/>
      <c r="J14" s="58"/>
      <c r="K14" s="24"/>
      <c r="L14" s="59"/>
      <c r="M14" s="57"/>
      <c r="N14" s="69"/>
    </row>
    <row r="15" spans="1:14" ht="13.5" thickBot="1">
      <c r="A15" s="3"/>
      <c r="B15" s="10"/>
      <c r="C15" s="74" t="s">
        <v>126</v>
      </c>
      <c r="D15" s="198" t="s">
        <v>154</v>
      </c>
      <c r="E15" s="89">
        <v>0.2</v>
      </c>
      <c r="F15" s="90">
        <v>0.2</v>
      </c>
      <c r="G15" s="69">
        <v>0.25</v>
      </c>
      <c r="H15" s="92"/>
      <c r="I15" s="92"/>
      <c r="J15" s="93"/>
      <c r="K15" s="92"/>
      <c r="L15" s="94"/>
      <c r="M15" s="95"/>
      <c r="N15" s="69"/>
    </row>
    <row r="16" spans="1:14" ht="13.5" thickBot="1">
      <c r="A16" s="3"/>
      <c r="B16" s="100" t="s">
        <v>39</v>
      </c>
      <c r="C16" s="135"/>
      <c r="D16" s="134"/>
      <c r="E16" s="102"/>
      <c r="F16" s="103">
        <f>SUM(F5:F15)</f>
        <v>37.583202398195745</v>
      </c>
      <c r="G16" s="104">
        <f>SUMPRODUCT(F5:F15,G5:G15)/F16</f>
        <v>0.19108644344750988</v>
      </c>
      <c r="H16" s="105"/>
      <c r="I16" s="105"/>
      <c r="J16" s="106">
        <f>SUM(J5:J15)</f>
        <v>9.2704</v>
      </c>
      <c r="K16" s="107">
        <f>SUM(K5:K15)</f>
        <v>3.676</v>
      </c>
      <c r="L16" s="108"/>
      <c r="M16" s="109">
        <f>SUM(M5:M15)</f>
        <v>4.2354400000000005</v>
      </c>
      <c r="N16" s="104">
        <f>SUMPRODUCT(M5:M15,N5:N15)/M16</f>
        <v>0.19020833726838296</v>
      </c>
    </row>
    <row r="17" spans="1:14" ht="12.75">
      <c r="A17" s="70" t="s">
        <v>191</v>
      </c>
      <c r="B17" s="70"/>
      <c r="C17" s="10"/>
      <c r="D17" s="174"/>
      <c r="E17" s="26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12.75">
      <c r="B18" s="133"/>
      <c r="C18" s="9" t="s">
        <v>380</v>
      </c>
      <c r="D18" s="27">
        <v>1</v>
      </c>
      <c r="E18" s="72">
        <f>2700*0.01*PI()*(0.12+0.33)*0.65</f>
        <v>24.810727981725393</v>
      </c>
      <c r="F18" s="96">
        <f>D18*E18</f>
        <v>24.810727981725393</v>
      </c>
      <c r="G18" s="69">
        <v>0.25</v>
      </c>
      <c r="H18" s="97"/>
      <c r="I18" s="97"/>
      <c r="J18" s="98">
        <f t="shared" si="1"/>
        <v>0</v>
      </c>
      <c r="K18" s="97">
        <f t="shared" si="2"/>
        <v>0</v>
      </c>
      <c r="L18" s="99"/>
      <c r="M18" s="96">
        <f t="shared" si="3"/>
        <v>0</v>
      </c>
      <c r="N18" s="69"/>
    </row>
    <row r="19" spans="1:14" ht="12.75">
      <c r="A19" s="71"/>
      <c r="B19" s="10"/>
      <c r="C19" s="75" t="s">
        <v>125</v>
      </c>
      <c r="D19" s="27">
        <v>3</v>
      </c>
      <c r="E19" s="72">
        <v>1</v>
      </c>
      <c r="F19" s="57">
        <f>D19*E19</f>
        <v>3</v>
      </c>
      <c r="G19" s="69">
        <v>0.25</v>
      </c>
      <c r="H19" s="24"/>
      <c r="I19" s="24"/>
      <c r="J19" s="58">
        <f t="shared" si="1"/>
        <v>0</v>
      </c>
      <c r="K19" s="24">
        <f t="shared" si="2"/>
        <v>0</v>
      </c>
      <c r="L19" s="59"/>
      <c r="M19" s="57">
        <f t="shared" si="3"/>
        <v>0</v>
      </c>
      <c r="N19" s="69"/>
    </row>
    <row r="20" spans="1:14" ht="13.5" thickBot="1">
      <c r="A20" s="3"/>
      <c r="C20" s="74" t="s">
        <v>160</v>
      </c>
      <c r="D20" s="88">
        <v>1</v>
      </c>
      <c r="E20" s="111">
        <v>0.2</v>
      </c>
      <c r="F20" s="95">
        <f>D20*E20</f>
        <v>0.2</v>
      </c>
      <c r="G20" s="69">
        <v>0.25</v>
      </c>
      <c r="H20" s="92"/>
      <c r="I20" s="92"/>
      <c r="J20" s="93">
        <f t="shared" si="1"/>
        <v>0</v>
      </c>
      <c r="K20" s="92">
        <f t="shared" si="2"/>
        <v>0</v>
      </c>
      <c r="L20" s="94"/>
      <c r="M20" s="95">
        <f t="shared" si="3"/>
        <v>0</v>
      </c>
      <c r="N20" s="69"/>
    </row>
    <row r="21" spans="1:14" ht="13.5" thickBot="1">
      <c r="A21" s="3"/>
      <c r="B21" s="100" t="s">
        <v>39</v>
      </c>
      <c r="C21" s="176"/>
      <c r="D21" s="134"/>
      <c r="E21" s="101"/>
      <c r="F21" s="103">
        <f>SUM(F18:F20)</f>
        <v>28.010727981725392</v>
      </c>
      <c r="G21" s="104">
        <f>SUMPRODUCT(F18:F20,G18:G20)/F21</f>
        <v>0.25</v>
      </c>
      <c r="H21" s="105"/>
      <c r="I21" s="105"/>
      <c r="J21" s="124">
        <f t="shared" si="1"/>
        <v>0</v>
      </c>
      <c r="K21" s="105">
        <f t="shared" si="2"/>
        <v>0</v>
      </c>
      <c r="L21" s="119"/>
      <c r="M21" s="125">
        <f t="shared" si="3"/>
        <v>0</v>
      </c>
      <c r="N21" s="104"/>
    </row>
    <row r="22" spans="1:14" ht="12.75">
      <c r="A22" s="70" t="s">
        <v>244</v>
      </c>
      <c r="B22" s="70"/>
      <c r="C22" s="70"/>
      <c r="D22" s="175"/>
      <c r="E22" s="114"/>
      <c r="F22" s="87"/>
      <c r="G22" s="114"/>
      <c r="H22" s="87"/>
      <c r="I22" s="87"/>
      <c r="J22" s="87">
        <f t="shared" si="1"/>
        <v>0</v>
      </c>
      <c r="K22" s="87">
        <f t="shared" si="2"/>
        <v>0</v>
      </c>
      <c r="L22" s="115"/>
      <c r="M22" s="87">
        <f t="shared" si="3"/>
        <v>0</v>
      </c>
      <c r="N22" s="114"/>
    </row>
    <row r="23" spans="1:14" ht="12.75">
      <c r="A23" s="70"/>
      <c r="B23" s="70"/>
      <c r="C23" s="74" t="s">
        <v>305</v>
      </c>
      <c r="D23" s="27">
        <v>1</v>
      </c>
      <c r="E23" s="72">
        <v>12</v>
      </c>
      <c r="F23" s="57">
        <f>D23*E23</f>
        <v>12</v>
      </c>
      <c r="G23" s="69">
        <v>0.25</v>
      </c>
      <c r="H23" s="24">
        <v>1</v>
      </c>
      <c r="I23" s="24">
        <v>1</v>
      </c>
      <c r="J23" s="58">
        <f>H23*D23</f>
        <v>1</v>
      </c>
      <c r="K23" s="24">
        <f t="shared" si="2"/>
        <v>1</v>
      </c>
      <c r="L23" s="59">
        <v>1</v>
      </c>
      <c r="M23" s="57">
        <f t="shared" si="3"/>
        <v>1</v>
      </c>
      <c r="N23" s="69">
        <v>0.25</v>
      </c>
    </row>
    <row r="24" spans="2:15" ht="12.75">
      <c r="B24" s="82"/>
      <c r="C24" s="5" t="s">
        <v>127</v>
      </c>
      <c r="D24" s="27">
        <v>1</v>
      </c>
      <c r="E24" s="73">
        <f>90/5</f>
        <v>18</v>
      </c>
      <c r="F24" s="57">
        <f>D24*E24</f>
        <v>18</v>
      </c>
      <c r="G24" s="69">
        <v>0.2</v>
      </c>
      <c r="H24" s="24">
        <v>19</v>
      </c>
      <c r="I24" s="24">
        <v>11</v>
      </c>
      <c r="J24" s="58">
        <f t="shared" si="1"/>
        <v>19</v>
      </c>
      <c r="K24" s="24">
        <f t="shared" si="2"/>
        <v>11</v>
      </c>
      <c r="L24" s="59">
        <v>0.1</v>
      </c>
      <c r="M24" s="57">
        <f t="shared" si="3"/>
        <v>11.8</v>
      </c>
      <c r="N24" s="69">
        <v>0.25</v>
      </c>
      <c r="O24" t="s">
        <v>142</v>
      </c>
    </row>
    <row r="25" spans="2:15" ht="12.75">
      <c r="B25" s="82"/>
      <c r="C25" s="13" t="s">
        <v>128</v>
      </c>
      <c r="D25" s="27">
        <v>1</v>
      </c>
      <c r="E25" s="72">
        <v>8</v>
      </c>
      <c r="F25" s="57">
        <f>D25*E25</f>
        <v>8</v>
      </c>
      <c r="G25" s="69">
        <v>0.25</v>
      </c>
      <c r="H25" s="24">
        <v>14</v>
      </c>
      <c r="I25" s="24">
        <v>10</v>
      </c>
      <c r="J25" s="58">
        <f t="shared" si="1"/>
        <v>14</v>
      </c>
      <c r="K25" s="24">
        <f t="shared" si="2"/>
        <v>10</v>
      </c>
      <c r="L25" s="59">
        <v>0.1</v>
      </c>
      <c r="M25" s="57">
        <f t="shared" si="3"/>
        <v>10.4</v>
      </c>
      <c r="N25" s="69">
        <v>0.25</v>
      </c>
      <c r="O25" t="s">
        <v>142</v>
      </c>
    </row>
    <row r="26" spans="2:14" ht="12.75">
      <c r="B26" s="83"/>
      <c r="C26" s="13" t="s">
        <v>129</v>
      </c>
      <c r="D26" s="27">
        <v>1</v>
      </c>
      <c r="E26" s="72">
        <v>8</v>
      </c>
      <c r="F26" s="57">
        <f>D26*E26</f>
        <v>8</v>
      </c>
      <c r="G26" s="69">
        <v>0.25</v>
      </c>
      <c r="H26" s="24">
        <v>10</v>
      </c>
      <c r="I26" s="24">
        <v>5</v>
      </c>
      <c r="J26" s="58">
        <f t="shared" si="1"/>
        <v>10</v>
      </c>
      <c r="K26" s="24">
        <f t="shared" si="2"/>
        <v>5</v>
      </c>
      <c r="L26" s="59">
        <v>0.1</v>
      </c>
      <c r="M26" s="57">
        <f t="shared" si="3"/>
        <v>5.5</v>
      </c>
      <c r="N26" s="69">
        <v>0.25</v>
      </c>
    </row>
    <row r="27" spans="2:15" ht="12.75">
      <c r="B27" s="83"/>
      <c r="C27" s="13" t="s">
        <v>138</v>
      </c>
      <c r="D27" s="27">
        <v>1</v>
      </c>
      <c r="E27" s="72">
        <v>1.6</v>
      </c>
      <c r="F27" s="57">
        <f>D27*E27</f>
        <v>1.6</v>
      </c>
      <c r="G27" s="69">
        <v>0.25</v>
      </c>
      <c r="H27" s="24">
        <v>3</v>
      </c>
      <c r="I27" s="24">
        <v>3</v>
      </c>
      <c r="J27" s="58">
        <f>H27*D27</f>
        <v>3</v>
      </c>
      <c r="K27" s="24">
        <f t="shared" si="2"/>
        <v>3</v>
      </c>
      <c r="L27" s="59">
        <v>1</v>
      </c>
      <c r="M27" s="57">
        <f t="shared" si="3"/>
        <v>3</v>
      </c>
      <c r="N27" s="69">
        <v>0.2</v>
      </c>
      <c r="O27" t="s">
        <v>236</v>
      </c>
    </row>
    <row r="28" spans="2:14" ht="13.5" thickBot="1">
      <c r="B28" s="83"/>
      <c r="C28" s="74" t="s">
        <v>131</v>
      </c>
      <c r="D28" s="198" t="s">
        <v>154</v>
      </c>
      <c r="E28" s="111">
        <v>10</v>
      </c>
      <c r="F28" s="95">
        <v>10</v>
      </c>
      <c r="G28" s="69">
        <v>0.25</v>
      </c>
      <c r="H28" s="92"/>
      <c r="I28" s="92"/>
      <c r="J28" s="112"/>
      <c r="K28" s="92"/>
      <c r="L28" s="94"/>
      <c r="M28" s="113"/>
      <c r="N28" s="69"/>
    </row>
    <row r="29" spans="2:14" ht="13.5" thickBot="1">
      <c r="B29" s="100" t="s">
        <v>39</v>
      </c>
      <c r="C29" s="177"/>
      <c r="D29" s="134"/>
      <c r="E29" s="101"/>
      <c r="F29" s="103">
        <f>SUM(F23:F28)</f>
        <v>57.6</v>
      </c>
      <c r="G29" s="104">
        <f>SUMPRODUCT(F23:F28,G23:G28)/F29</f>
        <v>0.234375</v>
      </c>
      <c r="H29" s="105"/>
      <c r="I29" s="105"/>
      <c r="J29" s="117">
        <f>SUM(J23:J28)</f>
        <v>47</v>
      </c>
      <c r="K29" s="118">
        <f>SUM(K23:K28)</f>
        <v>30</v>
      </c>
      <c r="L29" s="119"/>
      <c r="M29" s="103">
        <f>SUM(M23:M28)</f>
        <v>31.700000000000003</v>
      </c>
      <c r="N29" s="104">
        <f>SUMPRODUCT(M23:M28,N23:N28)/M29</f>
        <v>0.24526813880126183</v>
      </c>
    </row>
    <row r="30" spans="1:14" ht="12.75">
      <c r="A30" s="70" t="s">
        <v>231</v>
      </c>
      <c r="B30" s="10"/>
      <c r="C30" s="10"/>
      <c r="D30" s="175"/>
      <c r="E30" s="114"/>
      <c r="F30" s="87"/>
      <c r="G30" s="114"/>
      <c r="H30" s="87"/>
      <c r="I30" s="87"/>
      <c r="J30" s="87">
        <f t="shared" si="1"/>
        <v>0</v>
      </c>
      <c r="K30" s="87">
        <f t="shared" si="2"/>
        <v>0</v>
      </c>
      <c r="L30" s="115"/>
      <c r="M30" s="87">
        <f t="shared" si="3"/>
        <v>0</v>
      </c>
      <c r="N30" s="114"/>
    </row>
    <row r="31" spans="2:15" ht="12.75">
      <c r="B31" s="199" t="s">
        <v>115</v>
      </c>
      <c r="C31" s="199"/>
      <c r="D31" s="27">
        <v>2</v>
      </c>
      <c r="E31" s="54">
        <v>15</v>
      </c>
      <c r="F31" s="55">
        <f>D31*E31</f>
        <v>30</v>
      </c>
      <c r="G31" s="69">
        <v>0.2</v>
      </c>
      <c r="H31" s="24">
        <v>80</v>
      </c>
      <c r="I31" s="24">
        <v>30</v>
      </c>
      <c r="J31" s="58">
        <f t="shared" si="1"/>
        <v>160</v>
      </c>
      <c r="K31" s="24">
        <f t="shared" si="2"/>
        <v>60</v>
      </c>
      <c r="L31" s="59">
        <v>0.1</v>
      </c>
      <c r="M31" s="57">
        <f t="shared" si="3"/>
        <v>70</v>
      </c>
      <c r="N31" s="69">
        <v>0.2</v>
      </c>
      <c r="O31" t="s">
        <v>149</v>
      </c>
    </row>
    <row r="32" spans="2:15" ht="12.75">
      <c r="B32" s="7" t="s">
        <v>114</v>
      </c>
      <c r="C32" s="7"/>
      <c r="D32" s="62">
        <v>2</v>
      </c>
      <c r="E32" s="63">
        <v>3</v>
      </c>
      <c r="F32" s="55">
        <f>D32*E32</f>
        <v>6</v>
      </c>
      <c r="G32" s="69">
        <v>0.25</v>
      </c>
      <c r="H32" s="24">
        <v>12</v>
      </c>
      <c r="I32" s="24"/>
      <c r="J32" s="58">
        <f t="shared" si="1"/>
        <v>24</v>
      </c>
      <c r="K32" s="24">
        <f t="shared" si="2"/>
        <v>0</v>
      </c>
      <c r="L32" s="59">
        <v>1</v>
      </c>
      <c r="M32" s="57">
        <f t="shared" si="3"/>
        <v>24</v>
      </c>
      <c r="N32" s="69">
        <v>0.25</v>
      </c>
      <c r="O32" t="s">
        <v>143</v>
      </c>
    </row>
    <row r="33" spans="2:14" ht="12.75">
      <c r="B33" s="5" t="s">
        <v>168</v>
      </c>
      <c r="C33" s="7"/>
      <c r="D33" s="62">
        <v>1</v>
      </c>
      <c r="E33" s="63">
        <v>4.53</v>
      </c>
      <c r="F33" s="55">
        <f>D33*E33</f>
        <v>4.53</v>
      </c>
      <c r="G33" s="69">
        <v>0.25</v>
      </c>
      <c r="H33" s="24"/>
      <c r="I33" s="24"/>
      <c r="J33" s="49">
        <v>200</v>
      </c>
      <c r="K33" s="24">
        <v>2</v>
      </c>
      <c r="L33" s="59">
        <v>0.01</v>
      </c>
      <c r="M33" s="57">
        <f>L33*J33+(1-L33)*K33</f>
        <v>3.98</v>
      </c>
      <c r="N33" s="69">
        <v>0.25</v>
      </c>
    </row>
    <row r="34" spans="2:14" ht="12.75">
      <c r="B34" s="5" t="s">
        <v>234</v>
      </c>
      <c r="C34" s="7"/>
      <c r="D34" s="62">
        <v>1</v>
      </c>
      <c r="E34" s="63">
        <v>4.53</v>
      </c>
      <c r="F34" s="55">
        <f>D34*E34</f>
        <v>4.53</v>
      </c>
      <c r="G34" s="69">
        <v>0.25</v>
      </c>
      <c r="H34" s="24"/>
      <c r="I34" s="24"/>
      <c r="J34" s="49">
        <v>2</v>
      </c>
      <c r="K34" s="24"/>
      <c r="L34" s="59">
        <v>1</v>
      </c>
      <c r="M34" s="57">
        <f>L34*J34+(1-L34)*K34</f>
        <v>2</v>
      </c>
      <c r="N34" s="69">
        <v>0.25</v>
      </c>
    </row>
    <row r="35" spans="2:14" ht="13.5" thickBot="1">
      <c r="B35" s="120" t="s">
        <v>119</v>
      </c>
      <c r="C35" s="120"/>
      <c r="D35" s="121">
        <v>1</v>
      </c>
      <c r="E35" s="122">
        <v>10</v>
      </c>
      <c r="F35" s="123">
        <f>D35*E35</f>
        <v>10</v>
      </c>
      <c r="G35" s="69">
        <v>0.25</v>
      </c>
      <c r="H35" s="92"/>
      <c r="I35" s="92"/>
      <c r="J35" s="112">
        <f>H35*D35</f>
        <v>0</v>
      </c>
      <c r="K35" s="92">
        <f>I35*D35</f>
        <v>0</v>
      </c>
      <c r="L35" s="94"/>
      <c r="M35" s="113">
        <f>L35*J35+(1-L35)*K35</f>
        <v>0</v>
      </c>
      <c r="N35" s="69"/>
    </row>
    <row r="36" spans="2:14" ht="13.5" thickBot="1">
      <c r="B36" s="100" t="s">
        <v>39</v>
      </c>
      <c r="C36" s="177"/>
      <c r="D36" s="134"/>
      <c r="E36" s="101"/>
      <c r="F36" s="103">
        <f>SUM(F31:F35)</f>
        <v>55.06</v>
      </c>
      <c r="G36" s="104">
        <f>SUMPRODUCT(F31:F35,G31:G35)/F36</f>
        <v>0.22275699237195787</v>
      </c>
      <c r="H36" s="105"/>
      <c r="I36" s="105"/>
      <c r="J36" s="117">
        <f>SUM(J31:J35)</f>
        <v>386</v>
      </c>
      <c r="K36" s="118">
        <f>SUM(K31:K35)</f>
        <v>62</v>
      </c>
      <c r="L36" s="119"/>
      <c r="M36" s="103">
        <f>SUM(M31:M35)</f>
        <v>99.98</v>
      </c>
      <c r="N36" s="110">
        <f>SUMPRODUCT(M31:M35,N31:N35)/M36</f>
        <v>0.21499299859971996</v>
      </c>
    </row>
    <row r="37" spans="1:14" ht="12.75">
      <c r="A37" s="70" t="s">
        <v>130</v>
      </c>
      <c r="B37" s="10"/>
      <c r="C37" s="10"/>
      <c r="D37" s="175"/>
      <c r="E37" s="114"/>
      <c r="F37" s="87"/>
      <c r="G37" s="114"/>
      <c r="H37" s="87"/>
      <c r="I37" s="87"/>
      <c r="J37" s="87">
        <f t="shared" si="1"/>
        <v>0</v>
      </c>
      <c r="K37" s="87">
        <f t="shared" si="2"/>
        <v>0</v>
      </c>
      <c r="L37" s="115"/>
      <c r="M37" s="87">
        <f t="shared" si="3"/>
        <v>0</v>
      </c>
      <c r="N37" s="114"/>
    </row>
    <row r="38" spans="1:14" ht="12.75">
      <c r="A38" s="3"/>
      <c r="B38" s="10"/>
      <c r="C38" s="5" t="s">
        <v>153</v>
      </c>
      <c r="D38" s="27">
        <v>1</v>
      </c>
      <c r="E38" s="27">
        <f>2700*0.006*2</f>
        <v>32.4</v>
      </c>
      <c r="F38" s="57">
        <f>D38*E38</f>
        <v>32.4</v>
      </c>
      <c r="G38" s="69">
        <v>0.25</v>
      </c>
      <c r="H38" s="24"/>
      <c r="I38" s="24"/>
      <c r="J38" s="49">
        <f t="shared" si="1"/>
        <v>0</v>
      </c>
      <c r="K38" s="24">
        <f t="shared" si="2"/>
        <v>0</v>
      </c>
      <c r="L38" s="59"/>
      <c r="M38" s="56">
        <f t="shared" si="3"/>
        <v>0</v>
      </c>
      <c r="N38" s="69"/>
    </row>
    <row r="39" spans="1:15" ht="12.75">
      <c r="A39" s="3"/>
      <c r="B39" s="10"/>
      <c r="C39" s="13" t="s">
        <v>238</v>
      </c>
      <c r="D39" s="198" t="s">
        <v>154</v>
      </c>
      <c r="E39" s="195" t="s">
        <v>237</v>
      </c>
      <c r="F39" s="57"/>
      <c r="G39" s="69"/>
      <c r="H39" s="24"/>
      <c r="I39" s="24"/>
      <c r="J39" s="49"/>
      <c r="K39" s="24"/>
      <c r="L39" s="59"/>
      <c r="M39" s="56"/>
      <c r="N39" s="69"/>
      <c r="O39" s="34"/>
    </row>
    <row r="40" spans="1:14" ht="12.75">
      <c r="A40" s="3"/>
      <c r="B40" s="10"/>
      <c r="C40" s="13" t="s">
        <v>182</v>
      </c>
      <c r="D40" s="27">
        <v>8</v>
      </c>
      <c r="E40" s="27">
        <v>0.145</v>
      </c>
      <c r="F40" s="57">
        <f>D40*E40</f>
        <v>1.16</v>
      </c>
      <c r="G40" s="69">
        <v>0.25</v>
      </c>
      <c r="H40" s="24"/>
      <c r="I40" s="24"/>
      <c r="J40" s="49">
        <f t="shared" si="1"/>
        <v>0</v>
      </c>
      <c r="K40" s="24">
        <f t="shared" si="2"/>
        <v>0</v>
      </c>
      <c r="L40" s="59"/>
      <c r="M40" s="56">
        <f t="shared" si="3"/>
        <v>0</v>
      </c>
      <c r="N40" s="69"/>
    </row>
    <row r="41" spans="1:14" ht="13.5" thickBot="1">
      <c r="A41" s="3"/>
      <c r="B41" s="10"/>
      <c r="C41" s="74" t="s">
        <v>125</v>
      </c>
      <c r="D41" s="88">
        <v>6</v>
      </c>
      <c r="E41" s="88">
        <v>1</v>
      </c>
      <c r="F41" s="57">
        <f>D41*E41</f>
        <v>6</v>
      </c>
      <c r="G41" s="69">
        <v>0.25</v>
      </c>
      <c r="H41" s="92"/>
      <c r="I41" s="92"/>
      <c r="J41" s="112">
        <f t="shared" si="1"/>
        <v>0</v>
      </c>
      <c r="K41" s="92">
        <f t="shared" si="2"/>
        <v>0</v>
      </c>
      <c r="L41" s="94"/>
      <c r="M41" s="113">
        <f t="shared" si="3"/>
        <v>0</v>
      </c>
      <c r="N41" s="91"/>
    </row>
    <row r="42" spans="1:14" ht="13.5" thickBot="1">
      <c r="A42" s="3"/>
      <c r="B42" s="100" t="s">
        <v>39</v>
      </c>
      <c r="C42" s="116"/>
      <c r="D42" s="101"/>
      <c r="E42" s="101"/>
      <c r="F42" s="103">
        <f>SUM(F38:F41)</f>
        <v>39.559999999999995</v>
      </c>
      <c r="G42" s="104">
        <f>SUMPRODUCT(F38:F41,G38:G41)/F42</f>
        <v>0.25</v>
      </c>
      <c r="H42" s="105"/>
      <c r="I42" s="105"/>
      <c r="J42" s="124">
        <f t="shared" si="1"/>
        <v>0</v>
      </c>
      <c r="K42" s="105">
        <f t="shared" si="2"/>
        <v>0</v>
      </c>
      <c r="L42" s="119"/>
      <c r="M42" s="125">
        <f t="shared" si="3"/>
        <v>0</v>
      </c>
      <c r="N42" s="110"/>
    </row>
    <row r="44" ht="12.75">
      <c r="O44" s="34"/>
    </row>
  </sheetData>
  <mergeCells count="2">
    <mergeCell ref="E2:G2"/>
    <mergeCell ref="H2:N2"/>
  </mergeCells>
  <printOptions/>
  <pageMargins left="0.75" right="0.75" top="1" bottom="1" header="0.5" footer="0.5"/>
  <pageSetup fitToHeight="1" fitToWidth="1"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zoomScale="75" zoomScaleNormal="75" workbookViewId="0" topLeftCell="A1">
      <selection activeCell="G82" sqref="G82"/>
    </sheetView>
  </sheetViews>
  <sheetFormatPr defaultColWidth="7.7109375" defaultRowHeight="12.75"/>
  <cols>
    <col min="1" max="2" width="4.7109375" style="0" customWidth="1"/>
    <col min="3" max="3" width="20.7109375" style="0" customWidth="1"/>
    <col min="4" max="4" width="7.140625" style="0" customWidth="1"/>
    <col min="5" max="5" width="5.7109375" style="0" customWidth="1"/>
    <col min="6" max="9" width="7.7109375" style="0" customWidth="1"/>
  </cols>
  <sheetData>
    <row r="1" ht="13.5" thickBot="1"/>
    <row r="2" spans="1:9" ht="13.5" thickBot="1">
      <c r="A2" s="70" t="s">
        <v>189</v>
      </c>
      <c r="B2" s="10"/>
      <c r="C2" s="10"/>
      <c r="D2" s="10"/>
      <c r="E2" s="10"/>
      <c r="F2" s="128"/>
      <c r="G2" s="335" t="s">
        <v>151</v>
      </c>
      <c r="H2" s="337"/>
      <c r="I2" s="336"/>
    </row>
    <row r="3" spans="1:10" ht="24.75" customHeight="1">
      <c r="A3" s="10"/>
      <c r="B3" s="10"/>
      <c r="C3" s="10"/>
      <c r="D3" s="10"/>
      <c r="E3" s="132" t="s">
        <v>243</v>
      </c>
      <c r="F3" s="51" t="s">
        <v>55</v>
      </c>
      <c r="G3" s="126" t="s">
        <v>157</v>
      </c>
      <c r="H3" s="126" t="s">
        <v>132</v>
      </c>
      <c r="I3" s="126" t="s">
        <v>224</v>
      </c>
      <c r="J3" t="s">
        <v>135</v>
      </c>
    </row>
    <row r="4" spans="1:9" ht="12.75">
      <c r="A4" s="196" t="s">
        <v>220</v>
      </c>
      <c r="B4" s="133"/>
      <c r="C4" s="133"/>
      <c r="D4" s="130" t="s">
        <v>172</v>
      </c>
      <c r="E4" s="129"/>
      <c r="F4" s="26"/>
      <c r="G4" s="26"/>
      <c r="H4" s="19"/>
      <c r="I4" s="19"/>
    </row>
    <row r="5" spans="1:10" ht="12.75">
      <c r="A5" s="3"/>
      <c r="B5" s="77" t="s">
        <v>158</v>
      </c>
      <c r="C5" s="45"/>
      <c r="D5" s="68">
        <v>0.875</v>
      </c>
      <c r="E5" s="85">
        <v>2</v>
      </c>
      <c r="F5" s="27">
        <v>1</v>
      </c>
      <c r="G5" s="60">
        <f>(1-D5)*2210*(E5/8)*(PI()/4)*(E5^2-0.38^2)</f>
        <v>209.1337612792936</v>
      </c>
      <c r="H5" s="61">
        <f>F5*G5</f>
        <v>209.1337612792936</v>
      </c>
      <c r="I5" s="69">
        <v>0.15</v>
      </c>
      <c r="J5" t="s">
        <v>249</v>
      </c>
    </row>
    <row r="6" spans="1:10" ht="12.75">
      <c r="A6" s="3"/>
      <c r="B6" s="10"/>
      <c r="C6" s="77" t="s">
        <v>170</v>
      </c>
      <c r="D6" s="78"/>
      <c r="E6" s="79"/>
      <c r="F6" s="27">
        <v>3</v>
      </c>
      <c r="G6" s="60">
        <v>9.5</v>
      </c>
      <c r="H6" s="61">
        <f>F6*G6</f>
        <v>28.5</v>
      </c>
      <c r="I6" s="69">
        <v>0.25</v>
      </c>
      <c r="J6" t="s">
        <v>313</v>
      </c>
    </row>
    <row r="7" spans="1:9" ht="12.75">
      <c r="A7" s="3"/>
      <c r="B7" s="10"/>
      <c r="C7" s="77" t="s">
        <v>181</v>
      </c>
      <c r="D7" s="78"/>
      <c r="E7" s="67">
        <v>1</v>
      </c>
      <c r="F7" s="27" t="s">
        <v>180</v>
      </c>
      <c r="G7" s="195" t="s">
        <v>237</v>
      </c>
      <c r="H7" s="61"/>
      <c r="I7" s="69"/>
    </row>
    <row r="8" spans="1:9" ht="12.75">
      <c r="A8" s="3"/>
      <c r="B8" s="10"/>
      <c r="C8" s="77" t="s">
        <v>175</v>
      </c>
      <c r="D8" s="78"/>
      <c r="E8" s="79"/>
      <c r="F8" s="27" t="s">
        <v>154</v>
      </c>
      <c r="G8" s="195" t="s">
        <v>237</v>
      </c>
      <c r="H8" s="61"/>
      <c r="I8" s="69"/>
    </row>
    <row r="9" spans="1:9" ht="12.75">
      <c r="A9" s="3"/>
      <c r="B9" s="77" t="s">
        <v>155</v>
      </c>
      <c r="C9" s="78"/>
      <c r="D9" s="68">
        <v>0.8</v>
      </c>
      <c r="E9" s="85">
        <v>0.44</v>
      </c>
      <c r="F9" s="27">
        <v>1</v>
      </c>
      <c r="G9" s="60">
        <f>(1-D9)*2210*(E9/8)*(PI()/4)*(E9^2)</f>
        <v>3.6964104825843638</v>
      </c>
      <c r="H9" s="61">
        <f>F9*G9</f>
        <v>3.6964104825843638</v>
      </c>
      <c r="I9" s="69">
        <v>0.2</v>
      </c>
    </row>
    <row r="10" spans="1:10" ht="12.75">
      <c r="A10" s="3"/>
      <c r="B10" s="10"/>
      <c r="C10" s="77" t="s">
        <v>169</v>
      </c>
      <c r="D10" s="78"/>
      <c r="E10" s="79"/>
      <c r="F10" s="27">
        <v>1</v>
      </c>
      <c r="G10" s="60">
        <v>11</v>
      </c>
      <c r="H10" s="61">
        <v>11</v>
      </c>
      <c r="I10" s="69">
        <v>0.25</v>
      </c>
      <c r="J10" t="s">
        <v>257</v>
      </c>
    </row>
    <row r="11" spans="1:9" ht="12.75">
      <c r="A11" s="3"/>
      <c r="B11" s="10"/>
      <c r="C11" s="77" t="s">
        <v>171</v>
      </c>
      <c r="D11" s="78"/>
      <c r="E11" s="79"/>
      <c r="F11" s="27">
        <v>1</v>
      </c>
      <c r="G11" s="60">
        <v>3</v>
      </c>
      <c r="H11" s="61">
        <f>F11*G11</f>
        <v>3</v>
      </c>
      <c r="I11" s="69">
        <v>0.25</v>
      </c>
    </row>
    <row r="12" spans="1:9" ht="12.75">
      <c r="A12" s="3"/>
      <c r="B12" s="10"/>
      <c r="C12" s="77" t="s">
        <v>181</v>
      </c>
      <c r="D12" s="78"/>
      <c r="E12" s="67">
        <v>3</v>
      </c>
      <c r="F12" s="27" t="s">
        <v>180</v>
      </c>
      <c r="G12" s="195" t="s">
        <v>237</v>
      </c>
      <c r="H12" s="61"/>
      <c r="I12" s="69"/>
    </row>
    <row r="13" spans="1:9" ht="12.75">
      <c r="A13" s="3"/>
      <c r="B13" s="10"/>
      <c r="C13" s="77" t="s">
        <v>175</v>
      </c>
      <c r="D13" s="78"/>
      <c r="E13" s="79"/>
      <c r="F13" s="27" t="s">
        <v>154</v>
      </c>
      <c r="G13" s="195" t="s">
        <v>237</v>
      </c>
      <c r="H13" s="61"/>
      <c r="I13" s="69"/>
    </row>
    <row r="14" spans="1:9" ht="12.75">
      <c r="A14" s="3"/>
      <c r="B14" s="10"/>
      <c r="C14" s="77" t="s">
        <v>174</v>
      </c>
      <c r="D14" s="78"/>
      <c r="E14" s="79"/>
      <c r="F14" s="27" t="s">
        <v>154</v>
      </c>
      <c r="G14" s="195" t="s">
        <v>237</v>
      </c>
      <c r="H14" s="61"/>
      <c r="I14" s="69"/>
    </row>
    <row r="15" spans="1:9" ht="12.75">
      <c r="A15" s="3"/>
      <c r="B15" s="77" t="s">
        <v>159</v>
      </c>
      <c r="C15" s="78"/>
      <c r="D15" s="68">
        <v>0.8</v>
      </c>
      <c r="E15" s="85">
        <f>(0.76+0.38)/2</f>
        <v>0.5700000000000001</v>
      </c>
      <c r="F15" s="27">
        <v>1</v>
      </c>
      <c r="G15" s="60">
        <f>(1-D15)*2210*(E15/8)*(PI()/4)*(E15^2)</f>
        <v>8.036125874592017</v>
      </c>
      <c r="H15" s="61">
        <f>F15*G15</f>
        <v>8.036125874592017</v>
      </c>
      <c r="I15" s="69">
        <v>0.2</v>
      </c>
    </row>
    <row r="16" spans="1:9" ht="12.75">
      <c r="A16" s="3"/>
      <c r="B16" s="10"/>
      <c r="C16" s="77" t="s">
        <v>170</v>
      </c>
      <c r="D16" s="78"/>
      <c r="E16" s="79"/>
      <c r="F16" s="27">
        <v>3</v>
      </c>
      <c r="G16" s="60">
        <v>0.163</v>
      </c>
      <c r="H16" s="61">
        <f>F16*G16</f>
        <v>0.489</v>
      </c>
      <c r="I16" s="69">
        <v>0.25</v>
      </c>
    </row>
    <row r="17" spans="1:9" ht="12.75">
      <c r="A17" s="3"/>
      <c r="B17" s="10"/>
      <c r="C17" s="77" t="s">
        <v>181</v>
      </c>
      <c r="D17" s="78"/>
      <c r="E17" s="67">
        <v>0.5</v>
      </c>
      <c r="F17" s="27" t="s">
        <v>180</v>
      </c>
      <c r="G17" s="195" t="s">
        <v>237</v>
      </c>
      <c r="H17" s="61"/>
      <c r="I17" s="69"/>
    </row>
    <row r="18" spans="1:9" ht="12.75">
      <c r="A18" s="3"/>
      <c r="B18" s="77" t="s">
        <v>156</v>
      </c>
      <c r="C18" s="78"/>
      <c r="D18" s="68">
        <v>0.8</v>
      </c>
      <c r="E18" s="85">
        <v>0.69</v>
      </c>
      <c r="F18" s="27">
        <v>1</v>
      </c>
      <c r="G18" s="60">
        <f>(1-D18)*2210*(E18/8)*(PI()/4)*(E18^2)</f>
        <v>14.255072680589155</v>
      </c>
      <c r="H18" s="61">
        <f>F18*G18</f>
        <v>14.255072680589155</v>
      </c>
      <c r="I18" s="69">
        <v>0.2</v>
      </c>
    </row>
    <row r="19" spans="1:10" ht="12.75">
      <c r="A19" s="3"/>
      <c r="B19" s="10"/>
      <c r="C19" s="77" t="s">
        <v>185</v>
      </c>
      <c r="D19" s="78"/>
      <c r="E19" s="79"/>
      <c r="F19" s="27">
        <v>1</v>
      </c>
      <c r="G19" s="60">
        <v>11</v>
      </c>
      <c r="H19" s="61">
        <v>11</v>
      </c>
      <c r="I19" s="69">
        <v>0.25</v>
      </c>
      <c r="J19" t="s">
        <v>257</v>
      </c>
    </row>
    <row r="20" spans="1:9" ht="13.5" thickBot="1">
      <c r="A20" s="3"/>
      <c r="B20" s="10"/>
      <c r="C20" s="136" t="s">
        <v>181</v>
      </c>
      <c r="D20" s="137"/>
      <c r="E20" s="138">
        <v>0.5</v>
      </c>
      <c r="F20" s="88" t="s">
        <v>180</v>
      </c>
      <c r="G20" s="195" t="s">
        <v>237</v>
      </c>
      <c r="H20" s="90"/>
      <c r="I20" s="69"/>
    </row>
    <row r="21" spans="1:9" ht="13.5" thickBot="1">
      <c r="A21" s="3"/>
      <c r="B21" s="139" t="s">
        <v>39</v>
      </c>
      <c r="C21" s="140"/>
      <c r="D21" s="140"/>
      <c r="E21" s="142"/>
      <c r="F21" s="143"/>
      <c r="G21" s="144"/>
      <c r="H21" s="103">
        <f>SUM(H5:H20)</f>
        <v>289.1103703170591</v>
      </c>
      <c r="I21" s="104">
        <f>SUMPRODUCT(H5:H20,I5:I20)/H21</f>
        <v>0.17316859282682412</v>
      </c>
    </row>
    <row r="22" spans="1:10" ht="12.75">
      <c r="A22" s="196" t="s">
        <v>184</v>
      </c>
      <c r="B22" s="133"/>
      <c r="C22" s="133"/>
      <c r="D22" s="133"/>
      <c r="E22" s="133"/>
      <c r="F22" s="174"/>
      <c r="G22" s="127"/>
      <c r="H22" s="87"/>
      <c r="I22" s="87"/>
      <c r="J22" t="s">
        <v>253</v>
      </c>
    </row>
    <row r="23" spans="1:9" ht="12.75">
      <c r="A23" s="3"/>
      <c r="B23" s="77" t="s">
        <v>183</v>
      </c>
      <c r="C23" s="78"/>
      <c r="D23" s="78"/>
      <c r="E23" s="197"/>
      <c r="F23" s="27">
        <v>1</v>
      </c>
      <c r="G23" s="60">
        <v>31.7</v>
      </c>
      <c r="H23" s="61">
        <f>F23*G23</f>
        <v>31.7</v>
      </c>
      <c r="I23" s="69">
        <v>0.2</v>
      </c>
    </row>
    <row r="24" spans="1:9" ht="12.75">
      <c r="A24" s="3"/>
      <c r="B24" s="10"/>
      <c r="C24" s="77" t="s">
        <v>181</v>
      </c>
      <c r="D24" s="78"/>
      <c r="E24" s="67">
        <v>3</v>
      </c>
      <c r="F24" s="27" t="s">
        <v>180</v>
      </c>
      <c r="G24" s="195" t="s">
        <v>237</v>
      </c>
      <c r="H24" s="61"/>
      <c r="I24" s="69"/>
    </row>
    <row r="25" spans="1:9" ht="12.75">
      <c r="A25" s="3"/>
      <c r="B25" s="10"/>
      <c r="C25" s="77" t="s">
        <v>175</v>
      </c>
      <c r="D25" s="78"/>
      <c r="E25" s="79"/>
      <c r="F25" s="27" t="s">
        <v>154</v>
      </c>
      <c r="G25" s="195" t="s">
        <v>237</v>
      </c>
      <c r="H25" s="61"/>
      <c r="I25" s="69"/>
    </row>
    <row r="26" spans="1:9" ht="12.75">
      <c r="A26" s="3"/>
      <c r="B26" s="77" t="s">
        <v>178</v>
      </c>
      <c r="C26" s="78"/>
      <c r="D26" s="78"/>
      <c r="E26" s="79"/>
      <c r="F26" s="27">
        <v>1</v>
      </c>
      <c r="G26" s="60">
        <v>92</v>
      </c>
      <c r="H26" s="61">
        <f>F26*G26</f>
        <v>92</v>
      </c>
      <c r="I26" s="69">
        <v>0.2</v>
      </c>
    </row>
    <row r="27" spans="1:9" ht="12.75">
      <c r="A27" s="3"/>
      <c r="B27" s="10"/>
      <c r="C27" s="77" t="s">
        <v>181</v>
      </c>
      <c r="D27" s="78"/>
      <c r="E27" s="67">
        <v>1</v>
      </c>
      <c r="F27" s="27" t="s">
        <v>180</v>
      </c>
      <c r="G27" s="195" t="s">
        <v>237</v>
      </c>
      <c r="H27" s="61"/>
      <c r="I27" s="69"/>
    </row>
    <row r="28" spans="1:9" ht="12.75">
      <c r="A28" s="3"/>
      <c r="B28" s="10"/>
      <c r="C28" s="77" t="s">
        <v>177</v>
      </c>
      <c r="D28" s="78"/>
      <c r="E28" s="79"/>
      <c r="F28" s="27" t="s">
        <v>154</v>
      </c>
      <c r="G28" s="195" t="s">
        <v>237</v>
      </c>
      <c r="H28" s="61"/>
      <c r="I28" s="69"/>
    </row>
    <row r="29" spans="1:9" ht="12.75">
      <c r="A29" s="3"/>
      <c r="B29" s="10"/>
      <c r="C29" s="77" t="s">
        <v>173</v>
      </c>
      <c r="D29" s="78"/>
      <c r="E29" s="79"/>
      <c r="F29" s="27">
        <v>3</v>
      </c>
      <c r="G29" s="60">
        <v>2</v>
      </c>
      <c r="H29" s="61">
        <f>F29*G29</f>
        <v>6</v>
      </c>
      <c r="I29" s="69">
        <v>0.25</v>
      </c>
    </row>
    <row r="30" spans="1:9" ht="12.75">
      <c r="A30" s="3"/>
      <c r="B30" s="77" t="s">
        <v>186</v>
      </c>
      <c r="C30" s="78"/>
      <c r="D30" s="78"/>
      <c r="E30" s="79"/>
      <c r="F30" s="27">
        <v>1</v>
      </c>
      <c r="G30" s="60">
        <v>10.59</v>
      </c>
      <c r="H30" s="61">
        <f>F30*G30</f>
        <v>10.59</v>
      </c>
      <c r="I30" s="69">
        <v>0.25</v>
      </c>
    </row>
    <row r="31" spans="1:9" ht="12.75">
      <c r="A31" s="3"/>
      <c r="B31" s="10"/>
      <c r="C31" s="77" t="s">
        <v>175</v>
      </c>
      <c r="D31" s="78"/>
      <c r="E31" s="79"/>
      <c r="F31" s="27" t="s">
        <v>154</v>
      </c>
      <c r="G31" s="195" t="s">
        <v>237</v>
      </c>
      <c r="H31" s="61"/>
      <c r="I31" s="69"/>
    </row>
    <row r="32" spans="1:9" ht="12.75">
      <c r="A32" s="3"/>
      <c r="B32" s="77" t="s">
        <v>176</v>
      </c>
      <c r="C32" s="78"/>
      <c r="D32" s="78"/>
      <c r="E32" s="79"/>
      <c r="F32" s="27">
        <v>1</v>
      </c>
      <c r="G32" s="60">
        <v>23.75</v>
      </c>
      <c r="H32" s="61">
        <f>F32*G32</f>
        <v>23.75</v>
      </c>
      <c r="I32" s="69">
        <v>0.2</v>
      </c>
    </row>
    <row r="33" spans="1:9" ht="12.75">
      <c r="A33" s="3"/>
      <c r="B33" s="10"/>
      <c r="C33" s="77" t="s">
        <v>181</v>
      </c>
      <c r="D33" s="78"/>
      <c r="E33" s="67">
        <v>1</v>
      </c>
      <c r="F33" s="27" t="s">
        <v>180</v>
      </c>
      <c r="G33" s="195" t="s">
        <v>237</v>
      </c>
      <c r="H33" s="61"/>
      <c r="I33" s="69"/>
    </row>
    <row r="34" spans="1:9" ht="12.75">
      <c r="A34" s="3"/>
      <c r="B34" s="10"/>
      <c r="C34" s="77" t="s">
        <v>175</v>
      </c>
      <c r="D34" s="78"/>
      <c r="E34" s="79"/>
      <c r="F34" s="27" t="s">
        <v>154</v>
      </c>
      <c r="G34" s="195" t="s">
        <v>237</v>
      </c>
      <c r="H34" s="61"/>
      <c r="I34" s="69"/>
    </row>
    <row r="35" spans="1:9" ht="12.75">
      <c r="A35" s="3"/>
      <c r="B35" s="77" t="s">
        <v>179</v>
      </c>
      <c r="C35" s="78"/>
      <c r="D35" s="78"/>
      <c r="E35" s="79"/>
      <c r="F35" s="27">
        <v>3</v>
      </c>
      <c r="G35" s="60">
        <v>26.5</v>
      </c>
      <c r="H35" s="61">
        <f>F35*G35</f>
        <v>79.5</v>
      </c>
      <c r="I35" s="69">
        <v>0.2</v>
      </c>
    </row>
    <row r="36" spans="1:9" ht="12.75">
      <c r="A36" s="3"/>
      <c r="B36" s="10"/>
      <c r="C36" s="77" t="s">
        <v>181</v>
      </c>
      <c r="D36" s="78"/>
      <c r="E36" s="67">
        <v>1</v>
      </c>
      <c r="F36" s="27" t="s">
        <v>180</v>
      </c>
      <c r="G36" s="195" t="s">
        <v>237</v>
      </c>
      <c r="H36" s="56"/>
      <c r="I36" s="69"/>
    </row>
    <row r="37" spans="1:9" ht="13.5" thickBot="1">
      <c r="A37" s="3"/>
      <c r="B37" s="10"/>
      <c r="C37" s="136" t="s">
        <v>175</v>
      </c>
      <c r="D37" s="137"/>
      <c r="E37" s="141"/>
      <c r="F37" s="88" t="s">
        <v>154</v>
      </c>
      <c r="G37" s="195" t="s">
        <v>237</v>
      </c>
      <c r="H37" s="145"/>
      <c r="I37" s="69"/>
    </row>
    <row r="38" spans="1:9" ht="13.5" thickBot="1">
      <c r="A38" s="3"/>
      <c r="B38" s="139" t="s">
        <v>39</v>
      </c>
      <c r="C38" s="140"/>
      <c r="D38" s="140"/>
      <c r="E38" s="142"/>
      <c r="F38" s="143"/>
      <c r="G38" s="144"/>
      <c r="H38" s="103">
        <f>SUM(H23:H37)</f>
        <v>243.54</v>
      </c>
      <c r="I38" s="104">
        <f>SUMPRODUCT(H23:H37,I23:I37)/H38</f>
        <v>0.2034060113328406</v>
      </c>
    </row>
    <row r="39" spans="1:10" ht="12.75">
      <c r="A39" s="1" t="s">
        <v>250</v>
      </c>
      <c r="F39" s="166"/>
      <c r="G39" s="157"/>
      <c r="H39" s="157"/>
      <c r="I39" s="157"/>
      <c r="J39" s="147" t="s">
        <v>254</v>
      </c>
    </row>
    <row r="40" spans="2:10" ht="12.75">
      <c r="B40" s="77" t="s">
        <v>245</v>
      </c>
      <c r="C40" s="78"/>
      <c r="D40" s="78"/>
      <c r="E40" s="45"/>
      <c r="F40" s="168">
        <v>1</v>
      </c>
      <c r="G40" s="5">
        <v>141</v>
      </c>
      <c r="H40" s="160">
        <v>141</v>
      </c>
      <c r="I40" s="69">
        <v>0.2</v>
      </c>
      <c r="J40" t="s">
        <v>256</v>
      </c>
    </row>
    <row r="41" spans="2:9" ht="12.75">
      <c r="B41" s="77" t="s">
        <v>201</v>
      </c>
      <c r="C41" s="78"/>
      <c r="D41" s="78"/>
      <c r="E41" s="45"/>
      <c r="F41" s="168">
        <v>1</v>
      </c>
      <c r="G41" s="5">
        <v>15.7</v>
      </c>
      <c r="H41" s="160">
        <v>15.7</v>
      </c>
      <c r="I41" s="69">
        <v>0.2</v>
      </c>
    </row>
    <row r="42" spans="3:9" ht="12.75">
      <c r="C42" s="77" t="s">
        <v>203</v>
      </c>
      <c r="D42" s="78"/>
      <c r="E42" s="45"/>
      <c r="F42" s="168"/>
      <c r="G42" s="195" t="s">
        <v>237</v>
      </c>
      <c r="H42" s="160"/>
      <c r="I42" s="69"/>
    </row>
    <row r="43" spans="2:9" ht="12.75">
      <c r="B43" s="77" t="s">
        <v>202</v>
      </c>
      <c r="C43" s="78"/>
      <c r="D43" s="78"/>
      <c r="E43" s="45"/>
      <c r="F43" s="168">
        <v>1</v>
      </c>
      <c r="G43" s="67">
        <v>3</v>
      </c>
      <c r="H43" s="160">
        <v>3</v>
      </c>
      <c r="I43" s="69">
        <v>0.25</v>
      </c>
    </row>
    <row r="44" spans="3:9" ht="12.75">
      <c r="C44" s="77" t="s">
        <v>203</v>
      </c>
      <c r="D44" s="78"/>
      <c r="E44" s="45"/>
      <c r="F44" s="168"/>
      <c r="G44" s="195" t="s">
        <v>237</v>
      </c>
      <c r="H44" s="160"/>
      <c r="I44" s="69"/>
    </row>
    <row r="45" spans="3:9" ht="13.5" thickBot="1">
      <c r="C45" s="136" t="s">
        <v>175</v>
      </c>
      <c r="D45" s="137"/>
      <c r="E45" s="148"/>
      <c r="F45" s="179"/>
      <c r="G45" s="201" t="s">
        <v>237</v>
      </c>
      <c r="H45" s="180"/>
      <c r="I45" s="91"/>
    </row>
    <row r="46" spans="2:9" ht="13.5" thickBot="1">
      <c r="B46" s="139" t="s">
        <v>199</v>
      </c>
      <c r="C46" s="140"/>
      <c r="D46" s="140"/>
      <c r="E46" s="140"/>
      <c r="F46" s="181"/>
      <c r="G46" s="131"/>
      <c r="H46" s="103">
        <f>SUM(H40:H45)</f>
        <v>159.7</v>
      </c>
      <c r="I46" s="110">
        <f>SUMPRODUCT(H40:H45,I40:I45)/H46</f>
        <v>0.2009392611145899</v>
      </c>
    </row>
    <row r="47" spans="2:9" ht="12.75">
      <c r="B47" s="178" t="s">
        <v>200</v>
      </c>
      <c r="C47" s="81"/>
      <c r="D47" s="81"/>
      <c r="E47" s="84"/>
      <c r="F47" s="167"/>
      <c r="G47" s="157"/>
      <c r="H47" s="157"/>
      <c r="I47" s="157"/>
    </row>
    <row r="48" spans="3:9" ht="12.75">
      <c r="C48" s="200" t="s">
        <v>240</v>
      </c>
      <c r="F48" s="168">
        <v>2</v>
      </c>
      <c r="G48" s="5">
        <v>6.21</v>
      </c>
      <c r="H48" s="160">
        <f>F48*G48</f>
        <v>12.42</v>
      </c>
      <c r="I48" s="69">
        <v>0.2</v>
      </c>
    </row>
    <row r="49" spans="3:9" ht="12.75">
      <c r="C49" s="77" t="s">
        <v>241</v>
      </c>
      <c r="D49" s="78"/>
      <c r="E49" s="45"/>
      <c r="F49" s="168">
        <v>2</v>
      </c>
      <c r="G49" s="5">
        <v>1.13</v>
      </c>
      <c r="H49" s="160">
        <f>F49*G49</f>
        <v>2.26</v>
      </c>
      <c r="I49" s="69">
        <v>0.2</v>
      </c>
    </row>
    <row r="50" spans="3:9" ht="13.5" thickBot="1">
      <c r="C50" s="200" t="s">
        <v>242</v>
      </c>
      <c r="F50" s="179">
        <v>2</v>
      </c>
      <c r="G50" s="74">
        <v>1.36</v>
      </c>
      <c r="H50" s="180">
        <f>F50*G50</f>
        <v>2.72</v>
      </c>
      <c r="I50" s="91">
        <v>0.2</v>
      </c>
    </row>
    <row r="51" spans="2:9" ht="13.5" thickBot="1">
      <c r="B51" s="139" t="s">
        <v>199</v>
      </c>
      <c r="C51" s="140"/>
      <c r="D51" s="140"/>
      <c r="E51" s="140"/>
      <c r="F51" s="184"/>
      <c r="G51" s="131"/>
      <c r="H51" s="103">
        <f>SUM(H48:H50)</f>
        <v>17.4</v>
      </c>
      <c r="I51" s="110">
        <f>SUMPRODUCT(H48:H50,I48:I50)/H51</f>
        <v>0.2</v>
      </c>
    </row>
    <row r="52" spans="2:6" ht="12.75">
      <c r="B52" s="147"/>
      <c r="C52" s="147"/>
      <c r="D52" s="153"/>
      <c r="E52" s="147"/>
      <c r="F52" s="147"/>
    </row>
    <row r="53" spans="2:6" ht="12.75">
      <c r="B53" s="147"/>
      <c r="C53" s="147"/>
      <c r="D53" s="153"/>
      <c r="E53" s="147"/>
      <c r="F53" s="147"/>
    </row>
    <row r="54" spans="2:9" ht="12.75">
      <c r="B54" s="328" t="s">
        <v>364</v>
      </c>
      <c r="C54" s="330"/>
      <c r="F54" t="s">
        <v>320</v>
      </c>
      <c r="I54" t="s">
        <v>324</v>
      </c>
    </row>
    <row r="55" spans="3:10" ht="12.75">
      <c r="C55" s="334" t="s">
        <v>340</v>
      </c>
      <c r="F55" s="147">
        <v>172</v>
      </c>
      <c r="I55">
        <v>202</v>
      </c>
      <c r="J55" t="s">
        <v>363</v>
      </c>
    </row>
    <row r="56" spans="3:6" ht="12.75">
      <c r="C56" s="334" t="s">
        <v>341</v>
      </c>
      <c r="F56" s="147">
        <v>119</v>
      </c>
    </row>
    <row r="57" spans="3:6" ht="12.75">
      <c r="C57" s="334" t="s">
        <v>342</v>
      </c>
      <c r="F57" s="147">
        <v>98</v>
      </c>
    </row>
    <row r="58" spans="3:6" ht="12.75">
      <c r="C58" s="334" t="s">
        <v>343</v>
      </c>
      <c r="F58" s="331">
        <f>3.25*3.14159*2.8*10.76*0.5/2.2</f>
        <v>69.91180146363634</v>
      </c>
    </row>
    <row r="59" spans="3:6" ht="12.75">
      <c r="C59" s="334" t="s">
        <v>344</v>
      </c>
      <c r="F59" s="147">
        <v>62</v>
      </c>
    </row>
    <row r="60" spans="3:6" ht="12.75">
      <c r="C60" s="334" t="s">
        <v>345</v>
      </c>
      <c r="F60" s="147">
        <v>61</v>
      </c>
    </row>
    <row r="61" spans="3:6" ht="12.75">
      <c r="C61" s="334" t="s">
        <v>346</v>
      </c>
      <c r="F61" s="147">
        <v>60</v>
      </c>
    </row>
    <row r="62" spans="3:6" ht="12.75">
      <c r="C62" s="334" t="s">
        <v>347</v>
      </c>
      <c r="F62" s="147">
        <v>48</v>
      </c>
    </row>
    <row r="63" spans="3:6" ht="12.75">
      <c r="C63" s="334" t="s">
        <v>348</v>
      </c>
      <c r="F63" s="147">
        <v>50</v>
      </c>
    </row>
    <row r="64" spans="3:6" ht="12.75">
      <c r="C64" s="334" t="s">
        <v>349</v>
      </c>
      <c r="F64" s="147">
        <f>35</f>
        <v>35</v>
      </c>
    </row>
    <row r="65" spans="3:6" ht="12.75">
      <c r="C65" s="334" t="s">
        <v>350</v>
      </c>
      <c r="F65" s="331">
        <v>32</v>
      </c>
    </row>
    <row r="66" spans="3:6" ht="12.75">
      <c r="C66" s="334" t="s">
        <v>351</v>
      </c>
      <c r="F66" s="331">
        <v>25.65</v>
      </c>
    </row>
    <row r="67" spans="3:6" ht="12.75">
      <c r="C67" s="334" t="s">
        <v>352</v>
      </c>
      <c r="F67" s="147">
        <v>25</v>
      </c>
    </row>
    <row r="68" spans="3:6" ht="12.75">
      <c r="C68" s="334" t="s">
        <v>353</v>
      </c>
      <c r="F68" s="147">
        <v>23</v>
      </c>
    </row>
    <row r="69" spans="3:6" ht="12.75">
      <c r="C69" s="334" t="s">
        <v>354</v>
      </c>
      <c r="F69" s="147">
        <v>20</v>
      </c>
    </row>
    <row r="70" spans="3:6" ht="12.75">
      <c r="C70" s="334" t="s">
        <v>355</v>
      </c>
      <c r="F70" s="147">
        <v>18</v>
      </c>
    </row>
    <row r="71" spans="3:6" ht="12.75">
      <c r="C71" s="334" t="s">
        <v>356</v>
      </c>
      <c r="F71" s="147">
        <v>16</v>
      </c>
    </row>
    <row r="72" spans="3:6" ht="12.75">
      <c r="C72" s="334" t="s">
        <v>357</v>
      </c>
      <c r="F72" s="147">
        <v>15</v>
      </c>
    </row>
    <row r="73" spans="3:6" ht="12.75">
      <c r="C73" s="333" t="s">
        <v>358</v>
      </c>
      <c r="F73" s="147">
        <f>44/2.2</f>
        <v>20</v>
      </c>
    </row>
    <row r="74" spans="3:6" ht="12.75">
      <c r="C74" s="333" t="s">
        <v>365</v>
      </c>
      <c r="F74" s="331">
        <f>18/2.2</f>
        <v>8.181818181818182</v>
      </c>
    </row>
    <row r="75" spans="3:6" ht="12.75">
      <c r="C75" s="334" t="s">
        <v>359</v>
      </c>
      <c r="F75" s="147">
        <v>10</v>
      </c>
    </row>
    <row r="76" spans="3:6" ht="12.75">
      <c r="C76" s="334" t="s">
        <v>360</v>
      </c>
      <c r="F76" s="147">
        <v>9</v>
      </c>
    </row>
    <row r="77" spans="3:6" ht="12.75">
      <c r="C77" s="334" t="s">
        <v>361</v>
      </c>
      <c r="F77" s="147">
        <f>2*4</f>
        <v>8</v>
      </c>
    </row>
    <row r="78" spans="3:6" ht="12.75">
      <c r="C78" s="332" t="s">
        <v>362</v>
      </c>
      <c r="F78" s="154">
        <f>SUM(F55:F77)</f>
        <v>1004.7436196454544</v>
      </c>
    </row>
  </sheetData>
  <mergeCells count="1">
    <mergeCell ref="G2:I2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O18" sqref="O18"/>
    </sheetView>
  </sheetViews>
  <sheetFormatPr defaultColWidth="7.7109375" defaultRowHeight="12.75"/>
  <cols>
    <col min="1" max="2" width="4.7109375" style="0" customWidth="1"/>
    <col min="3" max="3" width="30.7109375" style="0" customWidth="1"/>
  </cols>
  <sheetData>
    <row r="1" ht="13.5" thickBot="1"/>
    <row r="2" spans="1:11" ht="13.5" thickBot="1">
      <c r="A2" s="1" t="s">
        <v>209</v>
      </c>
      <c r="B2" s="10"/>
      <c r="C2" s="10"/>
      <c r="D2" s="335" t="s">
        <v>151</v>
      </c>
      <c r="E2" s="337"/>
      <c r="F2" s="336"/>
      <c r="G2" s="335" t="s">
        <v>152</v>
      </c>
      <c r="H2" s="337"/>
      <c r="I2" s="337"/>
      <c r="J2" s="337"/>
      <c r="K2" s="336"/>
    </row>
    <row r="3" spans="2:11" ht="26.25">
      <c r="B3" s="10"/>
      <c r="C3" s="10"/>
      <c r="D3" s="126" t="s">
        <v>233</v>
      </c>
      <c r="E3" s="126" t="s">
        <v>190</v>
      </c>
      <c r="F3" s="126" t="s">
        <v>224</v>
      </c>
      <c r="G3" s="146" t="s">
        <v>206</v>
      </c>
      <c r="H3" s="126" t="s">
        <v>207</v>
      </c>
      <c r="I3" s="146" t="s">
        <v>150</v>
      </c>
      <c r="J3" s="126" t="s">
        <v>148</v>
      </c>
      <c r="K3" s="126" t="s">
        <v>224</v>
      </c>
    </row>
    <row r="4" spans="1:12" ht="12.75">
      <c r="A4" s="1" t="s">
        <v>193</v>
      </c>
      <c r="B4" s="10"/>
      <c r="C4" s="10"/>
      <c r="D4" s="159"/>
      <c r="E4" s="159"/>
      <c r="F4" s="159"/>
      <c r="G4" s="159"/>
      <c r="H4" s="159"/>
      <c r="I4" s="159"/>
      <c r="J4" s="159"/>
      <c r="K4" s="159"/>
      <c r="L4" s="188" t="s">
        <v>377</v>
      </c>
    </row>
    <row r="5" spans="4:11" ht="12.75">
      <c r="D5" s="5">
        <f>(143+9+8)/2</f>
        <v>80</v>
      </c>
      <c r="E5" s="56">
        <f>D5</f>
        <v>80</v>
      </c>
      <c r="F5" s="68">
        <v>0.25</v>
      </c>
      <c r="G5" s="161"/>
      <c r="H5" s="5"/>
      <c r="I5" s="5"/>
      <c r="J5" s="160"/>
      <c r="K5" s="5"/>
    </row>
    <row r="6" spans="1:13" ht="12.75">
      <c r="A6" s="1" t="s">
        <v>197</v>
      </c>
      <c r="D6" s="157"/>
      <c r="E6" s="157"/>
      <c r="F6" s="158"/>
      <c r="G6" s="157"/>
      <c r="H6" s="157"/>
      <c r="I6" s="157"/>
      <c r="J6" s="157"/>
      <c r="K6" s="157"/>
      <c r="M6" t="s">
        <v>369</v>
      </c>
    </row>
    <row r="7" spans="2:13" ht="12.75">
      <c r="B7" t="s">
        <v>194</v>
      </c>
      <c r="D7" s="5">
        <f>12+8</f>
        <v>20</v>
      </c>
      <c r="E7" s="160">
        <f>D7</f>
        <v>20</v>
      </c>
      <c r="F7" s="68">
        <v>0.1</v>
      </c>
      <c r="G7" s="161">
        <v>30</v>
      </c>
      <c r="H7" s="5">
        <v>15</v>
      </c>
      <c r="I7" s="5"/>
      <c r="J7" s="160">
        <v>30</v>
      </c>
      <c r="K7" s="68">
        <v>0.1</v>
      </c>
      <c r="L7">
        <v>112.2</v>
      </c>
      <c r="M7" s="327" t="s">
        <v>370</v>
      </c>
    </row>
    <row r="8" spans="2:13" ht="12.75">
      <c r="B8" s="147" t="s">
        <v>195</v>
      </c>
      <c r="D8" s="5">
        <f>53+30</f>
        <v>83</v>
      </c>
      <c r="E8" s="160">
        <f>D8</f>
        <v>83</v>
      </c>
      <c r="F8" s="68">
        <v>0.15</v>
      </c>
      <c r="G8" s="161">
        <f>64+41+12</f>
        <v>117</v>
      </c>
      <c r="H8" s="5">
        <f>20+8+8</f>
        <v>36</v>
      </c>
      <c r="I8" s="5"/>
      <c r="J8" s="160">
        <f>61+9+8</f>
        <v>78</v>
      </c>
      <c r="K8" s="68">
        <v>0.15</v>
      </c>
      <c r="L8">
        <v>20.3</v>
      </c>
      <c r="M8" s="327" t="s">
        <v>367</v>
      </c>
    </row>
    <row r="9" spans="2:13" ht="12.75">
      <c r="B9" t="s">
        <v>383</v>
      </c>
      <c r="D9" s="5">
        <v>50</v>
      </c>
      <c r="E9" s="160">
        <f>D9</f>
        <v>50</v>
      </c>
      <c r="F9" s="68">
        <v>0.1</v>
      </c>
      <c r="G9" s="161">
        <v>193</v>
      </c>
      <c r="H9" s="5">
        <v>77</v>
      </c>
      <c r="I9" s="5"/>
      <c r="J9" s="160">
        <v>89</v>
      </c>
      <c r="K9" s="68">
        <v>0.1</v>
      </c>
      <c r="L9">
        <v>83.2</v>
      </c>
      <c r="M9" s="327" t="s">
        <v>368</v>
      </c>
    </row>
    <row r="10" spans="2:13" ht="12.75">
      <c r="B10" t="s">
        <v>232</v>
      </c>
      <c r="D10" s="5">
        <f>21+15</f>
        <v>36</v>
      </c>
      <c r="E10" s="160">
        <f>D10</f>
        <v>36</v>
      </c>
      <c r="F10" s="68">
        <v>0.1</v>
      </c>
      <c r="G10" s="161">
        <f>10+7.5</f>
        <v>17.5</v>
      </c>
      <c r="H10" s="5">
        <f>4+2.5</f>
        <v>6.5</v>
      </c>
      <c r="I10" s="5"/>
      <c r="J10" s="160">
        <f>5+7</f>
        <v>12</v>
      </c>
      <c r="K10" s="68">
        <v>0.1</v>
      </c>
      <c r="L10">
        <v>53.6</v>
      </c>
      <c r="M10" s="327" t="s">
        <v>376</v>
      </c>
    </row>
    <row r="11" spans="2:13" ht="13.5" thickBot="1">
      <c r="B11" t="s">
        <v>204</v>
      </c>
      <c r="D11" s="5">
        <v>67</v>
      </c>
      <c r="E11" s="160">
        <f>D11</f>
        <v>67</v>
      </c>
      <c r="F11" s="68">
        <v>0.15</v>
      </c>
      <c r="G11" s="161">
        <v>150</v>
      </c>
      <c r="H11" s="5">
        <v>78</v>
      </c>
      <c r="I11" s="5"/>
      <c r="J11" s="160">
        <v>38</v>
      </c>
      <c r="K11" s="68">
        <v>0.15</v>
      </c>
      <c r="L11">
        <v>41.3</v>
      </c>
      <c r="M11" s="327" t="s">
        <v>372</v>
      </c>
    </row>
    <row r="12" spans="1:11" ht="13.5" thickBot="1">
      <c r="A12" s="139" t="s">
        <v>208</v>
      </c>
      <c r="B12" s="140"/>
      <c r="C12" s="140"/>
      <c r="D12" s="131"/>
      <c r="E12" s="125">
        <f>SUM(E7:E11)</f>
        <v>256</v>
      </c>
      <c r="F12" s="191">
        <f>SUMPRODUCT(E7:E11,F7:F11)/E12</f>
        <v>0.129296875</v>
      </c>
      <c r="G12" s="187">
        <f>SUM(G7:G11)</f>
        <v>507.5</v>
      </c>
      <c r="H12" s="193">
        <f>SUM(H7:H11)</f>
        <v>212.5</v>
      </c>
      <c r="I12" s="131"/>
      <c r="J12" s="183">
        <f>SUM(J7:J11)</f>
        <v>247</v>
      </c>
      <c r="K12" s="182">
        <f>SUMPRODUCT(J7:J11,K7:K11)/J12</f>
        <v>0.12348178137651822</v>
      </c>
    </row>
    <row r="13" spans="1:11" ht="12.75">
      <c r="A13" t="s">
        <v>210</v>
      </c>
      <c r="D13" s="75"/>
      <c r="E13" s="185">
        <v>34.1</v>
      </c>
      <c r="F13" s="76">
        <v>0.1</v>
      </c>
      <c r="G13" s="186"/>
      <c r="H13" s="75"/>
      <c r="I13" s="75"/>
      <c r="J13" s="185"/>
      <c r="K13" s="75"/>
    </row>
    <row r="14" spans="2:13" ht="12.75">
      <c r="B14" s="23" t="s">
        <v>384</v>
      </c>
      <c r="C14" s="23"/>
      <c r="D14" s="5"/>
      <c r="E14" s="160">
        <v>72</v>
      </c>
      <c r="F14" s="68">
        <v>0.04</v>
      </c>
      <c r="G14" s="161"/>
      <c r="H14" s="5"/>
      <c r="I14" s="5"/>
      <c r="J14" s="160"/>
      <c r="K14" s="5"/>
      <c r="L14">
        <v>43.3</v>
      </c>
      <c r="M14" t="s">
        <v>371</v>
      </c>
    </row>
    <row r="15" spans="4:13" ht="12.75">
      <c r="D15" s="22"/>
      <c r="E15" s="22"/>
      <c r="F15" s="189"/>
      <c r="G15" s="22"/>
      <c r="H15" s="22"/>
      <c r="I15" s="22"/>
      <c r="J15" s="22"/>
      <c r="K15" s="22"/>
      <c r="L15">
        <v>49</v>
      </c>
      <c r="M15" t="s">
        <v>378</v>
      </c>
    </row>
    <row r="16" spans="2:13" ht="12.75">
      <c r="B16" s="1" t="s">
        <v>227</v>
      </c>
      <c r="D16" s="23"/>
      <c r="E16" s="23"/>
      <c r="F16" s="23"/>
      <c r="G16" s="23"/>
      <c r="H16" s="23"/>
      <c r="I16" s="23"/>
      <c r="J16" s="23"/>
      <c r="K16" s="23"/>
      <c r="L16">
        <v>6.4</v>
      </c>
      <c r="M16" t="s">
        <v>379</v>
      </c>
    </row>
    <row r="17" ht="12.75">
      <c r="B17" s="1" t="s">
        <v>239</v>
      </c>
    </row>
    <row r="18" ht="12.75">
      <c r="B18" s="1" t="s">
        <v>228</v>
      </c>
    </row>
    <row r="20" spans="2:10" ht="12.75">
      <c r="B20" s="1" t="s">
        <v>218</v>
      </c>
      <c r="E20" s="172" t="s">
        <v>222</v>
      </c>
      <c r="F20" t="s">
        <v>375</v>
      </c>
      <c r="J20" t="s">
        <v>223</v>
      </c>
    </row>
    <row r="21" spans="3:10" ht="12.75">
      <c r="C21" s="169" t="s">
        <v>213</v>
      </c>
      <c r="D21" s="147"/>
      <c r="E21" s="154">
        <v>608</v>
      </c>
      <c r="F21" s="154">
        <v>380</v>
      </c>
      <c r="G21" s="154"/>
      <c r="H21" s="154"/>
      <c r="I21" s="154"/>
      <c r="J21" s="154">
        <v>730</v>
      </c>
    </row>
    <row r="22" spans="3:10" ht="12.75">
      <c r="C22" s="169" t="s">
        <v>214</v>
      </c>
      <c r="D22" s="147"/>
      <c r="E22" s="154">
        <v>354</v>
      </c>
      <c r="F22" s="154">
        <v>666</v>
      </c>
      <c r="G22" s="154"/>
      <c r="H22" s="154"/>
      <c r="I22" s="154"/>
      <c r="J22" s="154">
        <v>650</v>
      </c>
    </row>
    <row r="23" spans="3:12" ht="12.75">
      <c r="C23" s="169" t="s">
        <v>215</v>
      </c>
      <c r="D23" s="147"/>
      <c r="E23" s="154">
        <v>566</v>
      </c>
      <c r="F23" s="154">
        <v>200</v>
      </c>
      <c r="G23" s="154"/>
      <c r="H23" s="154"/>
      <c r="I23" s="154"/>
      <c r="J23" s="154">
        <v>550</v>
      </c>
      <c r="L23" t="s">
        <v>381</v>
      </c>
    </row>
    <row r="24" spans="3:12" ht="12.75">
      <c r="C24" s="169" t="s">
        <v>216</v>
      </c>
      <c r="D24" s="147"/>
      <c r="E24" s="154">
        <v>492</v>
      </c>
      <c r="F24" s="154">
        <v>470</v>
      </c>
      <c r="G24" s="154"/>
      <c r="H24" s="154"/>
      <c r="I24" s="154"/>
      <c r="J24" s="154">
        <v>344</v>
      </c>
      <c r="L24" t="s">
        <v>382</v>
      </c>
    </row>
    <row r="25" spans="3:10" ht="12.75">
      <c r="C25" s="169" t="s">
        <v>217</v>
      </c>
      <c r="D25" s="147"/>
      <c r="E25" s="154">
        <v>580</v>
      </c>
      <c r="F25" s="154">
        <v>780</v>
      </c>
      <c r="G25" s="154"/>
      <c r="H25" s="154"/>
      <c r="I25" s="154"/>
      <c r="J25" s="154">
        <v>327</v>
      </c>
    </row>
    <row r="26" spans="4:10" ht="12.75">
      <c r="D26" t="s">
        <v>219</v>
      </c>
      <c r="E26" s="163">
        <f>AVERAGE(E21:E25)</f>
        <v>520</v>
      </c>
      <c r="F26" s="163">
        <f>AVERAGE(F21:F25)</f>
        <v>499.2</v>
      </c>
      <c r="G26" s="154"/>
      <c r="H26" s="154"/>
      <c r="I26" s="154"/>
      <c r="J26" s="163">
        <f>AVERAGE(J21:J25)</f>
        <v>520.2</v>
      </c>
    </row>
    <row r="29" spans="2:5" ht="12.75">
      <c r="B29" s="328" t="s">
        <v>323</v>
      </c>
      <c r="D29" t="s">
        <v>339</v>
      </c>
      <c r="E29" t="s">
        <v>324</v>
      </c>
    </row>
    <row r="30" spans="3:5" ht="12.75">
      <c r="C30" t="s">
        <v>328</v>
      </c>
      <c r="D30">
        <f>33+31+79</f>
        <v>143</v>
      </c>
      <c r="E30" s="329"/>
    </row>
    <row r="31" spans="3:5" ht="12.75">
      <c r="C31" t="s">
        <v>315</v>
      </c>
      <c r="D31">
        <v>9</v>
      </c>
      <c r="E31" s="329"/>
    </row>
    <row r="32" spans="3:5" ht="12.75">
      <c r="C32" t="s">
        <v>319</v>
      </c>
      <c r="D32">
        <v>30</v>
      </c>
      <c r="E32" s="329"/>
    </row>
    <row r="33" spans="3:5" ht="12.75">
      <c r="C33" t="s">
        <v>196</v>
      </c>
      <c r="D33">
        <v>50</v>
      </c>
      <c r="E33" s="329">
        <v>89.1</v>
      </c>
    </row>
    <row r="34" spans="3:6" ht="12.75">
      <c r="C34" t="s">
        <v>194</v>
      </c>
      <c r="D34">
        <v>12</v>
      </c>
      <c r="E34" s="329">
        <f>6+20.6</f>
        <v>26.6</v>
      </c>
      <c r="F34" t="s">
        <v>373</v>
      </c>
    </row>
    <row r="35" spans="3:5" ht="12.75">
      <c r="C35" t="s">
        <v>325</v>
      </c>
      <c r="D35">
        <v>15</v>
      </c>
      <c r="E35" s="329">
        <f>7.2+5</f>
        <v>12.2</v>
      </c>
    </row>
    <row r="36" spans="3:5" ht="12.75">
      <c r="C36" t="s">
        <v>17</v>
      </c>
      <c r="D36">
        <v>81</v>
      </c>
      <c r="E36" s="329"/>
    </row>
    <row r="37" spans="3:5" ht="12.75">
      <c r="C37" t="s">
        <v>316</v>
      </c>
      <c r="D37">
        <v>11</v>
      </c>
      <c r="E37" s="329"/>
    </row>
    <row r="38" spans="3:5" ht="12.75">
      <c r="C38" t="s">
        <v>327</v>
      </c>
      <c r="D38">
        <v>67</v>
      </c>
      <c r="E38" s="329">
        <f>38+65</f>
        <v>103</v>
      </c>
    </row>
    <row r="39" spans="3:5" ht="12.75">
      <c r="C39" t="s">
        <v>326</v>
      </c>
      <c r="D39">
        <v>53</v>
      </c>
      <c r="E39" s="329">
        <f>8+9+61</f>
        <v>78</v>
      </c>
    </row>
    <row r="40" spans="3:5" ht="12.75">
      <c r="C40" t="s">
        <v>317</v>
      </c>
      <c r="D40">
        <v>8</v>
      </c>
      <c r="E40" s="329"/>
    </row>
    <row r="41" spans="3:5" ht="12.75">
      <c r="C41" t="s">
        <v>318</v>
      </c>
      <c r="D41">
        <v>8</v>
      </c>
      <c r="E41" s="329"/>
    </row>
    <row r="42" spans="3:5" ht="12.75">
      <c r="C42" t="s">
        <v>338</v>
      </c>
      <c r="D42">
        <f>SUM(D30:D41)</f>
        <v>487</v>
      </c>
      <c r="E42">
        <f>SUM(E30:E41)</f>
        <v>308.9</v>
      </c>
    </row>
    <row r="43" spans="3:5" ht="12.75">
      <c r="C43" t="s">
        <v>366</v>
      </c>
      <c r="D43">
        <v>700</v>
      </c>
      <c r="E43">
        <f>20+65</f>
        <v>85</v>
      </c>
    </row>
    <row r="44" spans="3:4" ht="12.75">
      <c r="C44" t="s">
        <v>322</v>
      </c>
      <c r="D44">
        <v>170</v>
      </c>
    </row>
    <row r="45" spans="3:5" ht="12.75">
      <c r="C45" t="s">
        <v>321</v>
      </c>
      <c r="D45">
        <f>SUM(D42:D44)</f>
        <v>1357</v>
      </c>
      <c r="E45">
        <f>SUM(E42:E44)</f>
        <v>393.9</v>
      </c>
    </row>
    <row r="48" spans="2:5" ht="12.75">
      <c r="B48" s="328" t="s">
        <v>337</v>
      </c>
      <c r="D48" t="s">
        <v>320</v>
      </c>
      <c r="E48" t="s">
        <v>324</v>
      </c>
    </row>
    <row r="49" spans="3:5" ht="12.75">
      <c r="C49" t="s">
        <v>336</v>
      </c>
      <c r="D49" s="329">
        <f>8*0.005</f>
        <v>0.04</v>
      </c>
      <c r="E49" s="329">
        <v>0</v>
      </c>
    </row>
    <row r="50" spans="3:5" ht="12.75">
      <c r="C50" t="s">
        <v>335</v>
      </c>
      <c r="D50" s="329">
        <f>2*0.322</f>
        <v>0.644</v>
      </c>
      <c r="E50" s="329">
        <f>2*0.065</f>
        <v>0.13</v>
      </c>
    </row>
    <row r="51" spans="3:5" ht="12.75">
      <c r="C51" t="s">
        <v>329</v>
      </c>
      <c r="D51" s="329">
        <f>2*5.4</f>
        <v>10.8</v>
      </c>
      <c r="E51" s="329">
        <f>2*8</f>
        <v>16</v>
      </c>
    </row>
    <row r="52" spans="3:5" ht="12.75">
      <c r="C52" t="s">
        <v>330</v>
      </c>
      <c r="D52" s="329">
        <v>8</v>
      </c>
      <c r="E52" s="329">
        <v>11</v>
      </c>
    </row>
    <row r="53" spans="3:5" ht="12.75">
      <c r="C53" t="s">
        <v>331</v>
      </c>
      <c r="D53" s="329">
        <v>5.44</v>
      </c>
      <c r="E53" s="329">
        <v>22</v>
      </c>
    </row>
    <row r="54" spans="3:5" ht="12.75">
      <c r="C54" t="s">
        <v>332</v>
      </c>
      <c r="D54" s="329">
        <f>4*11</f>
        <v>44</v>
      </c>
      <c r="E54" s="329">
        <f>4*10</f>
        <v>40</v>
      </c>
    </row>
    <row r="55" spans="3:5" ht="12.75">
      <c r="C55" t="s">
        <v>333</v>
      </c>
      <c r="D55" s="329">
        <f>8*0.4</f>
        <v>3.2</v>
      </c>
      <c r="E55" s="329">
        <v>0</v>
      </c>
    </row>
    <row r="56" spans="3:5" ht="12.75">
      <c r="C56" t="s">
        <v>334</v>
      </c>
      <c r="D56" s="329">
        <f>4*0.11</f>
        <v>0.44</v>
      </c>
      <c r="E56" s="329">
        <v>0</v>
      </c>
    </row>
    <row r="57" spans="3:5" ht="12.75">
      <c r="C57" t="s">
        <v>321</v>
      </c>
      <c r="D57" s="329">
        <f>SUM(D49:D56)</f>
        <v>72.56400000000001</v>
      </c>
      <c r="E57" s="329">
        <f>SUM(E49:E56)</f>
        <v>89.13</v>
      </c>
    </row>
    <row r="59" ht="12.75">
      <c r="C59" t="s">
        <v>374</v>
      </c>
    </row>
  </sheetData>
  <mergeCells count="2">
    <mergeCell ref="D2:F2"/>
    <mergeCell ref="G2:K2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6" width="7.28125" style="0" customWidth="1"/>
    <col min="7" max="13" width="6.7109375" style="0" customWidth="1"/>
    <col min="14" max="19" width="5.7109375" style="0" customWidth="1"/>
    <col min="20" max="22" width="6.28125" style="0" customWidth="1"/>
    <col min="23" max="25" width="6.7109375" style="0" customWidth="1"/>
  </cols>
  <sheetData>
    <row r="1" spans="2:20" ht="15.75" thickBot="1">
      <c r="B1" s="324" t="s">
        <v>263</v>
      </c>
      <c r="E1" s="188" t="s">
        <v>259</v>
      </c>
      <c r="I1" s="320" t="s">
        <v>260</v>
      </c>
      <c r="Q1" s="215" t="s">
        <v>261</v>
      </c>
      <c r="T1" t="s">
        <v>262</v>
      </c>
    </row>
    <row r="2" spans="1:25" ht="15.75" thickBot="1">
      <c r="A2" s="10"/>
      <c r="B2" s="325" t="s">
        <v>267</v>
      </c>
      <c r="C2" s="217"/>
      <c r="G2" s="216"/>
      <c r="H2" s="218"/>
      <c r="I2" s="218"/>
      <c r="J2" s="218"/>
      <c r="K2" s="218"/>
      <c r="L2" s="218"/>
      <c r="M2" s="219"/>
      <c r="N2" s="216"/>
      <c r="O2" s="218"/>
      <c r="P2" s="218"/>
      <c r="Q2" s="220" t="s">
        <v>264</v>
      </c>
      <c r="R2" s="218"/>
      <c r="S2" s="219"/>
      <c r="T2" s="221" t="s">
        <v>265</v>
      </c>
      <c r="U2" s="218"/>
      <c r="V2" s="219"/>
      <c r="W2" s="221" t="s">
        <v>266</v>
      </c>
      <c r="X2" s="218"/>
      <c r="Y2" s="219"/>
    </row>
    <row r="3" spans="1:25" ht="13.5" thickBot="1">
      <c r="A3" s="10"/>
      <c r="B3" s="326" t="s">
        <v>258</v>
      </c>
      <c r="C3" s="223"/>
      <c r="D3" s="338" t="s">
        <v>151</v>
      </c>
      <c r="E3" s="338"/>
      <c r="F3" s="338"/>
      <c r="G3" s="224" t="s">
        <v>268</v>
      </c>
      <c r="H3" s="36" t="s">
        <v>269</v>
      </c>
      <c r="I3" s="36"/>
      <c r="J3" s="36"/>
      <c r="K3" s="36" t="s">
        <v>304</v>
      </c>
      <c r="L3" s="36"/>
      <c r="M3" s="225"/>
      <c r="N3" s="226" t="s">
        <v>270</v>
      </c>
      <c r="O3" s="36"/>
      <c r="P3" s="36"/>
      <c r="Q3" s="226" t="s">
        <v>271</v>
      </c>
      <c r="R3" s="36" t="s">
        <v>272</v>
      </c>
      <c r="S3" s="225" t="s">
        <v>273</v>
      </c>
      <c r="T3" s="227" t="s">
        <v>274</v>
      </c>
      <c r="U3" s="227" t="s">
        <v>275</v>
      </c>
      <c r="V3" s="228" t="s">
        <v>276</v>
      </c>
      <c r="W3" s="229" t="s">
        <v>277</v>
      </c>
      <c r="X3" s="229" t="s">
        <v>278</v>
      </c>
      <c r="Y3" s="228" t="s">
        <v>279</v>
      </c>
    </row>
    <row r="4" spans="1:25" ht="39.75" thickBot="1">
      <c r="A4" s="10"/>
      <c r="C4" s="126" t="s">
        <v>55</v>
      </c>
      <c r="D4" s="51" t="s">
        <v>157</v>
      </c>
      <c r="E4" s="230" t="s">
        <v>280</v>
      </c>
      <c r="F4" s="51" t="s">
        <v>132</v>
      </c>
      <c r="G4" s="225"/>
      <c r="H4" s="231" t="s">
        <v>307</v>
      </c>
      <c r="I4" s="231" t="s">
        <v>308</v>
      </c>
      <c r="J4" s="231" t="s">
        <v>309</v>
      </c>
      <c r="K4" s="36" t="s">
        <v>281</v>
      </c>
      <c r="L4" s="36" t="s">
        <v>282</v>
      </c>
      <c r="M4" s="225" t="s">
        <v>283</v>
      </c>
      <c r="N4" s="232" t="s">
        <v>284</v>
      </c>
      <c r="O4" s="233" t="s">
        <v>285</v>
      </c>
      <c r="P4" s="233" t="s">
        <v>286</v>
      </c>
      <c r="Q4" s="234" t="s">
        <v>287</v>
      </c>
      <c r="R4" s="235" t="s">
        <v>288</v>
      </c>
      <c r="S4" s="236" t="s">
        <v>289</v>
      </c>
      <c r="T4" s="235" t="s">
        <v>290</v>
      </c>
      <c r="U4" s="235" t="s">
        <v>291</v>
      </c>
      <c r="V4" s="236" t="s">
        <v>292</v>
      </c>
      <c r="W4" s="36"/>
      <c r="X4" s="36"/>
      <c r="Y4" s="225"/>
    </row>
    <row r="5" spans="1:25" ht="13.5" thickBot="1">
      <c r="A5" s="139" t="s">
        <v>123</v>
      </c>
      <c r="B5" s="135"/>
      <c r="C5" s="237"/>
      <c r="D5" s="238"/>
      <c r="E5" s="239"/>
      <c r="F5" s="239"/>
      <c r="G5" s="225"/>
      <c r="H5" s="240" t="s">
        <v>293</v>
      </c>
      <c r="I5" s="240"/>
      <c r="J5" s="240"/>
      <c r="K5" s="240" t="s">
        <v>293</v>
      </c>
      <c r="L5" s="240"/>
      <c r="M5" s="241"/>
      <c r="N5" s="222" t="s">
        <v>294</v>
      </c>
      <c r="O5" s="240"/>
      <c r="P5" s="240"/>
      <c r="Q5" s="222"/>
      <c r="R5" s="240" t="s">
        <v>295</v>
      </c>
      <c r="S5" s="241"/>
      <c r="T5" s="240"/>
      <c r="U5" s="240" t="s">
        <v>295</v>
      </c>
      <c r="V5" s="242"/>
      <c r="W5" s="240"/>
      <c r="X5" s="240" t="s">
        <v>295</v>
      </c>
      <c r="Y5" s="241"/>
    </row>
    <row r="6" spans="1:25" ht="12.75">
      <c r="A6" s="10"/>
      <c r="B6" s="80" t="s">
        <v>120</v>
      </c>
      <c r="C6" s="27">
        <f>Science!D5</f>
        <v>36</v>
      </c>
      <c r="D6" s="60">
        <f>Science!E5</f>
        <v>0.1</v>
      </c>
      <c r="E6" s="69">
        <f>Science!G5</f>
        <v>0.15</v>
      </c>
      <c r="F6" s="243">
        <f>C6*D6*(1+E6)</f>
        <v>4.14</v>
      </c>
      <c r="G6" s="244" t="s">
        <v>296</v>
      </c>
      <c r="H6" s="245">
        <v>0.65</v>
      </c>
      <c r="I6" s="245">
        <v>0.26</v>
      </c>
      <c r="J6" s="245">
        <v>0.01</v>
      </c>
      <c r="K6" s="245">
        <v>0.91</v>
      </c>
      <c r="L6" s="245">
        <v>0</v>
      </c>
      <c r="M6" s="246">
        <v>1.29</v>
      </c>
      <c r="N6" s="247">
        <f>F6*K6</f>
        <v>3.7674</v>
      </c>
      <c r="O6" s="248">
        <f>F6*L6</f>
        <v>0</v>
      </c>
      <c r="P6" s="248">
        <f>$F6*M6</f>
        <v>5.340599999999999</v>
      </c>
      <c r="Q6" s="255">
        <f>F6*(H6^2+I6^2)/8</f>
        <v>0.25362675</v>
      </c>
      <c r="R6" s="256">
        <f>$F6*(($H6^2+$I6^2)/16+$J6^2/12)</f>
        <v>0.126847875</v>
      </c>
      <c r="S6" s="257">
        <f>$F6*(($H6^2+$I6^2)/16+$J6^2/12)</f>
        <v>0.126847875</v>
      </c>
      <c r="T6" s="258">
        <f aca="true" t="shared" si="0" ref="T6:T16">$F6*((L6-L$69)^2+(M6-M$69)^2)</f>
        <v>0.42038015929638417</v>
      </c>
      <c r="U6" s="258">
        <f aca="true" t="shared" si="1" ref="U6:U16">$F6*((K6-K$69)^2+(M6-M$69)^2)</f>
        <v>3.577538086728967</v>
      </c>
      <c r="V6" s="259">
        <f aca="true" t="shared" si="2" ref="V6:V16">$F6*((K6-K$69)^2+(L6-L$69)^2)</f>
        <v>3.157157927432583</v>
      </c>
      <c r="W6" s="249">
        <f aca="true" t="shared" si="3" ref="W6:Y20">Q6+T6</f>
        <v>0.6740069092963842</v>
      </c>
      <c r="X6" s="249">
        <f t="shared" si="3"/>
        <v>3.704385961728967</v>
      </c>
      <c r="Y6" s="250">
        <f t="shared" si="3"/>
        <v>3.284005802432583</v>
      </c>
    </row>
    <row r="7" spans="1:25" ht="12.75">
      <c r="A7" s="10"/>
      <c r="B7" s="77" t="s">
        <v>133</v>
      </c>
      <c r="C7" s="27">
        <f>Science!D6</f>
        <v>36</v>
      </c>
      <c r="D7" s="60">
        <f>Science!E6</f>
        <v>0.01</v>
      </c>
      <c r="E7" s="69">
        <f>Science!G6</f>
        <v>0.2</v>
      </c>
      <c r="F7" s="243">
        <f>C7*D7*(1+E7)</f>
        <v>0.432</v>
      </c>
      <c r="G7" s="251" t="s">
        <v>296</v>
      </c>
      <c r="H7" s="252">
        <v>0.65</v>
      </c>
      <c r="I7" s="252">
        <v>0.26</v>
      </c>
      <c r="J7" s="252">
        <v>0.02</v>
      </c>
      <c r="K7" s="252">
        <v>0.98</v>
      </c>
      <c r="L7" s="252">
        <v>0</v>
      </c>
      <c r="M7" s="253">
        <v>1.29</v>
      </c>
      <c r="N7" s="254">
        <f>F7*K7</f>
        <v>0.42336</v>
      </c>
      <c r="O7" s="150">
        <f>F7*L7</f>
        <v>0</v>
      </c>
      <c r="P7" s="150">
        <f>$F7*M7</f>
        <v>0.55728</v>
      </c>
      <c r="Q7" s="255">
        <f>F7*(H7^2+I7^2)/8</f>
        <v>0.0264654</v>
      </c>
      <c r="R7" s="256">
        <f aca="true" t="shared" si="4" ref="R7:S23">$F7*(($H7^2+$I7^2)/16+$J7^2/12)</f>
        <v>0.013247100000000001</v>
      </c>
      <c r="S7" s="257">
        <f t="shared" si="4"/>
        <v>0.013247100000000001</v>
      </c>
      <c r="T7" s="258">
        <f t="shared" si="0"/>
        <v>0.04386575575266618</v>
      </c>
      <c r="U7" s="258">
        <f t="shared" si="1"/>
        <v>0.4282404238318811</v>
      </c>
      <c r="V7" s="259">
        <f t="shared" si="2"/>
        <v>0.38437466807921494</v>
      </c>
      <c r="W7" s="258">
        <f t="shared" si="3"/>
        <v>0.07033115575266619</v>
      </c>
      <c r="X7" s="258">
        <f t="shared" si="3"/>
        <v>0.4414875238318811</v>
      </c>
      <c r="Y7" s="259">
        <f t="shared" si="3"/>
        <v>0.39762176807921495</v>
      </c>
    </row>
    <row r="8" spans="1:25" ht="12.75">
      <c r="A8" s="10"/>
      <c r="B8" s="77" t="s">
        <v>121</v>
      </c>
      <c r="C8" s="27">
        <f>Science!D7</f>
        <v>36</v>
      </c>
      <c r="D8" s="60">
        <f>Science!E7</f>
        <v>0.1</v>
      </c>
      <c r="E8" s="69">
        <f>Science!G7</f>
        <v>0.15</v>
      </c>
      <c r="F8" s="243">
        <f>C8*D8*(1+E8)</f>
        <v>4.14</v>
      </c>
      <c r="G8" s="251" t="s">
        <v>296</v>
      </c>
      <c r="H8" s="252">
        <v>0.65</v>
      </c>
      <c r="I8" s="252">
        <v>0.26</v>
      </c>
      <c r="J8" s="252">
        <v>0.01</v>
      </c>
      <c r="K8" s="252">
        <v>0.91</v>
      </c>
      <c r="L8" s="252">
        <v>0</v>
      </c>
      <c r="M8" s="253">
        <v>1.29</v>
      </c>
      <c r="N8" s="254">
        <f aca="true" t="shared" si="5" ref="N8:N66">F8*K8</f>
        <v>3.7674</v>
      </c>
      <c r="O8" s="150">
        <f aca="true" t="shared" si="6" ref="O8:O66">F8*L8</f>
        <v>0</v>
      </c>
      <c r="P8" s="150">
        <f aca="true" t="shared" si="7" ref="P8:P66">$F8*M8</f>
        <v>5.340599999999999</v>
      </c>
      <c r="Q8" s="255">
        <f>F8*(H8^2+I8^2)/8</f>
        <v>0.25362675</v>
      </c>
      <c r="R8" s="256">
        <f t="shared" si="4"/>
        <v>0.126847875</v>
      </c>
      <c r="S8" s="257">
        <f t="shared" si="4"/>
        <v>0.126847875</v>
      </c>
      <c r="T8" s="258">
        <f t="shared" si="0"/>
        <v>0.42038015929638417</v>
      </c>
      <c r="U8" s="258">
        <f t="shared" si="1"/>
        <v>3.577538086728967</v>
      </c>
      <c r="V8" s="259">
        <f t="shared" si="2"/>
        <v>3.157157927432583</v>
      </c>
      <c r="W8" s="258">
        <f t="shared" si="3"/>
        <v>0.6740069092963842</v>
      </c>
      <c r="X8" s="258">
        <f t="shared" si="3"/>
        <v>3.704385961728967</v>
      </c>
      <c r="Y8" s="259">
        <f t="shared" si="3"/>
        <v>3.284005802432583</v>
      </c>
    </row>
    <row r="9" spans="1:25" ht="13.5" thickBot="1">
      <c r="A9" s="10"/>
      <c r="B9" s="77" t="s">
        <v>134</v>
      </c>
      <c r="C9" s="27">
        <f>Science!D8</f>
        <v>36</v>
      </c>
      <c r="D9" s="60">
        <f>Science!E8</f>
        <v>0.01</v>
      </c>
      <c r="E9" s="69">
        <f>Science!G8</f>
        <v>0.2</v>
      </c>
      <c r="F9" s="243">
        <f>C9*D9*(1+E9)</f>
        <v>0.432</v>
      </c>
      <c r="G9" s="251" t="s">
        <v>296</v>
      </c>
      <c r="H9" s="252">
        <v>0.65</v>
      </c>
      <c r="I9" s="252">
        <v>0.26</v>
      </c>
      <c r="J9" s="252">
        <v>0.02</v>
      </c>
      <c r="K9" s="252">
        <v>0.98</v>
      </c>
      <c r="L9" s="252">
        <v>0</v>
      </c>
      <c r="M9" s="253">
        <v>1.29</v>
      </c>
      <c r="N9" s="254">
        <f t="shared" si="5"/>
        <v>0.42336</v>
      </c>
      <c r="O9" s="150">
        <f t="shared" si="6"/>
        <v>0</v>
      </c>
      <c r="P9" s="150">
        <f t="shared" si="7"/>
        <v>0.55728</v>
      </c>
      <c r="Q9" s="255">
        <f>F9*(H9^2+I9^2)/8</f>
        <v>0.0264654</v>
      </c>
      <c r="R9" s="256">
        <f t="shared" si="4"/>
        <v>0.013247100000000001</v>
      </c>
      <c r="S9" s="257">
        <f t="shared" si="4"/>
        <v>0.013247100000000001</v>
      </c>
      <c r="T9" s="258">
        <f t="shared" si="0"/>
        <v>0.04386575575266618</v>
      </c>
      <c r="U9" s="258">
        <f t="shared" si="1"/>
        <v>0.4282404238318811</v>
      </c>
      <c r="V9" s="259">
        <f t="shared" si="2"/>
        <v>0.38437466807921494</v>
      </c>
      <c r="W9" s="258">
        <f t="shared" si="3"/>
        <v>0.07033115575266619</v>
      </c>
      <c r="X9" s="258">
        <f t="shared" si="3"/>
        <v>0.4414875238318811</v>
      </c>
      <c r="Y9" s="259">
        <f t="shared" si="3"/>
        <v>0.39762176807921495</v>
      </c>
    </row>
    <row r="10" spans="1:25" ht="13.5" thickBot="1">
      <c r="A10" s="10"/>
      <c r="B10" s="77" t="s">
        <v>136</v>
      </c>
      <c r="C10" s="27">
        <f>Science!D9</f>
        <v>1</v>
      </c>
      <c r="D10" s="60">
        <f>Science!E9</f>
        <v>10</v>
      </c>
      <c r="E10" s="69">
        <f>Science!G9</f>
        <v>0.2</v>
      </c>
      <c r="F10" s="243">
        <f>C10*D10*(1+E10)</f>
        <v>12</v>
      </c>
      <c r="G10" s="260" t="s">
        <v>297</v>
      </c>
      <c r="H10" s="252">
        <v>0.6</v>
      </c>
      <c r="I10" s="252">
        <v>0.1</v>
      </c>
      <c r="J10" s="252">
        <v>0.2</v>
      </c>
      <c r="K10" s="252">
        <v>1</v>
      </c>
      <c r="L10" s="252">
        <v>0</v>
      </c>
      <c r="M10" s="253">
        <v>1.29</v>
      </c>
      <c r="N10" s="254">
        <f t="shared" si="5"/>
        <v>12</v>
      </c>
      <c r="O10" s="150">
        <f t="shared" si="6"/>
        <v>0</v>
      </c>
      <c r="P10" s="150">
        <f t="shared" si="7"/>
        <v>15.48</v>
      </c>
      <c r="Q10" s="261">
        <f>($F10/12)*($I10^2+$J10^2)</f>
        <v>0.05000000000000001</v>
      </c>
      <c r="R10" s="262">
        <f>($F10/12)*($H10^2+$J10^2)</f>
        <v>0.4</v>
      </c>
      <c r="S10" s="263">
        <f>(F10/12)*(H10^2+I10^2)</f>
        <v>0.37</v>
      </c>
      <c r="T10" s="258">
        <f t="shared" si="0"/>
        <v>1.2184932153518382</v>
      </c>
      <c r="U10" s="258">
        <f t="shared" si="1"/>
        <v>12.353136390079428</v>
      </c>
      <c r="V10" s="259">
        <f t="shared" si="2"/>
        <v>11.13464317472759</v>
      </c>
      <c r="W10" s="258">
        <f t="shared" si="3"/>
        <v>1.2684932153518382</v>
      </c>
      <c r="X10" s="258">
        <f t="shared" si="3"/>
        <v>12.753136390079428</v>
      </c>
      <c r="Y10" s="259">
        <f t="shared" si="3"/>
        <v>11.504643174727589</v>
      </c>
    </row>
    <row r="11" spans="1:25" ht="12.75">
      <c r="A11" s="10"/>
      <c r="B11" s="77" t="s">
        <v>166</v>
      </c>
      <c r="C11" s="27" t="str">
        <f>Science!D10</f>
        <v>as reqd</v>
      </c>
      <c r="D11" s="60">
        <f>Science!E10</f>
        <v>0.2</v>
      </c>
      <c r="E11" s="69">
        <f>Science!G10</f>
        <v>0.25</v>
      </c>
      <c r="F11" s="243">
        <f>D11*(1+E11)</f>
        <v>0.25</v>
      </c>
      <c r="G11" s="251" t="s">
        <v>296</v>
      </c>
      <c r="H11" s="252">
        <v>0.65</v>
      </c>
      <c r="I11" s="252">
        <v>0.26</v>
      </c>
      <c r="J11" s="252">
        <v>0.1</v>
      </c>
      <c r="K11" s="252">
        <v>0.95</v>
      </c>
      <c r="L11" s="252">
        <v>0</v>
      </c>
      <c r="M11" s="253">
        <v>1.29</v>
      </c>
      <c r="N11" s="254">
        <f t="shared" si="5"/>
        <v>0.2375</v>
      </c>
      <c r="O11" s="150">
        <f t="shared" si="6"/>
        <v>0</v>
      </c>
      <c r="P11" s="150">
        <f t="shared" si="7"/>
        <v>0.3225</v>
      </c>
      <c r="Q11" s="255">
        <f aca="true" t="shared" si="8" ref="Q11:Q16">F11*(H11^2+I11^2)/8</f>
        <v>0.015315625000000001</v>
      </c>
      <c r="R11" s="256">
        <f t="shared" si="4"/>
        <v>0.007866145833333334</v>
      </c>
      <c r="S11" s="257">
        <f t="shared" si="4"/>
        <v>0.007866145833333334</v>
      </c>
      <c r="T11" s="258">
        <f t="shared" si="0"/>
        <v>0.025385275319829963</v>
      </c>
      <c r="U11" s="258">
        <f t="shared" si="1"/>
        <v>0.2339002861779015</v>
      </c>
      <c r="V11" s="259">
        <f t="shared" si="2"/>
        <v>0.20851501085807156</v>
      </c>
      <c r="W11" s="258">
        <f t="shared" si="3"/>
        <v>0.040700900319829966</v>
      </c>
      <c r="X11" s="258">
        <f t="shared" si="3"/>
        <v>0.24176643201123485</v>
      </c>
      <c r="Y11" s="259">
        <f t="shared" si="3"/>
        <v>0.2163811566914049</v>
      </c>
    </row>
    <row r="12" spans="1:25" ht="13.5" thickBot="1">
      <c r="A12" s="10"/>
      <c r="B12" s="136" t="s">
        <v>122</v>
      </c>
      <c r="C12" s="27">
        <f>Science!D11</f>
        <v>16</v>
      </c>
      <c r="D12" s="60">
        <f>Science!E11</f>
        <v>0.1</v>
      </c>
      <c r="E12" s="69">
        <f>Science!G11</f>
        <v>0.2</v>
      </c>
      <c r="F12" s="243">
        <f>C12*D12*(1+E12)</f>
        <v>1.92</v>
      </c>
      <c r="G12" s="251" t="s">
        <v>296</v>
      </c>
      <c r="H12" s="252">
        <v>0.65</v>
      </c>
      <c r="I12" s="252">
        <v>0.26</v>
      </c>
      <c r="J12" s="252">
        <v>0.01</v>
      </c>
      <c r="K12" s="252">
        <v>0.91</v>
      </c>
      <c r="L12" s="252">
        <v>0</v>
      </c>
      <c r="M12" s="253">
        <v>1.29</v>
      </c>
      <c r="N12" s="254">
        <f t="shared" si="5"/>
        <v>1.7472</v>
      </c>
      <c r="O12" s="150">
        <f t="shared" si="6"/>
        <v>0</v>
      </c>
      <c r="P12" s="150">
        <f t="shared" si="7"/>
        <v>2.4768</v>
      </c>
      <c r="Q12" s="255">
        <f t="shared" si="8"/>
        <v>0.117624</v>
      </c>
      <c r="R12" s="256">
        <f t="shared" si="4"/>
        <v>0.058828</v>
      </c>
      <c r="S12" s="257">
        <f t="shared" si="4"/>
        <v>0.058828</v>
      </c>
      <c r="T12" s="258">
        <f t="shared" si="0"/>
        <v>0.19495891445629412</v>
      </c>
      <c r="U12" s="258">
        <f t="shared" si="1"/>
        <v>1.6591480981931441</v>
      </c>
      <c r="V12" s="259">
        <f t="shared" si="2"/>
        <v>1.4641891837368501</v>
      </c>
      <c r="W12" s="258">
        <f t="shared" si="3"/>
        <v>0.31258291445629416</v>
      </c>
      <c r="X12" s="258">
        <f t="shared" si="3"/>
        <v>1.7179760981931442</v>
      </c>
      <c r="Y12" s="259">
        <f t="shared" si="3"/>
        <v>1.5230171837368502</v>
      </c>
    </row>
    <row r="13" spans="1:25" ht="13.5" thickBot="1">
      <c r="A13" s="264" t="s">
        <v>205</v>
      </c>
      <c r="B13" s="265"/>
      <c r="C13" s="27">
        <f>Science!D12</f>
        <v>1</v>
      </c>
      <c r="D13" s="60">
        <f>Science!E12</f>
        <v>17.09220239819574</v>
      </c>
      <c r="E13" s="69">
        <f>Science!G12</f>
        <v>0.2</v>
      </c>
      <c r="F13" s="243">
        <f>C13*D13*(1+E13)</f>
        <v>20.51064287783489</v>
      </c>
      <c r="G13" s="251" t="s">
        <v>296</v>
      </c>
      <c r="H13" s="252">
        <v>0.65</v>
      </c>
      <c r="I13" s="252">
        <v>0.26</v>
      </c>
      <c r="J13" s="252">
        <v>0.05</v>
      </c>
      <c r="K13" s="252">
        <v>0.91</v>
      </c>
      <c r="L13" s="252">
        <v>0</v>
      </c>
      <c r="M13" s="253">
        <v>1.29</v>
      </c>
      <c r="N13" s="254">
        <f t="shared" si="5"/>
        <v>18.66468501882975</v>
      </c>
      <c r="O13" s="150">
        <f t="shared" si="6"/>
        <v>0</v>
      </c>
      <c r="P13" s="150">
        <f t="shared" si="7"/>
        <v>26.45872931240701</v>
      </c>
      <c r="Q13" s="255">
        <f t="shared" si="8"/>
        <v>1.25653325930336</v>
      </c>
      <c r="R13" s="256">
        <f t="shared" si="4"/>
        <v>0.632539680251229</v>
      </c>
      <c r="S13" s="257">
        <f t="shared" si="4"/>
        <v>0.632539680251229</v>
      </c>
      <c r="T13" s="258">
        <f t="shared" si="0"/>
        <v>2.082673265762193</v>
      </c>
      <c r="U13" s="258">
        <f t="shared" si="1"/>
        <v>17.724059439311727</v>
      </c>
      <c r="V13" s="259">
        <f t="shared" si="2"/>
        <v>15.641386173549535</v>
      </c>
      <c r="W13" s="258">
        <f t="shared" si="3"/>
        <v>3.3392065250655527</v>
      </c>
      <c r="X13" s="258">
        <f t="shared" si="3"/>
        <v>18.356599119562954</v>
      </c>
      <c r="Y13" s="259">
        <f t="shared" si="3"/>
        <v>16.273925853800762</v>
      </c>
    </row>
    <row r="14" spans="1:25" ht="12.75">
      <c r="A14" s="10"/>
      <c r="B14" s="80" t="s">
        <v>125</v>
      </c>
      <c r="C14" s="27">
        <f>Science!D13</f>
        <v>3</v>
      </c>
      <c r="D14" s="60">
        <f>Science!E13</f>
        <v>0.157</v>
      </c>
      <c r="E14" s="69">
        <f>Science!G13</f>
        <v>0.2</v>
      </c>
      <c r="F14" s="243">
        <f>C14*D14*(1+E14)</f>
        <v>0.5651999999999999</v>
      </c>
      <c r="G14" s="251" t="s">
        <v>296</v>
      </c>
      <c r="H14" s="252">
        <v>0.8</v>
      </c>
      <c r="I14" s="252">
        <v>0.6</v>
      </c>
      <c r="J14" s="252">
        <v>0.2</v>
      </c>
      <c r="K14" s="252">
        <v>0.91</v>
      </c>
      <c r="L14" s="252">
        <v>0</v>
      </c>
      <c r="M14" s="253">
        <v>1.29</v>
      </c>
      <c r="N14" s="254">
        <f t="shared" si="5"/>
        <v>0.5143319999999999</v>
      </c>
      <c r="O14" s="150">
        <f t="shared" si="6"/>
        <v>0</v>
      </c>
      <c r="P14" s="150">
        <f t="shared" si="7"/>
        <v>0.729108</v>
      </c>
      <c r="Q14" s="255">
        <f t="shared" si="8"/>
        <v>0.07064999999999999</v>
      </c>
      <c r="R14" s="256">
        <f t="shared" si="4"/>
        <v>0.03720899999999999</v>
      </c>
      <c r="S14" s="257">
        <f t="shared" si="4"/>
        <v>0.03720899999999999</v>
      </c>
      <c r="T14" s="258">
        <f t="shared" si="0"/>
        <v>0.057391030443071575</v>
      </c>
      <c r="U14" s="258">
        <f t="shared" si="1"/>
        <v>0.48841172140560674</v>
      </c>
      <c r="V14" s="259">
        <f t="shared" si="2"/>
        <v>0.4310206909625352</v>
      </c>
      <c r="W14" s="258">
        <f t="shared" si="3"/>
        <v>0.12804103044307158</v>
      </c>
      <c r="X14" s="258">
        <f t="shared" si="3"/>
        <v>0.5256207214056068</v>
      </c>
      <c r="Y14" s="259">
        <f t="shared" si="3"/>
        <v>0.4682296909625352</v>
      </c>
    </row>
    <row r="15" spans="1:25" ht="12.75">
      <c r="A15" s="10"/>
      <c r="B15" s="77" t="s">
        <v>124</v>
      </c>
      <c r="C15" s="27" t="str">
        <f>Science!D14</f>
        <v>as reqd</v>
      </c>
      <c r="D15" s="60">
        <f>Science!E14</f>
        <v>0.1</v>
      </c>
      <c r="E15" s="69">
        <f>Science!G14</f>
        <v>0.25</v>
      </c>
      <c r="F15" s="243">
        <f>D15*(1+E15)</f>
        <v>0.125</v>
      </c>
      <c r="G15" s="251" t="s">
        <v>296</v>
      </c>
      <c r="H15" s="252">
        <v>0.7</v>
      </c>
      <c r="I15" s="252">
        <v>0.65</v>
      </c>
      <c r="J15" s="252">
        <v>0.05</v>
      </c>
      <c r="K15" s="252">
        <v>0.91</v>
      </c>
      <c r="L15" s="252">
        <v>0</v>
      </c>
      <c r="M15" s="253">
        <v>1.29</v>
      </c>
      <c r="N15" s="254">
        <f t="shared" si="5"/>
        <v>0.11375</v>
      </c>
      <c r="O15" s="150">
        <f t="shared" si="6"/>
        <v>0</v>
      </c>
      <c r="P15" s="150">
        <f t="shared" si="7"/>
        <v>0.16125</v>
      </c>
      <c r="Q15" s="255">
        <f t="shared" si="8"/>
        <v>0.0142578125</v>
      </c>
      <c r="R15" s="256">
        <f t="shared" si="4"/>
        <v>0.007154947916666666</v>
      </c>
      <c r="S15" s="257">
        <f t="shared" si="4"/>
        <v>0.007154947916666666</v>
      </c>
      <c r="T15" s="258">
        <f t="shared" si="0"/>
        <v>0.012692637659914982</v>
      </c>
      <c r="U15" s="258">
        <f t="shared" si="1"/>
        <v>0.10801745430944949</v>
      </c>
      <c r="V15" s="259">
        <f t="shared" si="2"/>
        <v>0.09532481664953452</v>
      </c>
      <c r="W15" s="258">
        <f t="shared" si="3"/>
        <v>0.02695045015991498</v>
      </c>
      <c r="X15" s="258">
        <f t="shared" si="3"/>
        <v>0.11517240222611616</v>
      </c>
      <c r="Y15" s="259">
        <f t="shared" si="3"/>
        <v>0.10247976456620118</v>
      </c>
    </row>
    <row r="16" spans="1:25" ht="13.5" thickBot="1">
      <c r="A16" s="10"/>
      <c r="B16" s="74" t="s">
        <v>126</v>
      </c>
      <c r="C16" s="27" t="str">
        <f>Science!D15</f>
        <v>as reqd</v>
      </c>
      <c r="D16" s="60">
        <f>Science!E15</f>
        <v>0.2</v>
      </c>
      <c r="E16" s="69">
        <f>Science!G15</f>
        <v>0.25</v>
      </c>
      <c r="F16" s="243">
        <f>D16*(1+E16)</f>
        <v>0.25</v>
      </c>
      <c r="G16" s="251" t="s">
        <v>296</v>
      </c>
      <c r="H16" s="252">
        <v>0.65</v>
      </c>
      <c r="I16" s="252">
        <v>0.26</v>
      </c>
      <c r="J16" s="252">
        <v>0.01</v>
      </c>
      <c r="K16" s="252">
        <v>0.91</v>
      </c>
      <c r="L16" s="252">
        <v>0</v>
      </c>
      <c r="M16" s="253">
        <v>1.29</v>
      </c>
      <c r="N16" s="254">
        <f t="shared" si="5"/>
        <v>0.2275</v>
      </c>
      <c r="O16" s="150">
        <f t="shared" si="6"/>
        <v>0</v>
      </c>
      <c r="P16" s="150">
        <f t="shared" si="7"/>
        <v>0.3225</v>
      </c>
      <c r="Q16" s="255">
        <f t="shared" si="8"/>
        <v>0.015315625000000001</v>
      </c>
      <c r="R16" s="256">
        <f t="shared" si="4"/>
        <v>0.007659895833333334</v>
      </c>
      <c r="S16" s="257">
        <f t="shared" si="4"/>
        <v>0.007659895833333334</v>
      </c>
      <c r="T16" s="258">
        <f t="shared" si="0"/>
        <v>0.025385275319829963</v>
      </c>
      <c r="U16" s="258">
        <f t="shared" si="1"/>
        <v>0.21603490861889899</v>
      </c>
      <c r="V16" s="259">
        <f t="shared" si="2"/>
        <v>0.19064963329906903</v>
      </c>
      <c r="W16" s="258">
        <f t="shared" si="3"/>
        <v>0.040700900319829966</v>
      </c>
      <c r="X16" s="258">
        <f t="shared" si="3"/>
        <v>0.22369480445223233</v>
      </c>
      <c r="Y16" s="259">
        <f t="shared" si="3"/>
        <v>0.19830952913240238</v>
      </c>
    </row>
    <row r="17" spans="1:25" ht="13.5" thickBot="1">
      <c r="A17" s="139" t="s">
        <v>191</v>
      </c>
      <c r="B17" s="135"/>
      <c r="C17" s="266"/>
      <c r="D17" s="26"/>
      <c r="E17" s="19"/>
      <c r="F17" s="267"/>
      <c r="G17" s="251"/>
      <c r="H17" s="252"/>
      <c r="I17" s="252"/>
      <c r="J17" s="252"/>
      <c r="K17" s="252"/>
      <c r="L17" s="252"/>
      <c r="M17" s="253"/>
      <c r="N17" s="254"/>
      <c r="O17" s="150"/>
      <c r="P17" s="150"/>
      <c r="Q17" s="255"/>
      <c r="R17" s="256"/>
      <c r="S17" s="257"/>
      <c r="T17" s="258"/>
      <c r="U17" s="258"/>
      <c r="V17" s="259"/>
      <c r="W17" s="258"/>
      <c r="X17" s="258"/>
      <c r="Y17" s="259"/>
    </row>
    <row r="18" spans="1:25" ht="12.75">
      <c r="A18" s="133"/>
      <c r="B18" s="268" t="s">
        <v>192</v>
      </c>
      <c r="C18" s="27">
        <f>Science!D18</f>
        <v>1</v>
      </c>
      <c r="D18" s="72">
        <f>Science!E18</f>
        <v>24.810727981725393</v>
      </c>
      <c r="E18" s="69">
        <f>Science!G18</f>
        <v>0.25</v>
      </c>
      <c r="F18" s="243">
        <f>C18*D18*(1+E18)</f>
        <v>31.01340997715674</v>
      </c>
      <c r="G18" s="251" t="s">
        <v>296</v>
      </c>
      <c r="H18" s="252">
        <v>0.46</v>
      </c>
      <c r="I18" s="252">
        <v>0.45</v>
      </c>
      <c r="J18" s="252">
        <v>0.66</v>
      </c>
      <c r="K18" s="252">
        <v>0.6</v>
      </c>
      <c r="L18" s="252">
        <v>0</v>
      </c>
      <c r="M18" s="253">
        <v>1.29</v>
      </c>
      <c r="N18" s="254">
        <f t="shared" si="5"/>
        <v>18.608045986294044</v>
      </c>
      <c r="O18" s="150">
        <f t="shared" si="6"/>
        <v>0</v>
      </c>
      <c r="P18" s="150">
        <f t="shared" si="7"/>
        <v>40.007298870532196</v>
      </c>
      <c r="Q18" s="255">
        <f>F18*(H18^2+I18^2)/8</f>
        <v>1.6053316339425758</v>
      </c>
      <c r="R18" s="256">
        <f t="shared" si="4"/>
        <v>1.9284525991420778</v>
      </c>
      <c r="S18" s="257">
        <f t="shared" si="4"/>
        <v>1.9284525991420778</v>
      </c>
      <c r="T18" s="258">
        <f>$F18*((L18-L$69)^2+(M18-M$69)^2)</f>
        <v>3.1491358035075416</v>
      </c>
      <c r="U18" s="258">
        <f>$F18*((K18-K$69)^2+(M18-M$69)^2)</f>
        <v>12.988817106368218</v>
      </c>
      <c r="V18" s="259">
        <f>$F18*((K18-K$69)^2+(L18-L$69)^2)</f>
        <v>9.839681302860678</v>
      </c>
      <c r="W18" s="258">
        <f t="shared" si="3"/>
        <v>4.754467437450117</v>
      </c>
      <c r="X18" s="258">
        <f t="shared" si="3"/>
        <v>14.917269705510297</v>
      </c>
      <c r="Y18" s="259">
        <f t="shared" si="3"/>
        <v>11.768133902002756</v>
      </c>
    </row>
    <row r="19" spans="1:25" ht="12.75">
      <c r="A19" s="10"/>
      <c r="B19" s="80" t="s">
        <v>125</v>
      </c>
      <c r="C19" s="27">
        <f>Science!D19</f>
        <v>3</v>
      </c>
      <c r="D19" s="72">
        <f>Science!E19</f>
        <v>1</v>
      </c>
      <c r="E19" s="69">
        <f>Science!G19</f>
        <v>0.25</v>
      </c>
      <c r="F19" s="243">
        <f>C19*D19*(1+E19)</f>
        <v>3.75</v>
      </c>
      <c r="G19" s="251" t="s">
        <v>296</v>
      </c>
      <c r="H19" s="252">
        <v>0.46</v>
      </c>
      <c r="I19" s="252">
        <v>0.45</v>
      </c>
      <c r="J19" s="252">
        <v>0.66</v>
      </c>
      <c r="K19" s="252">
        <v>0.6</v>
      </c>
      <c r="L19" s="252">
        <v>0</v>
      </c>
      <c r="M19" s="253">
        <v>1.29</v>
      </c>
      <c r="N19" s="254">
        <f t="shared" si="5"/>
        <v>2.25</v>
      </c>
      <c r="O19" s="150">
        <f t="shared" si="6"/>
        <v>0</v>
      </c>
      <c r="P19" s="150">
        <f t="shared" si="7"/>
        <v>4.8375</v>
      </c>
      <c r="Q19" s="255">
        <f>F19*(H19^2+I19^2)/8</f>
        <v>0.194109375</v>
      </c>
      <c r="R19" s="256">
        <f t="shared" si="4"/>
        <v>0.23317968750000004</v>
      </c>
      <c r="S19" s="257">
        <f t="shared" si="4"/>
        <v>0.23317968750000004</v>
      </c>
      <c r="T19" s="258">
        <f>$F19*((L19-L$69)^2+(M19-M$69)^2)</f>
        <v>0.38077912979744943</v>
      </c>
      <c r="U19" s="258">
        <f>$F19*((K19-K$69)^2+(M19-M$69)^2)</f>
        <v>1.5705484880494363</v>
      </c>
      <c r="V19" s="259">
        <f>$F19*((K19-K$69)^2+(L19-L$69)^2)</f>
        <v>1.1897693582519868</v>
      </c>
      <c r="W19" s="258">
        <f t="shared" si="3"/>
        <v>0.5748885047974495</v>
      </c>
      <c r="X19" s="258">
        <f t="shared" si="3"/>
        <v>1.8037281755494363</v>
      </c>
      <c r="Y19" s="259">
        <f t="shared" si="3"/>
        <v>1.4229490457519869</v>
      </c>
    </row>
    <row r="20" spans="2:25" ht="13.5" thickBot="1">
      <c r="B20" s="74" t="s">
        <v>160</v>
      </c>
      <c r="C20" s="27">
        <f>Science!D20</f>
        <v>1</v>
      </c>
      <c r="D20" s="72">
        <f>Science!E20</f>
        <v>0.2</v>
      </c>
      <c r="E20" s="69">
        <f>Science!G20</f>
        <v>0.25</v>
      </c>
      <c r="F20" s="243">
        <f>C20*D20*(1+E20)</f>
        <v>0.25</v>
      </c>
      <c r="G20" s="251" t="s">
        <v>296</v>
      </c>
      <c r="H20" s="252">
        <v>0.46</v>
      </c>
      <c r="I20" s="252">
        <v>0.45</v>
      </c>
      <c r="J20" s="252">
        <v>0.66</v>
      </c>
      <c r="K20" s="252">
        <v>0.6</v>
      </c>
      <c r="L20" s="252">
        <v>0</v>
      </c>
      <c r="M20" s="253">
        <v>1.29</v>
      </c>
      <c r="N20" s="254">
        <f t="shared" si="5"/>
        <v>0.15</v>
      </c>
      <c r="O20" s="150">
        <f t="shared" si="6"/>
        <v>0</v>
      </c>
      <c r="P20" s="150">
        <f t="shared" si="7"/>
        <v>0.3225</v>
      </c>
      <c r="Q20" s="255">
        <f>F20*(H20^2+I20^2)/8</f>
        <v>0.012940625</v>
      </c>
      <c r="R20" s="256">
        <f t="shared" si="4"/>
        <v>0.015545312500000002</v>
      </c>
      <c r="S20" s="257">
        <f t="shared" si="4"/>
        <v>0.015545312500000002</v>
      </c>
      <c r="T20" s="258">
        <f>$F20*((L20-L$69)^2+(M20-M$69)^2)</f>
        <v>0.025385275319829963</v>
      </c>
      <c r="U20" s="258">
        <f>$F20*((K20-K$69)^2+(M20-M$69)^2)</f>
        <v>0.10470323253662908</v>
      </c>
      <c r="V20" s="259">
        <f>$F20*((K20-K$69)^2+(L20-L$69)^2)</f>
        <v>0.07931795721679911</v>
      </c>
      <c r="W20" s="258">
        <f t="shared" si="3"/>
        <v>0.038325900319829964</v>
      </c>
      <c r="X20" s="258">
        <f t="shared" si="3"/>
        <v>0.12024854503662909</v>
      </c>
      <c r="Y20" s="259">
        <f t="shared" si="3"/>
        <v>0.09486326971679912</v>
      </c>
    </row>
    <row r="21" spans="1:25" ht="13.5" thickBot="1">
      <c r="A21" s="139" t="s">
        <v>244</v>
      </c>
      <c r="B21" s="269"/>
      <c r="C21" s="270"/>
      <c r="D21" s="271"/>
      <c r="E21" s="272"/>
      <c r="F21" s="267"/>
      <c r="G21" s="251"/>
      <c r="H21" s="252"/>
      <c r="I21" s="252"/>
      <c r="J21" s="252"/>
      <c r="K21" s="252"/>
      <c r="L21" s="252"/>
      <c r="M21" s="253"/>
      <c r="N21" s="254"/>
      <c r="O21" s="150"/>
      <c r="P21" s="150"/>
      <c r="Q21" s="255"/>
      <c r="R21" s="256"/>
      <c r="S21" s="257"/>
      <c r="T21" s="258"/>
      <c r="U21" s="258"/>
      <c r="V21" s="259"/>
      <c r="W21" s="258"/>
      <c r="X21" s="258"/>
      <c r="Y21" s="259"/>
    </row>
    <row r="22" spans="1:25" ht="12.75">
      <c r="A22" s="70"/>
      <c r="B22" s="75" t="s">
        <v>305</v>
      </c>
      <c r="C22" s="27">
        <f>Science!D23</f>
        <v>1</v>
      </c>
      <c r="D22" s="72">
        <f>Science!E23</f>
        <v>12</v>
      </c>
      <c r="E22" s="69">
        <f>Science!G23</f>
        <v>0.25</v>
      </c>
      <c r="F22" s="243">
        <f>C22*D22*(1+E22)</f>
        <v>15</v>
      </c>
      <c r="G22" s="251" t="s">
        <v>296</v>
      </c>
      <c r="H22" s="252">
        <v>0.18</v>
      </c>
      <c r="I22" s="252">
        <v>0</v>
      </c>
      <c r="J22" s="252">
        <v>0.8</v>
      </c>
      <c r="K22" s="252">
        <v>0</v>
      </c>
      <c r="L22" s="252">
        <v>0</v>
      </c>
      <c r="M22" s="253">
        <v>0.65</v>
      </c>
      <c r="N22" s="254">
        <f>F22*K22</f>
        <v>0</v>
      </c>
      <c r="O22" s="150">
        <f>F22*L22</f>
        <v>0</v>
      </c>
      <c r="P22" s="150">
        <f>$F22*M22</f>
        <v>9.75</v>
      </c>
      <c r="Q22" s="255">
        <f>F22*(H22^2+I22^2)/8</f>
        <v>0.06075</v>
      </c>
      <c r="R22" s="256">
        <f t="shared" si="4"/>
        <v>0.8303750000000001</v>
      </c>
      <c r="S22" s="257">
        <f t="shared" si="4"/>
        <v>0.8303750000000001</v>
      </c>
      <c r="T22" s="258">
        <f aca="true" t="shared" si="9" ref="T22:T27">$F22*((L22-L$69)^2+(M22-M$69)^2)</f>
        <v>13.785295298500555</v>
      </c>
      <c r="U22" s="258">
        <f aca="true" t="shared" si="10" ref="U22:U27">$F22*((K22-K$69)^2+(M22-M$69)^2)</f>
        <v>13.805532928406196</v>
      </c>
      <c r="V22" s="259">
        <f aca="true" t="shared" si="11" ref="V22:V27">$F22*((K22-K$69)^2+(L22-L$69)^2)</f>
        <v>0.02023762990563855</v>
      </c>
      <c r="W22" s="258">
        <f>Q22+T22</f>
        <v>13.846045298500556</v>
      </c>
      <c r="X22" s="258">
        <f>R22+U22</f>
        <v>14.635907928406196</v>
      </c>
      <c r="Y22" s="259">
        <f>S22+V22</f>
        <v>0.8506126299056387</v>
      </c>
    </row>
    <row r="23" spans="1:25" ht="12.75">
      <c r="A23" s="82"/>
      <c r="B23" s="80" t="s">
        <v>127</v>
      </c>
      <c r="C23" s="27">
        <f>Science!D24</f>
        <v>1</v>
      </c>
      <c r="D23" s="72">
        <f>Science!E24</f>
        <v>18</v>
      </c>
      <c r="E23" s="69">
        <f>Science!G24</f>
        <v>0.2</v>
      </c>
      <c r="F23" s="243">
        <f>C23*D23*(1+E23)</f>
        <v>21.599999999999998</v>
      </c>
      <c r="G23" s="251" t="s">
        <v>296</v>
      </c>
      <c r="H23" s="252">
        <v>0.46</v>
      </c>
      <c r="I23" s="252">
        <v>0.45</v>
      </c>
      <c r="J23" s="252">
        <v>0.15</v>
      </c>
      <c r="K23" s="252">
        <v>0</v>
      </c>
      <c r="L23" s="252">
        <v>0</v>
      </c>
      <c r="M23" s="253">
        <v>0.9</v>
      </c>
      <c r="N23" s="254">
        <f t="shared" si="5"/>
        <v>0</v>
      </c>
      <c r="O23" s="150">
        <f t="shared" si="6"/>
        <v>0</v>
      </c>
      <c r="P23" s="150">
        <f t="shared" si="7"/>
        <v>19.439999999999998</v>
      </c>
      <c r="Q23" s="255">
        <f>F23*(H23^2+I23^2)/8</f>
        <v>1.11807</v>
      </c>
      <c r="R23" s="256">
        <f t="shared" si="4"/>
        <v>0.599535</v>
      </c>
      <c r="S23" s="257">
        <f t="shared" si="4"/>
        <v>0.599535</v>
      </c>
      <c r="T23" s="258">
        <f t="shared" si="9"/>
        <v>10.847349666478497</v>
      </c>
      <c r="U23" s="258">
        <f t="shared" si="10"/>
        <v>10.876491853542618</v>
      </c>
      <c r="V23" s="259">
        <f t="shared" si="11"/>
        <v>0.029142187064119512</v>
      </c>
      <c r="W23" s="258">
        <f aca="true" t="shared" si="12" ref="W23:Y66">Q23+T23</f>
        <v>11.965419666478496</v>
      </c>
      <c r="X23" s="258">
        <f t="shared" si="12"/>
        <v>11.476026853542617</v>
      </c>
      <c r="Y23" s="259">
        <f t="shared" si="12"/>
        <v>0.6286771870641196</v>
      </c>
    </row>
    <row r="24" spans="1:25" ht="12.75">
      <c r="A24" s="82"/>
      <c r="B24" s="273" t="s">
        <v>128</v>
      </c>
      <c r="C24" s="27">
        <f>Science!D25</f>
        <v>1</v>
      </c>
      <c r="D24" s="72">
        <f>Science!E25</f>
        <v>8</v>
      </c>
      <c r="E24" s="69">
        <f>Science!G25</f>
        <v>0.25</v>
      </c>
      <c r="F24" s="243">
        <f>C24*D24*(1+E24)</f>
        <v>10</v>
      </c>
      <c r="G24" s="251" t="s">
        <v>296</v>
      </c>
      <c r="H24" s="252">
        <v>0.46</v>
      </c>
      <c r="I24" s="252">
        <v>0.45</v>
      </c>
      <c r="J24" s="252">
        <v>0.15</v>
      </c>
      <c r="K24" s="252">
        <v>0</v>
      </c>
      <c r="L24" s="252">
        <v>0</v>
      </c>
      <c r="M24" s="253">
        <v>0.9</v>
      </c>
      <c r="N24" s="254">
        <f t="shared" si="5"/>
        <v>0</v>
      </c>
      <c r="O24" s="150">
        <f t="shared" si="6"/>
        <v>0</v>
      </c>
      <c r="P24" s="150">
        <f t="shared" si="7"/>
        <v>9</v>
      </c>
      <c r="Q24" s="255">
        <f>F24*(H24^2+I24^2)/8</f>
        <v>0.517625</v>
      </c>
      <c r="R24" s="256">
        <f aca="true" t="shared" si="13" ref="R24:S26">$F24*(($H24^2+$I24^2)/16+$J24^2/12)</f>
        <v>0.27756250000000005</v>
      </c>
      <c r="S24" s="257">
        <f t="shared" si="13"/>
        <v>0.27756250000000005</v>
      </c>
      <c r="T24" s="258">
        <f t="shared" si="9"/>
        <v>5.0219211418881935</v>
      </c>
      <c r="U24" s="258">
        <f t="shared" si="10"/>
        <v>5.03541289515862</v>
      </c>
      <c r="V24" s="259">
        <f t="shared" si="11"/>
        <v>0.013491753270425701</v>
      </c>
      <c r="W24" s="258">
        <f t="shared" si="12"/>
        <v>5.539546141888193</v>
      </c>
      <c r="X24" s="258">
        <f t="shared" si="12"/>
        <v>5.31297539515862</v>
      </c>
      <c r="Y24" s="259">
        <f t="shared" si="12"/>
        <v>0.2910542532704257</v>
      </c>
    </row>
    <row r="25" spans="1:25" ht="12.75">
      <c r="A25" s="83"/>
      <c r="B25" s="273" t="s">
        <v>129</v>
      </c>
      <c r="C25" s="27">
        <f>Science!D26</f>
        <v>1</v>
      </c>
      <c r="D25" s="72">
        <f>Science!E26</f>
        <v>8</v>
      </c>
      <c r="E25" s="69">
        <f>Science!G26</f>
        <v>0.25</v>
      </c>
      <c r="F25" s="243">
        <f>C25*D25*(1+E25)</f>
        <v>10</v>
      </c>
      <c r="G25" s="251" t="s">
        <v>296</v>
      </c>
      <c r="H25" s="252">
        <v>0.46</v>
      </c>
      <c r="I25" s="252">
        <v>0.45</v>
      </c>
      <c r="J25" s="252">
        <v>0.15</v>
      </c>
      <c r="K25" s="252">
        <v>0</v>
      </c>
      <c r="L25" s="252">
        <v>0</v>
      </c>
      <c r="M25" s="253">
        <v>0.9</v>
      </c>
      <c r="N25" s="254">
        <f t="shared" si="5"/>
        <v>0</v>
      </c>
      <c r="O25" s="150">
        <f t="shared" si="6"/>
        <v>0</v>
      </c>
      <c r="P25" s="150">
        <f t="shared" si="7"/>
        <v>9</v>
      </c>
      <c r="Q25" s="255">
        <f>F25*(H25^2+I25^2)/8</f>
        <v>0.517625</v>
      </c>
      <c r="R25" s="256">
        <f t="shared" si="13"/>
        <v>0.27756250000000005</v>
      </c>
      <c r="S25" s="257">
        <f t="shared" si="13"/>
        <v>0.27756250000000005</v>
      </c>
      <c r="T25" s="258">
        <f t="shared" si="9"/>
        <v>5.0219211418881935</v>
      </c>
      <c r="U25" s="258">
        <f t="shared" si="10"/>
        <v>5.03541289515862</v>
      </c>
      <c r="V25" s="259">
        <f t="shared" si="11"/>
        <v>0.013491753270425701</v>
      </c>
      <c r="W25" s="258">
        <f t="shared" si="12"/>
        <v>5.539546141888193</v>
      </c>
      <c r="X25" s="258">
        <f t="shared" si="12"/>
        <v>5.31297539515862</v>
      </c>
      <c r="Y25" s="259">
        <f t="shared" si="12"/>
        <v>0.2910542532704257</v>
      </c>
    </row>
    <row r="26" spans="1:25" ht="12.75">
      <c r="A26" s="83"/>
      <c r="B26" s="273" t="s">
        <v>138</v>
      </c>
      <c r="C26" s="27">
        <f>Science!D27</f>
        <v>1</v>
      </c>
      <c r="D26" s="72">
        <f>Science!E27</f>
        <v>1.6</v>
      </c>
      <c r="E26" s="69">
        <f>Science!G27</f>
        <v>0.25</v>
      </c>
      <c r="F26" s="243">
        <f>C26*D26*(1+E26)</f>
        <v>2</v>
      </c>
      <c r="G26" s="251" t="s">
        <v>296</v>
      </c>
      <c r="H26" s="252">
        <v>0.46</v>
      </c>
      <c r="I26" s="252">
        <v>0.45</v>
      </c>
      <c r="J26" s="252">
        <v>0.15</v>
      </c>
      <c r="K26" s="252">
        <v>0</v>
      </c>
      <c r="L26" s="252">
        <v>0</v>
      </c>
      <c r="M26" s="253">
        <v>0.9</v>
      </c>
      <c r="N26" s="274">
        <f t="shared" si="5"/>
        <v>0</v>
      </c>
      <c r="O26" s="258">
        <f t="shared" si="6"/>
        <v>0</v>
      </c>
      <c r="P26" s="258">
        <f t="shared" si="7"/>
        <v>1.8</v>
      </c>
      <c r="Q26" s="255">
        <f>F26*(H26^2+I26^2)/8</f>
        <v>0.103525</v>
      </c>
      <c r="R26" s="256">
        <f t="shared" si="13"/>
        <v>0.055512500000000006</v>
      </c>
      <c r="S26" s="257">
        <f t="shared" si="13"/>
        <v>0.055512500000000006</v>
      </c>
      <c r="T26" s="258">
        <f t="shared" si="9"/>
        <v>1.0043842283776387</v>
      </c>
      <c r="U26" s="258">
        <f t="shared" si="10"/>
        <v>1.007082579031724</v>
      </c>
      <c r="V26" s="259">
        <f t="shared" si="11"/>
        <v>0.00269835065408514</v>
      </c>
      <c r="W26" s="258">
        <f t="shared" si="12"/>
        <v>1.1079092283776388</v>
      </c>
      <c r="X26" s="258">
        <f t="shared" si="12"/>
        <v>1.062595079031724</v>
      </c>
      <c r="Y26" s="259">
        <f t="shared" si="12"/>
        <v>0.05821085065408515</v>
      </c>
    </row>
    <row r="27" spans="1:25" ht="13.5" thickBot="1">
      <c r="A27" s="83"/>
      <c r="B27" s="74" t="s">
        <v>131</v>
      </c>
      <c r="C27" s="27" t="str">
        <f>Science!D28</f>
        <v>as reqd</v>
      </c>
      <c r="D27" s="72">
        <f>Science!E28</f>
        <v>10</v>
      </c>
      <c r="E27" s="69">
        <f>Science!G28</f>
        <v>0.25</v>
      </c>
      <c r="F27" s="243">
        <f>D27*(1+E27)</f>
        <v>12.5</v>
      </c>
      <c r="G27" s="251" t="s">
        <v>298</v>
      </c>
      <c r="H27" s="252">
        <v>0.46</v>
      </c>
      <c r="I27" s="252">
        <v>0.45</v>
      </c>
      <c r="J27" s="252">
        <v>0.3</v>
      </c>
      <c r="K27" s="252">
        <v>0</v>
      </c>
      <c r="L27" s="252">
        <v>0</v>
      </c>
      <c r="M27" s="253">
        <v>0.7</v>
      </c>
      <c r="N27" s="274">
        <f t="shared" si="5"/>
        <v>0</v>
      </c>
      <c r="O27" s="258">
        <f t="shared" si="6"/>
        <v>0</v>
      </c>
      <c r="P27" s="258">
        <f t="shared" si="7"/>
        <v>8.75</v>
      </c>
      <c r="Q27" s="255">
        <f>$F27*($H27^2/16+$J27^2/12)</f>
        <v>0.25906250000000003</v>
      </c>
      <c r="R27" s="256">
        <f>$F27*($H27^2/16+$J27^2/12)</f>
        <v>0.25906250000000003</v>
      </c>
      <c r="S27" s="257">
        <f>F27*(H27^2+I27^2)/8</f>
        <v>0.6470312500000001</v>
      </c>
      <c r="T27" s="258">
        <f t="shared" si="9"/>
        <v>10.320677151139087</v>
      </c>
      <c r="U27" s="258">
        <f t="shared" si="10"/>
        <v>10.33754184272712</v>
      </c>
      <c r="V27" s="259">
        <f t="shared" si="11"/>
        <v>0.016864691588032128</v>
      </c>
      <c r="W27" s="258">
        <f t="shared" si="12"/>
        <v>10.579739651139088</v>
      </c>
      <c r="X27" s="258">
        <f t="shared" si="12"/>
        <v>10.59660434272712</v>
      </c>
      <c r="Y27" s="259">
        <f t="shared" si="12"/>
        <v>0.6638959415880322</v>
      </c>
    </row>
    <row r="28" spans="1:25" ht="13.5" thickBot="1">
      <c r="A28" s="139" t="s">
        <v>231</v>
      </c>
      <c r="B28" s="135"/>
      <c r="C28" s="270"/>
      <c r="D28" s="271"/>
      <c r="E28" s="272"/>
      <c r="F28" s="267"/>
      <c r="G28" s="251"/>
      <c r="H28" s="252"/>
      <c r="I28" s="252"/>
      <c r="J28" s="252"/>
      <c r="K28" s="252"/>
      <c r="L28" s="252"/>
      <c r="M28" s="253"/>
      <c r="N28" s="274"/>
      <c r="O28" s="258"/>
      <c r="P28" s="258"/>
      <c r="Q28" s="255"/>
      <c r="R28" s="256"/>
      <c r="S28" s="257"/>
      <c r="T28" s="258"/>
      <c r="U28" s="258"/>
      <c r="V28" s="259"/>
      <c r="W28" s="258"/>
      <c r="X28" s="258"/>
      <c r="Y28" s="259"/>
    </row>
    <row r="29" spans="2:25" ht="12.75">
      <c r="B29" s="275" t="s">
        <v>115</v>
      </c>
      <c r="C29" s="27">
        <f>Science!D31</f>
        <v>2</v>
      </c>
      <c r="D29" s="72">
        <f>Science!E31</f>
        <v>15</v>
      </c>
      <c r="E29" s="69">
        <f>Science!G31</f>
        <v>0.2</v>
      </c>
      <c r="F29" s="243">
        <f>C29*D29*(1+E29)</f>
        <v>36</v>
      </c>
      <c r="G29" s="251" t="s">
        <v>298</v>
      </c>
      <c r="H29" s="252">
        <v>1.25</v>
      </c>
      <c r="I29" s="252">
        <v>0.75</v>
      </c>
      <c r="J29" s="252">
        <v>0.2</v>
      </c>
      <c r="K29" s="252">
        <v>0</v>
      </c>
      <c r="L29" s="252">
        <v>0</v>
      </c>
      <c r="M29" s="253">
        <v>0.9</v>
      </c>
      <c r="N29" s="274">
        <f t="shared" si="5"/>
        <v>0</v>
      </c>
      <c r="O29" s="258">
        <f t="shared" si="6"/>
        <v>0</v>
      </c>
      <c r="P29" s="258">
        <f t="shared" si="7"/>
        <v>32.4</v>
      </c>
      <c r="Q29" s="255">
        <f aca="true" t="shared" si="14" ref="Q29:R33">$F29*($H29^2/16+$J29^2/12)</f>
        <v>3.6356249999999997</v>
      </c>
      <c r="R29" s="256">
        <f t="shared" si="14"/>
        <v>3.6356249999999997</v>
      </c>
      <c r="S29" s="257">
        <f>F29*(H29^2+I29^2)/8</f>
        <v>9.5625</v>
      </c>
      <c r="T29" s="258">
        <f>$F29*((L29-L$69)^2+(M29-M$69)^2)</f>
        <v>18.078916110797497</v>
      </c>
      <c r="U29" s="258">
        <f>$F29*((K29-K$69)^2+(M29-M$69)^2)</f>
        <v>18.12748642257103</v>
      </c>
      <c r="V29" s="259">
        <f>$F29*((K29-K$69)^2+(L29-L$69)^2)</f>
        <v>0.04857031177353252</v>
      </c>
      <c r="W29" s="258">
        <f t="shared" si="12"/>
        <v>21.714541110797498</v>
      </c>
      <c r="X29" s="258">
        <f t="shared" si="12"/>
        <v>21.763111422571033</v>
      </c>
      <c r="Y29" s="259">
        <f t="shared" si="12"/>
        <v>9.611070311773533</v>
      </c>
    </row>
    <row r="30" spans="2:25" ht="12.75">
      <c r="B30" s="276" t="s">
        <v>114</v>
      </c>
      <c r="C30" s="27">
        <f>Science!D32</f>
        <v>2</v>
      </c>
      <c r="D30" s="72">
        <f>Science!E32</f>
        <v>3</v>
      </c>
      <c r="E30" s="69">
        <f>Science!G32</f>
        <v>0.25</v>
      </c>
      <c r="F30" s="243">
        <f>C30*D30*(1+E30)</f>
        <v>7.5</v>
      </c>
      <c r="G30" s="251" t="s">
        <v>298</v>
      </c>
      <c r="H30" s="252">
        <v>1.25</v>
      </c>
      <c r="I30" s="252">
        <v>0.75</v>
      </c>
      <c r="J30" s="252">
        <v>0.2</v>
      </c>
      <c r="K30" s="252">
        <v>0</v>
      </c>
      <c r="L30" s="252">
        <v>0</v>
      </c>
      <c r="M30" s="253">
        <v>0.9</v>
      </c>
      <c r="N30" s="274">
        <f t="shared" si="5"/>
        <v>0</v>
      </c>
      <c r="O30" s="258">
        <f t="shared" si="6"/>
        <v>0</v>
      </c>
      <c r="P30" s="258">
        <f t="shared" si="7"/>
        <v>6.75</v>
      </c>
      <c r="Q30" s="255">
        <f t="shared" si="14"/>
        <v>0.7574218749999999</v>
      </c>
      <c r="R30" s="256">
        <f t="shared" si="14"/>
        <v>0.7574218749999999</v>
      </c>
      <c r="S30" s="257">
        <f>F30*(H30^2+I30^2)/8</f>
        <v>1.9921875</v>
      </c>
      <c r="T30" s="258">
        <f>$F30*((L30-L$69)^2+(M30-M$69)^2)</f>
        <v>3.7664408564161453</v>
      </c>
      <c r="U30" s="258">
        <f>$F30*((K30-K$69)^2+(M30-M$69)^2)</f>
        <v>3.7765596713689646</v>
      </c>
      <c r="V30" s="259">
        <f>$F30*((K30-K$69)^2+(L30-L$69)^2)</f>
        <v>0.010118814952819275</v>
      </c>
      <c r="W30" s="258">
        <f t="shared" si="12"/>
        <v>4.523862731416145</v>
      </c>
      <c r="X30" s="258">
        <f t="shared" si="12"/>
        <v>4.533981546368965</v>
      </c>
      <c r="Y30" s="259">
        <f t="shared" si="12"/>
        <v>2.0023063149528193</v>
      </c>
    </row>
    <row r="31" spans="2:25" ht="12.75">
      <c r="B31" s="77" t="s">
        <v>299</v>
      </c>
      <c r="C31" s="27">
        <f>Science!D33</f>
        <v>1</v>
      </c>
      <c r="D31" s="72">
        <f>Science!E33</f>
        <v>4.53</v>
      </c>
      <c r="E31" s="69">
        <f>Science!G33</f>
        <v>0.25</v>
      </c>
      <c r="F31" s="243">
        <f>C31*D31*(1+E31)</f>
        <v>5.6625000000000005</v>
      </c>
      <c r="G31" s="251" t="s">
        <v>298</v>
      </c>
      <c r="H31" s="252">
        <v>1.25</v>
      </c>
      <c r="I31" s="252">
        <v>0.75</v>
      </c>
      <c r="J31" s="252">
        <v>0.2</v>
      </c>
      <c r="K31" s="252">
        <v>0</v>
      </c>
      <c r="L31" s="252">
        <v>0</v>
      </c>
      <c r="M31" s="253">
        <v>0.9</v>
      </c>
      <c r="N31" s="274">
        <f t="shared" si="5"/>
        <v>0</v>
      </c>
      <c r="O31" s="258">
        <f t="shared" si="6"/>
        <v>0</v>
      </c>
      <c r="P31" s="258">
        <f t="shared" si="7"/>
        <v>5.09625</v>
      </c>
      <c r="Q31" s="255">
        <f t="shared" si="14"/>
        <v>0.571853515625</v>
      </c>
      <c r="R31" s="256">
        <f t="shared" si="14"/>
        <v>0.571853515625</v>
      </c>
      <c r="S31" s="257">
        <f>F31*(H31^2+I31^2)/8</f>
        <v>1.5041015625</v>
      </c>
      <c r="T31" s="258">
        <f>$F31*((L31-L$69)^2+(M31-M$69)^2)</f>
        <v>2.84366284659419</v>
      </c>
      <c r="U31" s="258">
        <f>$F31*((K31-K$69)^2+(M31-M$69)^2)</f>
        <v>2.8513025518835686</v>
      </c>
      <c r="V31" s="259">
        <f>$F31*((K31-K$69)^2+(L31-L$69)^2)</f>
        <v>0.007639705289378554</v>
      </c>
      <c r="W31" s="258">
        <f t="shared" si="12"/>
        <v>3.41551636221919</v>
      </c>
      <c r="X31" s="258">
        <f t="shared" si="12"/>
        <v>3.4231560675085686</v>
      </c>
      <c r="Y31" s="259">
        <f t="shared" si="12"/>
        <v>1.5117412677893787</v>
      </c>
    </row>
    <row r="32" spans="2:25" ht="12.75">
      <c r="B32" s="77" t="s">
        <v>300</v>
      </c>
      <c r="C32" s="27">
        <f>Science!D34</f>
        <v>1</v>
      </c>
      <c r="D32" s="72">
        <f>Science!E34</f>
        <v>4.53</v>
      </c>
      <c r="E32" s="69">
        <f>Science!G34</f>
        <v>0.25</v>
      </c>
      <c r="F32" s="243">
        <f>C32*D32*(1+E32)</f>
        <v>5.6625000000000005</v>
      </c>
      <c r="G32" s="251" t="s">
        <v>298</v>
      </c>
      <c r="H32" s="252">
        <v>1.25</v>
      </c>
      <c r="I32" s="252">
        <v>0.75</v>
      </c>
      <c r="J32" s="252">
        <v>0.2</v>
      </c>
      <c r="K32" s="252">
        <v>0</v>
      </c>
      <c r="L32" s="252">
        <v>0</v>
      </c>
      <c r="M32" s="253">
        <v>0.9</v>
      </c>
      <c r="N32" s="274">
        <f t="shared" si="5"/>
        <v>0</v>
      </c>
      <c r="O32" s="258">
        <f t="shared" si="6"/>
        <v>0</v>
      </c>
      <c r="P32" s="258">
        <f t="shared" si="7"/>
        <v>5.09625</v>
      </c>
      <c r="Q32" s="255">
        <f t="shared" si="14"/>
        <v>0.571853515625</v>
      </c>
      <c r="R32" s="256">
        <f t="shared" si="14"/>
        <v>0.571853515625</v>
      </c>
      <c r="S32" s="257">
        <f>F32*(H32^2+I32^2)/8</f>
        <v>1.5041015625</v>
      </c>
      <c r="T32" s="258">
        <f>$F32*((L32-L$69)^2+(M32-M$69)^2)</f>
        <v>2.84366284659419</v>
      </c>
      <c r="U32" s="258">
        <f>$F32*((K32-K$69)^2+(M32-M$69)^2)</f>
        <v>2.8513025518835686</v>
      </c>
      <c r="V32" s="259">
        <f>$F32*((K32-K$69)^2+(L32-L$69)^2)</f>
        <v>0.007639705289378554</v>
      </c>
      <c r="W32" s="258">
        <f t="shared" si="12"/>
        <v>3.41551636221919</v>
      </c>
      <c r="X32" s="258">
        <f t="shared" si="12"/>
        <v>3.4231560675085686</v>
      </c>
      <c r="Y32" s="259">
        <f t="shared" si="12"/>
        <v>1.5117412677893787</v>
      </c>
    </row>
    <row r="33" spans="2:25" ht="13.5" thickBot="1">
      <c r="B33" s="120" t="s">
        <v>119</v>
      </c>
      <c r="C33" s="27">
        <f>Science!D35</f>
        <v>1</v>
      </c>
      <c r="D33" s="72">
        <f>Science!E35</f>
        <v>10</v>
      </c>
      <c r="E33" s="69">
        <f>Science!G35</f>
        <v>0.25</v>
      </c>
      <c r="F33" s="243">
        <f>C33*D33*(1+E33)</f>
        <v>12.5</v>
      </c>
      <c r="G33" s="251" t="s">
        <v>298</v>
      </c>
      <c r="H33" s="252">
        <v>0.46</v>
      </c>
      <c r="I33" s="252">
        <v>0.45</v>
      </c>
      <c r="J33" s="252">
        <v>0.2</v>
      </c>
      <c r="K33" s="252">
        <v>0.3</v>
      </c>
      <c r="L33" s="252">
        <v>0</v>
      </c>
      <c r="M33" s="253">
        <v>1.29</v>
      </c>
      <c r="N33" s="274">
        <f t="shared" si="5"/>
        <v>3.75</v>
      </c>
      <c r="O33" s="258">
        <f t="shared" si="6"/>
        <v>0</v>
      </c>
      <c r="P33" s="258">
        <f t="shared" si="7"/>
        <v>16.125</v>
      </c>
      <c r="Q33" s="255">
        <f t="shared" si="14"/>
        <v>0.2069791666666667</v>
      </c>
      <c r="R33" s="256">
        <f t="shared" si="14"/>
        <v>0.2069791666666667</v>
      </c>
      <c r="S33" s="257">
        <f>F33*(H33^2+I33^2)/8</f>
        <v>0.6470312500000001</v>
      </c>
      <c r="T33" s="258">
        <f>$F33*((L33-L$69)^2+(M33-M$69)^2)</f>
        <v>1.2692637659914983</v>
      </c>
      <c r="U33" s="258">
        <f>$F33*((K33-K$69)^2+(M33-M$69)^2)</f>
        <v>2.1356450422054927</v>
      </c>
      <c r="V33" s="259">
        <f>$F33*((K33-K$69)^2+(L33-L$69)^2)</f>
        <v>0.8663812762139945</v>
      </c>
      <c r="W33" s="258">
        <f t="shared" si="12"/>
        <v>1.476242932658165</v>
      </c>
      <c r="X33" s="258">
        <f t="shared" si="12"/>
        <v>2.3426242088721594</v>
      </c>
      <c r="Y33" s="259">
        <f t="shared" si="12"/>
        <v>1.5134125262139946</v>
      </c>
    </row>
    <row r="34" spans="1:25" ht="13.5" thickBot="1">
      <c r="A34" s="139" t="s">
        <v>130</v>
      </c>
      <c r="B34" s="135"/>
      <c r="C34" s="270"/>
      <c r="D34" s="271"/>
      <c r="E34" s="272"/>
      <c r="F34" s="267"/>
      <c r="G34" s="251"/>
      <c r="H34" s="252"/>
      <c r="I34" s="252"/>
      <c r="J34" s="252"/>
      <c r="K34" s="252"/>
      <c r="L34" s="252"/>
      <c r="M34" s="253"/>
      <c r="N34" s="274"/>
      <c r="O34" s="258"/>
      <c r="P34" s="258"/>
      <c r="Q34" s="255"/>
      <c r="R34" s="256"/>
      <c r="S34" s="257"/>
      <c r="T34" s="258"/>
      <c r="U34" s="258"/>
      <c r="V34" s="259"/>
      <c r="W34" s="258"/>
      <c r="X34" s="258"/>
      <c r="Y34" s="259"/>
    </row>
    <row r="35" spans="1:25" ht="12.75">
      <c r="A35" s="10"/>
      <c r="B35" s="80" t="s">
        <v>153</v>
      </c>
      <c r="C35" s="27">
        <f>Science!D38</f>
        <v>1</v>
      </c>
      <c r="D35" s="72">
        <f>Science!E38</f>
        <v>32.4</v>
      </c>
      <c r="E35" s="69">
        <f>Science!G38</f>
        <v>0.25</v>
      </c>
      <c r="F35" s="243">
        <f>C35*D35*(1+E35)</f>
        <v>40.5</v>
      </c>
      <c r="G35" s="251" t="s">
        <v>296</v>
      </c>
      <c r="H35" s="252">
        <v>1.6</v>
      </c>
      <c r="I35" s="252">
        <v>0</v>
      </c>
      <c r="J35" s="252">
        <v>0.15</v>
      </c>
      <c r="K35" s="252">
        <v>1.2</v>
      </c>
      <c r="L35" s="252">
        <v>0</v>
      </c>
      <c r="M35" s="253">
        <v>1.29</v>
      </c>
      <c r="N35" s="274">
        <f t="shared" si="5"/>
        <v>48.6</v>
      </c>
      <c r="O35" s="258">
        <f t="shared" si="6"/>
        <v>0</v>
      </c>
      <c r="P35" s="258">
        <f t="shared" si="7"/>
        <v>52.245000000000005</v>
      </c>
      <c r="Q35" s="255">
        <f>F35*(H35^2+I35^2)/8</f>
        <v>12.960000000000003</v>
      </c>
      <c r="R35" s="256">
        <f aca="true" t="shared" si="15" ref="R35:S37">$F35*(($H35^2+$I35^2)/16+$J35^2/12)</f>
        <v>6.555937500000001</v>
      </c>
      <c r="S35" s="257">
        <f t="shared" si="15"/>
        <v>6.555937500000001</v>
      </c>
      <c r="T35" s="258">
        <f>$F35*((L35-L$69)^2+(M35-M$69)^2)</f>
        <v>4.112414601812454</v>
      </c>
      <c r="U35" s="258">
        <f>$F35*((K35-K$69)^2+(M35-M$69)^2)</f>
        <v>58.916791139310156</v>
      </c>
      <c r="V35" s="259">
        <f>$F35*((K35-K$69)^2+(L35-L$69)^2)</f>
        <v>54.804376537497696</v>
      </c>
      <c r="W35" s="258">
        <f t="shared" si="12"/>
        <v>17.072414601812458</v>
      </c>
      <c r="X35" s="258">
        <f t="shared" si="12"/>
        <v>65.47272863931016</v>
      </c>
      <c r="Y35" s="259">
        <f t="shared" si="12"/>
        <v>61.360314037497695</v>
      </c>
    </row>
    <row r="36" spans="1:25" ht="12.75">
      <c r="A36" s="10"/>
      <c r="B36" s="273" t="s">
        <v>182</v>
      </c>
      <c r="C36" s="27">
        <f>Science!D40</f>
        <v>8</v>
      </c>
      <c r="D36" s="72">
        <f>Science!E40</f>
        <v>0.145</v>
      </c>
      <c r="E36" s="69">
        <f>Science!G40</f>
        <v>0.25</v>
      </c>
      <c r="F36" s="243">
        <f>C36*D36*(1+E36)</f>
        <v>1.45</v>
      </c>
      <c r="G36" s="251" t="s">
        <v>296</v>
      </c>
      <c r="H36" s="252">
        <v>0.65</v>
      </c>
      <c r="I36" s="252">
        <v>0.26</v>
      </c>
      <c r="J36" s="252">
        <v>0.2</v>
      </c>
      <c r="K36" s="252">
        <v>1.1</v>
      </c>
      <c r="L36" s="252">
        <v>0</v>
      </c>
      <c r="M36" s="253">
        <v>1.29</v>
      </c>
      <c r="N36" s="274">
        <f t="shared" si="5"/>
        <v>1.595</v>
      </c>
      <c r="O36" s="258">
        <f t="shared" si="6"/>
        <v>0</v>
      </c>
      <c r="P36" s="258">
        <f t="shared" si="7"/>
        <v>1.8705</v>
      </c>
      <c r="Q36" s="255">
        <f>F36*(H36^2+I36^2)/8</f>
        <v>0.08883062500000001</v>
      </c>
      <c r="R36" s="256">
        <f t="shared" si="15"/>
        <v>0.04924864583333334</v>
      </c>
      <c r="S36" s="257">
        <f t="shared" si="15"/>
        <v>0.04924864583333334</v>
      </c>
      <c r="T36" s="258">
        <f>$F36*((L36-L$69)^2+(M36-M$69)^2)</f>
        <v>0.14723459685501378</v>
      </c>
      <c r="U36" s="258">
        <f>$F36*((K36-K$69)^2+(M36-M$69)^2)</f>
        <v>1.7865186217401354</v>
      </c>
      <c r="V36" s="259">
        <f>$F36*((K36-K$69)^2+(L36-L$69)^2)</f>
        <v>1.6392840248851215</v>
      </c>
      <c r="W36" s="258">
        <f t="shared" si="12"/>
        <v>0.23606522185501377</v>
      </c>
      <c r="X36" s="258">
        <f t="shared" si="12"/>
        <v>1.8357672675734689</v>
      </c>
      <c r="Y36" s="259">
        <f t="shared" si="12"/>
        <v>1.688532670718455</v>
      </c>
    </row>
    <row r="37" spans="1:25" ht="13.5" thickBot="1">
      <c r="A37" s="10"/>
      <c r="B37" s="74" t="s">
        <v>125</v>
      </c>
      <c r="C37" s="27">
        <f>Science!D41</f>
        <v>6</v>
      </c>
      <c r="D37" s="72">
        <f>Science!E41</f>
        <v>1</v>
      </c>
      <c r="E37" s="69">
        <f>Science!G41</f>
        <v>0.25</v>
      </c>
      <c r="F37" s="243">
        <f>C37*D37*(1+E37)</f>
        <v>7.5</v>
      </c>
      <c r="G37" s="251" t="s">
        <v>296</v>
      </c>
      <c r="H37" s="252">
        <v>0.8</v>
      </c>
      <c r="I37" s="252">
        <v>0.6</v>
      </c>
      <c r="J37" s="252">
        <v>0.2</v>
      </c>
      <c r="K37" s="252">
        <v>1.1</v>
      </c>
      <c r="L37" s="252">
        <v>0</v>
      </c>
      <c r="M37" s="253">
        <v>1.29</v>
      </c>
      <c r="N37" s="274">
        <f t="shared" si="5"/>
        <v>8.25</v>
      </c>
      <c r="O37" s="258">
        <f t="shared" si="6"/>
        <v>0</v>
      </c>
      <c r="P37" s="258">
        <f t="shared" si="7"/>
        <v>9.675</v>
      </c>
      <c r="Q37" s="255">
        <f>F37*(H37^2+I37^2)/8</f>
        <v>0.9375</v>
      </c>
      <c r="R37" s="256">
        <f t="shared" si="15"/>
        <v>0.49374999999999997</v>
      </c>
      <c r="S37" s="257">
        <f t="shared" si="15"/>
        <v>0.49374999999999997</v>
      </c>
      <c r="T37" s="258">
        <f>$F37*((L37-L$69)^2+(M37-M$69)^2)</f>
        <v>0.7615582595948989</v>
      </c>
      <c r="U37" s="258">
        <f>$F37*((K37-K$69)^2+(M37-M$69)^2)</f>
        <v>9.240613560724839</v>
      </c>
      <c r="V37" s="259">
        <f>$F37*((K37-K$69)^2+(L37-L$69)^2)</f>
        <v>8.47905530112994</v>
      </c>
      <c r="W37" s="258">
        <f t="shared" si="12"/>
        <v>1.6990582595948989</v>
      </c>
      <c r="X37" s="258">
        <f t="shared" si="12"/>
        <v>9.734363560724839</v>
      </c>
      <c r="Y37" s="259">
        <f t="shared" si="12"/>
        <v>8.97280530112994</v>
      </c>
    </row>
    <row r="38" spans="1:25" ht="13.5" thickBot="1">
      <c r="A38" s="277" t="s">
        <v>220</v>
      </c>
      <c r="B38" s="278"/>
      <c r="C38" s="266"/>
      <c r="D38" s="279"/>
      <c r="E38" s="19"/>
      <c r="F38" s="267"/>
      <c r="G38" s="251"/>
      <c r="H38" s="252"/>
      <c r="I38" s="252"/>
      <c r="J38" s="252"/>
      <c r="K38" s="252"/>
      <c r="L38" s="252"/>
      <c r="M38" s="253"/>
      <c r="N38" s="274"/>
      <c r="O38" s="258"/>
      <c r="P38" s="258"/>
      <c r="Q38" s="255"/>
      <c r="R38" s="256"/>
      <c r="S38" s="257"/>
      <c r="T38" s="258"/>
      <c r="U38" s="258"/>
      <c r="V38" s="259"/>
      <c r="W38" s="258"/>
      <c r="X38" s="258"/>
      <c r="Y38" s="259"/>
    </row>
    <row r="39" spans="1:25" ht="12.75">
      <c r="A39" s="3"/>
      <c r="B39" s="80" t="s">
        <v>158</v>
      </c>
      <c r="C39" s="27">
        <f>Telescope!F5</f>
        <v>1</v>
      </c>
      <c r="D39" s="72">
        <f>Telescope!G5</f>
        <v>209.1337612792936</v>
      </c>
      <c r="E39" s="69">
        <f>Telescope!I5</f>
        <v>0.15</v>
      </c>
      <c r="F39" s="243">
        <f aca="true" t="shared" si="16" ref="F39:F47">C39*D39*(1+E39)</f>
        <v>240.5038254711876</v>
      </c>
      <c r="G39" s="251" t="s">
        <v>298</v>
      </c>
      <c r="H39" s="252">
        <v>2</v>
      </c>
      <c r="I39" s="252">
        <v>0.38</v>
      </c>
      <c r="J39" s="252">
        <v>0.35</v>
      </c>
      <c r="K39" s="252">
        <v>0</v>
      </c>
      <c r="L39" s="252">
        <v>0</v>
      </c>
      <c r="M39" s="253">
        <v>2.15</v>
      </c>
      <c r="N39" s="274">
        <f t="shared" si="5"/>
        <v>0</v>
      </c>
      <c r="O39" s="258">
        <f t="shared" si="6"/>
        <v>0</v>
      </c>
      <c r="P39" s="258">
        <f t="shared" si="7"/>
        <v>517.0832247630533</v>
      </c>
      <c r="Q39" s="255">
        <f aca="true" t="shared" si="17" ref="Q39:R45">$F39*($H39^2/16+$J39^2/12)</f>
        <v>62.5810995861486</v>
      </c>
      <c r="R39" s="256">
        <f t="shared" si="17"/>
        <v>62.5810995861486</v>
      </c>
      <c r="S39" s="257">
        <f aca="true" t="shared" si="18" ref="S39:S45">F39*(H39^2+I39^2)/8</f>
        <v>124.59300678534875</v>
      </c>
      <c r="T39" s="258">
        <f aca="true" t="shared" si="19" ref="T39:T47">$F39*((L39-L$69)^2+(M39-M$69)^2)</f>
        <v>70.48066874860372</v>
      </c>
      <c r="U39" s="258">
        <f aca="true" t="shared" si="20" ref="U39:U47">$F39*((K39-K$69)^2+(M39-M$69)^2)</f>
        <v>70.8051505759888</v>
      </c>
      <c r="V39" s="259">
        <f aca="true" t="shared" si="21" ref="V39:V47">$F39*((K39-K$69)^2+(L39-L$69)^2)</f>
        <v>0.32448182738507875</v>
      </c>
      <c r="W39" s="258">
        <f t="shared" si="12"/>
        <v>133.06176833475232</v>
      </c>
      <c r="X39" s="258">
        <f t="shared" si="12"/>
        <v>133.3862501621374</v>
      </c>
      <c r="Y39" s="259">
        <f t="shared" si="12"/>
        <v>124.91748861273383</v>
      </c>
    </row>
    <row r="40" spans="1:25" ht="12.75">
      <c r="A40" s="3"/>
      <c r="B40" s="77" t="s">
        <v>170</v>
      </c>
      <c r="C40" s="27">
        <f>Telescope!F6</f>
        <v>3</v>
      </c>
      <c r="D40" s="72">
        <f>Telescope!G6</f>
        <v>9.5</v>
      </c>
      <c r="E40" s="69">
        <f>Telescope!I6</f>
        <v>0.25</v>
      </c>
      <c r="F40" s="243">
        <f t="shared" si="16"/>
        <v>35.625</v>
      </c>
      <c r="G40" s="251" t="s">
        <v>298</v>
      </c>
      <c r="H40" s="252">
        <v>1.6</v>
      </c>
      <c r="I40" s="252">
        <v>1.4</v>
      </c>
      <c r="J40" s="252">
        <v>0.2</v>
      </c>
      <c r="K40" s="252">
        <v>0</v>
      </c>
      <c r="L40" s="252">
        <v>0</v>
      </c>
      <c r="M40" s="253">
        <v>1.95</v>
      </c>
      <c r="N40" s="274">
        <f t="shared" si="5"/>
        <v>0</v>
      </c>
      <c r="O40" s="258">
        <f t="shared" si="6"/>
        <v>0</v>
      </c>
      <c r="P40" s="258">
        <f t="shared" si="7"/>
        <v>69.46875</v>
      </c>
      <c r="Q40" s="255">
        <f t="shared" si="17"/>
        <v>5.8187500000000005</v>
      </c>
      <c r="R40" s="256">
        <f t="shared" si="17"/>
        <v>5.8187500000000005</v>
      </c>
      <c r="S40" s="257">
        <f t="shared" si="18"/>
        <v>20.128125</v>
      </c>
      <c r="T40" s="258">
        <f t="shared" si="19"/>
        <v>4.1508935509357485</v>
      </c>
      <c r="U40" s="258">
        <f t="shared" si="20"/>
        <v>4.1989579219616395</v>
      </c>
      <c r="V40" s="259">
        <f t="shared" si="21"/>
        <v>0.04806437102589156</v>
      </c>
      <c r="W40" s="258">
        <f t="shared" si="12"/>
        <v>9.96964355093575</v>
      </c>
      <c r="X40" s="258">
        <f t="shared" si="12"/>
        <v>10.017707921961641</v>
      </c>
      <c r="Y40" s="259">
        <f t="shared" si="12"/>
        <v>20.17618937102589</v>
      </c>
    </row>
    <row r="41" spans="1:25" ht="12.75">
      <c r="A41" s="3"/>
      <c r="B41" s="77" t="s">
        <v>155</v>
      </c>
      <c r="C41" s="27">
        <f>Telescope!F9</f>
        <v>1</v>
      </c>
      <c r="D41" s="72">
        <f>Telescope!G9</f>
        <v>3.6964104825843638</v>
      </c>
      <c r="E41" s="69">
        <f>Telescope!I9</f>
        <v>0.2</v>
      </c>
      <c r="F41" s="243">
        <f t="shared" si="16"/>
        <v>4.435692579101237</v>
      </c>
      <c r="G41" s="251" t="s">
        <v>298</v>
      </c>
      <c r="H41" s="252">
        <v>0.42</v>
      </c>
      <c r="I41" s="252">
        <v>0</v>
      </c>
      <c r="J41" s="252">
        <v>0.07</v>
      </c>
      <c r="K41" s="252">
        <v>0</v>
      </c>
      <c r="L41" s="252">
        <v>0</v>
      </c>
      <c r="M41" s="253">
        <v>4.26</v>
      </c>
      <c r="N41" s="274">
        <f t="shared" si="5"/>
        <v>0</v>
      </c>
      <c r="O41" s="258">
        <f t="shared" si="6"/>
        <v>0</v>
      </c>
      <c r="P41" s="258">
        <f t="shared" si="7"/>
        <v>18.896050386971268</v>
      </c>
      <c r="Q41" s="255">
        <f t="shared" si="17"/>
        <v>0.05071475182105747</v>
      </c>
      <c r="R41" s="256">
        <f t="shared" si="17"/>
        <v>0.05071475182105747</v>
      </c>
      <c r="S41" s="257">
        <f t="shared" si="18"/>
        <v>0.09780702136918225</v>
      </c>
      <c r="T41" s="258">
        <f t="shared" si="19"/>
        <v>31.18127559075211</v>
      </c>
      <c r="U41" s="258">
        <f t="shared" si="20"/>
        <v>31.18726011773818</v>
      </c>
      <c r="V41" s="259">
        <f t="shared" si="21"/>
        <v>0.005984526986069212</v>
      </c>
      <c r="W41" s="258">
        <f t="shared" si="12"/>
        <v>31.23199034257317</v>
      </c>
      <c r="X41" s="258">
        <f t="shared" si="12"/>
        <v>31.23797486955924</v>
      </c>
      <c r="Y41" s="259">
        <f t="shared" si="12"/>
        <v>0.10379154835525146</v>
      </c>
    </row>
    <row r="42" spans="1:25" ht="12.75">
      <c r="A42" s="3"/>
      <c r="B42" s="77" t="s">
        <v>169</v>
      </c>
      <c r="C42" s="27">
        <f>Telescope!F10</f>
        <v>1</v>
      </c>
      <c r="D42" s="72">
        <f>Telescope!G10</f>
        <v>11</v>
      </c>
      <c r="E42" s="69">
        <f>Telescope!I10</f>
        <v>0.25</v>
      </c>
      <c r="F42" s="243">
        <f t="shared" si="16"/>
        <v>13.75</v>
      </c>
      <c r="G42" s="251" t="s">
        <v>298</v>
      </c>
      <c r="H42" s="252">
        <v>0.5</v>
      </c>
      <c r="I42" s="252">
        <v>0.4</v>
      </c>
      <c r="J42" s="252">
        <v>0.3</v>
      </c>
      <c r="K42" s="252">
        <v>0</v>
      </c>
      <c r="L42" s="252">
        <v>0</v>
      </c>
      <c r="M42" s="253">
        <v>4.4</v>
      </c>
      <c r="N42" s="274">
        <f t="shared" si="5"/>
        <v>0</v>
      </c>
      <c r="O42" s="258">
        <f t="shared" si="6"/>
        <v>0</v>
      </c>
      <c r="P42" s="258">
        <f t="shared" si="7"/>
        <v>60.50000000000001</v>
      </c>
      <c r="Q42" s="255">
        <f t="shared" si="17"/>
        <v>0.31796875</v>
      </c>
      <c r="R42" s="256">
        <f t="shared" si="17"/>
        <v>0.31796875</v>
      </c>
      <c r="S42" s="257">
        <f t="shared" si="18"/>
        <v>0.7046875</v>
      </c>
      <c r="T42" s="258">
        <f t="shared" si="19"/>
        <v>107.13458388735354</v>
      </c>
      <c r="U42" s="258">
        <f t="shared" si="20"/>
        <v>107.15313504810038</v>
      </c>
      <c r="V42" s="259">
        <f t="shared" si="21"/>
        <v>0.018551160746835337</v>
      </c>
      <c r="W42" s="258">
        <f t="shared" si="12"/>
        <v>107.45255263735355</v>
      </c>
      <c r="X42" s="258">
        <f t="shared" si="12"/>
        <v>107.47110379810039</v>
      </c>
      <c r="Y42" s="259">
        <f t="shared" si="12"/>
        <v>0.7232386607468354</v>
      </c>
    </row>
    <row r="43" spans="1:25" ht="12.75">
      <c r="A43" s="3"/>
      <c r="B43" s="77" t="s">
        <v>171</v>
      </c>
      <c r="C43" s="27">
        <f>Telescope!F11</f>
        <v>1</v>
      </c>
      <c r="D43" s="72">
        <f>Telescope!G11</f>
        <v>3</v>
      </c>
      <c r="E43" s="69">
        <f>Telescope!I11</f>
        <v>0.25</v>
      </c>
      <c r="F43" s="243">
        <f t="shared" si="16"/>
        <v>3.75</v>
      </c>
      <c r="G43" s="251" t="s">
        <v>298</v>
      </c>
      <c r="H43" s="252">
        <v>0.5</v>
      </c>
      <c r="I43" s="252">
        <v>0.4</v>
      </c>
      <c r="J43" s="252">
        <v>0.1</v>
      </c>
      <c r="K43" s="252">
        <v>0</v>
      </c>
      <c r="L43" s="252">
        <v>0</v>
      </c>
      <c r="M43" s="253">
        <v>4.4</v>
      </c>
      <c r="N43" s="274">
        <f t="shared" si="5"/>
        <v>0</v>
      </c>
      <c r="O43" s="258">
        <f t="shared" si="6"/>
        <v>0</v>
      </c>
      <c r="P43" s="258">
        <f t="shared" si="7"/>
        <v>16.5</v>
      </c>
      <c r="Q43" s="255">
        <f t="shared" si="17"/>
        <v>0.061718749999999996</v>
      </c>
      <c r="R43" s="256">
        <f t="shared" si="17"/>
        <v>0.061718749999999996</v>
      </c>
      <c r="S43" s="257">
        <f t="shared" si="18"/>
        <v>0.1921875</v>
      </c>
      <c r="T43" s="258">
        <f t="shared" si="19"/>
        <v>29.21852287836915</v>
      </c>
      <c r="U43" s="258">
        <f t="shared" si="20"/>
        <v>29.22358228584556</v>
      </c>
      <c r="V43" s="259">
        <f t="shared" si="21"/>
        <v>0.005059407476409638</v>
      </c>
      <c r="W43" s="258">
        <f t="shared" si="12"/>
        <v>29.28024162836915</v>
      </c>
      <c r="X43" s="258">
        <f t="shared" si="12"/>
        <v>29.28530103584556</v>
      </c>
      <c r="Y43" s="259">
        <f t="shared" si="12"/>
        <v>0.19724690747640966</v>
      </c>
    </row>
    <row r="44" spans="1:25" ht="12.75">
      <c r="A44" s="3"/>
      <c r="B44" s="77" t="s">
        <v>159</v>
      </c>
      <c r="C44" s="27">
        <f>Telescope!F15</f>
        <v>1</v>
      </c>
      <c r="D44" s="72">
        <f>Telescope!G15</f>
        <v>8.036125874592017</v>
      </c>
      <c r="E44" s="69">
        <f>Telescope!I15</f>
        <v>0.2</v>
      </c>
      <c r="F44" s="243">
        <f t="shared" si="16"/>
        <v>9.64335104951042</v>
      </c>
      <c r="G44" s="251" t="s">
        <v>298</v>
      </c>
      <c r="H44" s="252">
        <v>0.5</v>
      </c>
      <c r="I44" s="252">
        <v>0.2</v>
      </c>
      <c r="J44" s="252">
        <v>0.5</v>
      </c>
      <c r="K44" s="252">
        <v>0.1</v>
      </c>
      <c r="L44" s="252">
        <v>0</v>
      </c>
      <c r="M44" s="253">
        <v>1.29</v>
      </c>
      <c r="N44" s="274">
        <f t="shared" si="5"/>
        <v>0.964335104951042</v>
      </c>
      <c r="O44" s="258">
        <f t="shared" si="6"/>
        <v>0</v>
      </c>
      <c r="P44" s="258">
        <f t="shared" si="7"/>
        <v>12.439922853868442</v>
      </c>
      <c r="Q44" s="255">
        <f t="shared" si="17"/>
        <v>0.35158050701340066</v>
      </c>
      <c r="R44" s="256">
        <f t="shared" si="17"/>
        <v>0.35158050701340066</v>
      </c>
      <c r="S44" s="257">
        <f t="shared" si="18"/>
        <v>0.34957147554475276</v>
      </c>
      <c r="T44" s="258">
        <f t="shared" si="19"/>
        <v>0.979196485590373</v>
      </c>
      <c r="U44" s="258">
        <f t="shared" si="20"/>
        <v>1.0177983465176215</v>
      </c>
      <c r="V44" s="259">
        <f t="shared" si="21"/>
        <v>0.038601860927248634</v>
      </c>
      <c r="W44" s="258">
        <f t="shared" si="12"/>
        <v>1.3307769926037736</v>
      </c>
      <c r="X44" s="258">
        <f t="shared" si="12"/>
        <v>1.369378853531022</v>
      </c>
      <c r="Y44" s="259">
        <f t="shared" si="12"/>
        <v>0.3881733364720014</v>
      </c>
    </row>
    <row r="45" spans="1:25" ht="12.75">
      <c r="A45" s="3"/>
      <c r="B45" s="77" t="s">
        <v>170</v>
      </c>
      <c r="C45" s="27">
        <f>Telescope!F16</f>
        <v>3</v>
      </c>
      <c r="D45" s="72">
        <f>Telescope!G16</f>
        <v>0.163</v>
      </c>
      <c r="E45" s="69">
        <f>Telescope!I16</f>
        <v>0.25</v>
      </c>
      <c r="F45" s="243">
        <f t="shared" si="16"/>
        <v>0.61125</v>
      </c>
      <c r="G45" s="251" t="s">
        <v>298</v>
      </c>
      <c r="H45" s="252">
        <v>0.8</v>
      </c>
      <c r="I45" s="252">
        <v>0.5</v>
      </c>
      <c r="J45" s="252">
        <v>0.2</v>
      </c>
      <c r="K45" s="252">
        <v>0.1</v>
      </c>
      <c r="L45" s="252">
        <v>0</v>
      </c>
      <c r="M45" s="253">
        <v>1.29</v>
      </c>
      <c r="N45" s="274">
        <f t="shared" si="5"/>
        <v>0.061125</v>
      </c>
      <c r="O45" s="258">
        <f t="shared" si="6"/>
        <v>0</v>
      </c>
      <c r="P45" s="258">
        <f t="shared" si="7"/>
        <v>0.7885125</v>
      </c>
      <c r="Q45" s="255">
        <f t="shared" si="17"/>
        <v>0.026487500000000004</v>
      </c>
      <c r="R45" s="256">
        <f t="shared" si="17"/>
        <v>0.026487500000000004</v>
      </c>
      <c r="S45" s="257">
        <f t="shared" si="18"/>
        <v>0.0680015625</v>
      </c>
      <c r="T45" s="258">
        <f t="shared" si="19"/>
        <v>0.06206699815698426</v>
      </c>
      <c r="U45" s="258">
        <f t="shared" si="20"/>
        <v>0.06451380190504222</v>
      </c>
      <c r="V45" s="259">
        <f t="shared" si="21"/>
        <v>0.0024468037480579567</v>
      </c>
      <c r="W45" s="258">
        <f t="shared" si="12"/>
        <v>0.08855449815698427</v>
      </c>
      <c r="X45" s="258">
        <f t="shared" si="12"/>
        <v>0.09100130190504221</v>
      </c>
      <c r="Y45" s="259">
        <f t="shared" si="12"/>
        <v>0.07044836624805796</v>
      </c>
    </row>
    <row r="46" spans="1:25" ht="12.75">
      <c r="A46" s="3"/>
      <c r="B46" s="77" t="s">
        <v>156</v>
      </c>
      <c r="C46" s="27">
        <f>Telescope!F18</f>
        <v>1</v>
      </c>
      <c r="D46" s="72">
        <f>Telescope!G18</f>
        <v>14.255072680589155</v>
      </c>
      <c r="E46" s="69">
        <f>Telescope!I18</f>
        <v>0.2</v>
      </c>
      <c r="F46" s="243">
        <f t="shared" si="16"/>
        <v>17.106087216706985</v>
      </c>
      <c r="G46" s="251" t="s">
        <v>296</v>
      </c>
      <c r="H46" s="252">
        <v>0.68</v>
      </c>
      <c r="I46" s="252">
        <v>0</v>
      </c>
      <c r="J46" s="252">
        <v>0.1</v>
      </c>
      <c r="K46" s="280">
        <v>-0.91</v>
      </c>
      <c r="L46" s="252">
        <v>0</v>
      </c>
      <c r="M46" s="253">
        <v>1.29</v>
      </c>
      <c r="N46" s="274">
        <f t="shared" si="5"/>
        <v>-15.566539367203356</v>
      </c>
      <c r="O46" s="258">
        <f t="shared" si="6"/>
        <v>0</v>
      </c>
      <c r="P46" s="258">
        <f t="shared" si="7"/>
        <v>22.06685250955201</v>
      </c>
      <c r="Q46" s="255">
        <f>F46*(H46^2+I46^2)/8</f>
        <v>0.9887318411256639</v>
      </c>
      <c r="R46" s="256">
        <f>$F46*(($H46^2+$I46^2)/16+$J46^2/12)</f>
        <v>0.5086209932434211</v>
      </c>
      <c r="S46" s="257">
        <f>$F46*(($H46^2+$I46^2)/16+$J46^2/12)</f>
        <v>0.5086209932434211</v>
      </c>
      <c r="T46" s="258">
        <f t="shared" si="19"/>
        <v>1.7369709345645226</v>
      </c>
      <c r="U46" s="258">
        <f t="shared" si="20"/>
        <v>17.069153784316356</v>
      </c>
      <c r="V46" s="259">
        <f t="shared" si="21"/>
        <v>15.332182849751835</v>
      </c>
      <c r="W46" s="258">
        <f t="shared" si="12"/>
        <v>2.7257027756901864</v>
      </c>
      <c r="X46" s="258">
        <f t="shared" si="12"/>
        <v>17.577774777559778</v>
      </c>
      <c r="Y46" s="259">
        <f t="shared" si="12"/>
        <v>15.840803842995255</v>
      </c>
    </row>
    <row r="47" spans="1:25" ht="13.5" thickBot="1">
      <c r="A47" s="3"/>
      <c r="B47" s="136" t="s">
        <v>185</v>
      </c>
      <c r="C47" s="27">
        <f>Telescope!F19</f>
        <v>1</v>
      </c>
      <c r="D47" s="72">
        <f>Telescope!G19</f>
        <v>11</v>
      </c>
      <c r="E47" s="69">
        <f>Telescope!I19</f>
        <v>0.25</v>
      </c>
      <c r="F47" s="243">
        <f t="shared" si="16"/>
        <v>13.75</v>
      </c>
      <c r="G47" s="251" t="s">
        <v>296</v>
      </c>
      <c r="H47" s="252">
        <v>0.8</v>
      </c>
      <c r="I47" s="252">
        <v>0.5</v>
      </c>
      <c r="J47" s="252">
        <v>0.2</v>
      </c>
      <c r="K47" s="280">
        <v>-0.84</v>
      </c>
      <c r="L47" s="252">
        <v>0</v>
      </c>
      <c r="M47" s="253">
        <v>1.29</v>
      </c>
      <c r="N47" s="274">
        <f t="shared" si="5"/>
        <v>-11.549999999999999</v>
      </c>
      <c r="O47" s="258">
        <f t="shared" si="6"/>
        <v>0</v>
      </c>
      <c r="P47" s="258">
        <f t="shared" si="7"/>
        <v>17.7375</v>
      </c>
      <c r="Q47" s="255">
        <f>F47*(H47^2+I47^2)/8</f>
        <v>1.5296875000000003</v>
      </c>
      <c r="R47" s="256">
        <f>$F47*(($H47^2+$I47^2)/16+$J47^2/12)</f>
        <v>0.8106770833333334</v>
      </c>
      <c r="S47" s="257">
        <f>$F47*(($H47^2+$I47^2)/16+$J47^2/12)</f>
        <v>0.8106770833333334</v>
      </c>
      <c r="T47" s="258">
        <f t="shared" si="19"/>
        <v>1.396190142590648</v>
      </c>
      <c r="U47" s="258">
        <f t="shared" si="20"/>
        <v>11.96523022268952</v>
      </c>
      <c r="V47" s="259">
        <f t="shared" si="21"/>
        <v>10.569040080098873</v>
      </c>
      <c r="W47" s="258">
        <f t="shared" si="12"/>
        <v>2.925877642590648</v>
      </c>
      <c r="X47" s="258">
        <f t="shared" si="12"/>
        <v>12.775907306022853</v>
      </c>
      <c r="Y47" s="259">
        <f t="shared" si="12"/>
        <v>11.379717163432206</v>
      </c>
    </row>
    <row r="48" spans="1:25" ht="13.5" thickBot="1">
      <c r="A48" s="277" t="s">
        <v>184</v>
      </c>
      <c r="B48" s="278"/>
      <c r="C48" s="266"/>
      <c r="D48" s="279"/>
      <c r="E48" s="19"/>
      <c r="F48" s="267"/>
      <c r="G48" s="251"/>
      <c r="H48" s="252"/>
      <c r="I48" s="252"/>
      <c r="J48" s="252"/>
      <c r="K48" s="252"/>
      <c r="L48" s="252"/>
      <c r="M48" s="253"/>
      <c r="N48" s="274"/>
      <c r="O48" s="258"/>
      <c r="P48" s="258"/>
      <c r="Q48" s="255"/>
      <c r="R48" s="256"/>
      <c r="S48" s="257"/>
      <c r="T48" s="258"/>
      <c r="U48" s="258"/>
      <c r="V48" s="259"/>
      <c r="W48" s="258"/>
      <c r="X48" s="258"/>
      <c r="Y48" s="259"/>
    </row>
    <row r="49" spans="1:25" ht="12.75">
      <c r="A49" s="3"/>
      <c r="B49" s="80" t="s">
        <v>183</v>
      </c>
      <c r="C49" s="27">
        <f>Telescope!F23</f>
        <v>1</v>
      </c>
      <c r="D49" s="72">
        <f>Telescope!G23</f>
        <v>31.7</v>
      </c>
      <c r="E49" s="69">
        <f>Telescope!I23</f>
        <v>0.2</v>
      </c>
      <c r="F49" s="243">
        <f aca="true" t="shared" si="22" ref="F49:F54">C49*D49*(1+E49)</f>
        <v>38.04</v>
      </c>
      <c r="G49" s="251" t="s">
        <v>298</v>
      </c>
      <c r="H49" s="252">
        <v>1.5</v>
      </c>
      <c r="I49" s="252">
        <v>0</v>
      </c>
      <c r="J49" s="252">
        <v>2.25</v>
      </c>
      <c r="K49" s="252">
        <v>0</v>
      </c>
      <c r="L49" s="252">
        <v>0</v>
      </c>
      <c r="M49" s="253">
        <v>3.35</v>
      </c>
      <c r="N49" s="274">
        <f t="shared" si="5"/>
        <v>0</v>
      </c>
      <c r="O49" s="258">
        <f t="shared" si="6"/>
        <v>0</v>
      </c>
      <c r="P49" s="258">
        <f t="shared" si="7"/>
        <v>127.434</v>
      </c>
      <c r="Q49" s="255">
        <f aca="true" t="shared" si="23" ref="Q49:R66">$F49*($H49^2/16+$J49^2/12)</f>
        <v>21.3975</v>
      </c>
      <c r="R49" s="256">
        <f t="shared" si="23"/>
        <v>21.3975</v>
      </c>
      <c r="S49" s="257">
        <f>F49*(H49^2+I49^2)/8</f>
        <v>10.69875</v>
      </c>
      <c r="T49" s="258">
        <f aca="true" t="shared" si="24" ref="T49:T54">$F49*((L49-L$69)^2+(M49-M$69)^2)</f>
        <v>115.34800366184645</v>
      </c>
      <c r="U49" s="258">
        <f aca="true" t="shared" si="25" ref="U49:U54">$F49*((K49-K$69)^2+(M49-M$69)^2)</f>
        <v>115.39932629128714</v>
      </c>
      <c r="V49" s="259">
        <f aca="true" t="shared" si="26" ref="V49:V54">$F49*((K49-K$69)^2+(L49-L$69)^2)</f>
        <v>0.05132262944069937</v>
      </c>
      <c r="W49" s="258">
        <f t="shared" si="12"/>
        <v>136.74550366184644</v>
      </c>
      <c r="X49" s="258">
        <f t="shared" si="12"/>
        <v>136.79682629128715</v>
      </c>
      <c r="Y49" s="259">
        <f t="shared" si="12"/>
        <v>10.7500726294407</v>
      </c>
    </row>
    <row r="50" spans="1:25" ht="12.75">
      <c r="A50" s="3"/>
      <c r="B50" s="77" t="s">
        <v>178</v>
      </c>
      <c r="C50" s="27">
        <f>Telescope!F26</f>
        <v>1</v>
      </c>
      <c r="D50" s="72">
        <f>Telescope!G26</f>
        <v>92</v>
      </c>
      <c r="E50" s="69">
        <f>Telescope!I26</f>
        <v>0.2</v>
      </c>
      <c r="F50" s="243">
        <f t="shared" si="22"/>
        <v>110.39999999999999</v>
      </c>
      <c r="G50" s="251" t="s">
        <v>298</v>
      </c>
      <c r="H50" s="252">
        <v>1.8</v>
      </c>
      <c r="I50" s="252">
        <v>0.5</v>
      </c>
      <c r="J50" s="252">
        <v>0.2</v>
      </c>
      <c r="K50" s="252">
        <v>0</v>
      </c>
      <c r="L50" s="252">
        <v>0</v>
      </c>
      <c r="M50" s="253">
        <v>1.8</v>
      </c>
      <c r="N50" s="274">
        <f t="shared" si="5"/>
        <v>0</v>
      </c>
      <c r="O50" s="258">
        <f t="shared" si="6"/>
        <v>0</v>
      </c>
      <c r="P50" s="258">
        <f t="shared" si="7"/>
        <v>198.72</v>
      </c>
      <c r="Q50" s="255">
        <f t="shared" si="23"/>
        <v>22.724</v>
      </c>
      <c r="R50" s="256">
        <f t="shared" si="23"/>
        <v>22.724</v>
      </c>
      <c r="S50" s="257">
        <f>F50*(H50^2+I50^2)/8</f>
        <v>48.162</v>
      </c>
      <c r="T50" s="258">
        <f t="shared" si="24"/>
        <v>4.0420590405793195</v>
      </c>
      <c r="U50" s="258">
        <f t="shared" si="25"/>
        <v>4.191007996684819</v>
      </c>
      <c r="V50" s="259">
        <f t="shared" si="26"/>
        <v>0.1489489561054997</v>
      </c>
      <c r="W50" s="258">
        <f t="shared" si="12"/>
        <v>26.76605904057932</v>
      </c>
      <c r="X50" s="258">
        <f t="shared" si="12"/>
        <v>26.91500799668482</v>
      </c>
      <c r="Y50" s="259">
        <f t="shared" si="12"/>
        <v>48.3109489561055</v>
      </c>
    </row>
    <row r="51" spans="1:25" ht="12.75">
      <c r="A51" s="3"/>
      <c r="B51" s="77" t="s">
        <v>173</v>
      </c>
      <c r="C51" s="27">
        <f>Telescope!F29</f>
        <v>3</v>
      </c>
      <c r="D51" s="72">
        <f>Telescope!G29</f>
        <v>2</v>
      </c>
      <c r="E51" s="69">
        <f>Telescope!I29</f>
        <v>0.25</v>
      </c>
      <c r="F51" s="243">
        <f t="shared" si="22"/>
        <v>7.5</v>
      </c>
      <c r="G51" s="251" t="s">
        <v>298</v>
      </c>
      <c r="H51" s="252">
        <v>2.2</v>
      </c>
      <c r="I51" s="252">
        <v>2</v>
      </c>
      <c r="J51" s="252">
        <v>0.01</v>
      </c>
      <c r="K51" s="252">
        <v>0</v>
      </c>
      <c r="L51" s="252">
        <v>0</v>
      </c>
      <c r="M51" s="253">
        <v>2.3</v>
      </c>
      <c r="N51" s="274">
        <f t="shared" si="5"/>
        <v>0</v>
      </c>
      <c r="O51" s="258">
        <f t="shared" si="6"/>
        <v>0</v>
      </c>
      <c r="P51" s="258">
        <f t="shared" si="7"/>
        <v>17.25</v>
      </c>
      <c r="Q51" s="255">
        <f t="shared" si="23"/>
        <v>2.2688125</v>
      </c>
      <c r="R51" s="256">
        <f t="shared" si="23"/>
        <v>2.2688125</v>
      </c>
      <c r="S51" s="257">
        <f>F51*(H51^2+I51^2)/8</f>
        <v>8.2875</v>
      </c>
      <c r="T51" s="258">
        <f t="shared" si="24"/>
        <v>3.584682816545002</v>
      </c>
      <c r="U51" s="258">
        <f t="shared" si="25"/>
        <v>3.594801631497822</v>
      </c>
      <c r="V51" s="259">
        <f t="shared" si="26"/>
        <v>0.010118814952819275</v>
      </c>
      <c r="W51" s="258">
        <f t="shared" si="12"/>
        <v>5.853495316545002</v>
      </c>
      <c r="X51" s="258">
        <f t="shared" si="12"/>
        <v>5.8636141314978225</v>
      </c>
      <c r="Y51" s="259">
        <f t="shared" si="12"/>
        <v>8.297618814952818</v>
      </c>
    </row>
    <row r="52" spans="1:25" ht="12.75">
      <c r="A52" s="3"/>
      <c r="B52" s="77" t="s">
        <v>186</v>
      </c>
      <c r="C52" s="27">
        <f>Telescope!F30</f>
        <v>1</v>
      </c>
      <c r="D52" s="72">
        <f>Telescope!G30</f>
        <v>10.59</v>
      </c>
      <c r="E52" s="69">
        <f>Telescope!I30</f>
        <v>0.25</v>
      </c>
      <c r="F52" s="243">
        <f t="shared" si="22"/>
        <v>13.2375</v>
      </c>
      <c r="G52" s="251" t="s">
        <v>298</v>
      </c>
      <c r="H52" s="252">
        <v>0.7</v>
      </c>
      <c r="I52" s="252">
        <v>0.4</v>
      </c>
      <c r="J52" s="252">
        <v>1.4</v>
      </c>
      <c r="K52" s="252">
        <v>0</v>
      </c>
      <c r="L52" s="252">
        <v>0</v>
      </c>
      <c r="M52" s="253">
        <v>2.5</v>
      </c>
      <c r="N52" s="274">
        <f t="shared" si="5"/>
        <v>0</v>
      </c>
      <c r="O52" s="258">
        <f t="shared" si="6"/>
        <v>0</v>
      </c>
      <c r="P52" s="258">
        <f t="shared" si="7"/>
        <v>33.09375</v>
      </c>
      <c r="Q52" s="255">
        <f t="shared" si="23"/>
        <v>2.5675234374999993</v>
      </c>
      <c r="R52" s="256">
        <f t="shared" si="23"/>
        <v>2.5675234374999993</v>
      </c>
      <c r="S52" s="257">
        <f>F52*(H52^2+I52^2)/8</f>
        <v>1.075546875</v>
      </c>
      <c r="T52" s="258">
        <f t="shared" si="24"/>
        <v>10.517136179720138</v>
      </c>
      <c r="U52" s="258">
        <f t="shared" si="25"/>
        <v>10.534995888111865</v>
      </c>
      <c r="V52" s="259">
        <f t="shared" si="26"/>
        <v>0.01785970839172602</v>
      </c>
      <c r="W52" s="258">
        <f t="shared" si="12"/>
        <v>13.084659617220137</v>
      </c>
      <c r="X52" s="258">
        <f t="shared" si="12"/>
        <v>13.102519325611865</v>
      </c>
      <c r="Y52" s="259">
        <f t="shared" si="12"/>
        <v>1.093406583391726</v>
      </c>
    </row>
    <row r="53" spans="1:25" ht="12.75">
      <c r="A53" s="3"/>
      <c r="B53" s="77" t="s">
        <v>176</v>
      </c>
      <c r="C53" s="27">
        <f>Telescope!F32</f>
        <v>1</v>
      </c>
      <c r="D53" s="72">
        <f>Telescope!G32</f>
        <v>23.75</v>
      </c>
      <c r="E53" s="69">
        <f>Telescope!I32</f>
        <v>0.2</v>
      </c>
      <c r="F53" s="243">
        <f t="shared" si="22"/>
        <v>28.5</v>
      </c>
      <c r="G53" s="251" t="s">
        <v>296</v>
      </c>
      <c r="H53" s="252">
        <v>1.4</v>
      </c>
      <c r="I53" s="252">
        <v>1</v>
      </c>
      <c r="J53" s="252">
        <v>2.2</v>
      </c>
      <c r="K53" s="252">
        <v>0</v>
      </c>
      <c r="L53" s="252">
        <v>0</v>
      </c>
      <c r="M53" s="253">
        <v>1.29</v>
      </c>
      <c r="N53" s="274">
        <f t="shared" si="5"/>
        <v>0</v>
      </c>
      <c r="O53" s="258">
        <f t="shared" si="6"/>
        <v>0</v>
      </c>
      <c r="P53" s="258">
        <f t="shared" si="7"/>
        <v>36.765</v>
      </c>
      <c r="Q53" s="255">
        <f>F53*(H53^2+I53^2)/8</f>
        <v>10.545</v>
      </c>
      <c r="R53" s="256">
        <f>$F53*(($H53^2+$I53^2)/16+$J53^2/12)</f>
        <v>16.767500000000002</v>
      </c>
      <c r="S53" s="257">
        <f>$F53*(($H53^2+$I53^2)/16+$J53^2/12)</f>
        <v>16.767500000000002</v>
      </c>
      <c r="T53" s="258">
        <f t="shared" si="24"/>
        <v>2.8939213864606157</v>
      </c>
      <c r="U53" s="258">
        <f t="shared" si="25"/>
        <v>2.932372883281329</v>
      </c>
      <c r="V53" s="259">
        <f t="shared" si="26"/>
        <v>0.03845149682071325</v>
      </c>
      <c r="W53" s="258">
        <f t="shared" si="12"/>
        <v>13.438921386460615</v>
      </c>
      <c r="X53" s="258">
        <f t="shared" si="12"/>
        <v>19.69987288328133</v>
      </c>
      <c r="Y53" s="259">
        <f t="shared" si="12"/>
        <v>16.805951496820715</v>
      </c>
    </row>
    <row r="54" spans="1:25" ht="13.5" thickBot="1">
      <c r="A54" s="3"/>
      <c r="B54" s="136" t="s">
        <v>179</v>
      </c>
      <c r="C54" s="27">
        <f>Telescope!F35</f>
        <v>3</v>
      </c>
      <c r="D54" s="72">
        <f>Telescope!G35</f>
        <v>26.5</v>
      </c>
      <c r="E54" s="69">
        <f>Telescope!I35</f>
        <v>0.2</v>
      </c>
      <c r="F54" s="243">
        <f t="shared" si="22"/>
        <v>95.39999999999999</v>
      </c>
      <c r="G54" s="251" t="s">
        <v>298</v>
      </c>
      <c r="H54" s="252">
        <v>2.3</v>
      </c>
      <c r="I54" s="252">
        <v>1.8</v>
      </c>
      <c r="J54" s="252">
        <v>0.8</v>
      </c>
      <c r="K54" s="252">
        <v>0</v>
      </c>
      <c r="L54" s="252">
        <v>0</v>
      </c>
      <c r="M54" s="253">
        <v>1.4</v>
      </c>
      <c r="N54" s="274">
        <f t="shared" si="5"/>
        <v>0</v>
      </c>
      <c r="O54" s="258">
        <f t="shared" si="6"/>
        <v>0</v>
      </c>
      <c r="P54" s="258">
        <f t="shared" si="7"/>
        <v>133.55999999999997</v>
      </c>
      <c r="Q54" s="255">
        <f t="shared" si="23"/>
        <v>36.62962499999999</v>
      </c>
      <c r="R54" s="256">
        <f t="shared" si="23"/>
        <v>36.62962499999999</v>
      </c>
      <c r="S54" s="257">
        <f>F54*(H54^2+I54^2)/8</f>
        <v>101.72024999999998</v>
      </c>
      <c r="T54" s="258">
        <f t="shared" si="24"/>
        <v>4.153426883913046</v>
      </c>
      <c r="U54" s="258">
        <f t="shared" si="25"/>
        <v>4.282138210112907</v>
      </c>
      <c r="V54" s="259">
        <f t="shared" si="26"/>
        <v>0.12871132619986117</v>
      </c>
      <c r="W54" s="258">
        <f t="shared" si="12"/>
        <v>40.78305188391304</v>
      </c>
      <c r="X54" s="258">
        <f t="shared" si="12"/>
        <v>40.911763210112895</v>
      </c>
      <c r="Y54" s="259">
        <f t="shared" si="12"/>
        <v>101.84896132619984</v>
      </c>
    </row>
    <row r="55" spans="1:25" ht="13.5" thickBot="1">
      <c r="A55" s="139" t="s">
        <v>250</v>
      </c>
      <c r="B55" s="135"/>
      <c r="C55" s="281"/>
      <c r="D55" s="282"/>
      <c r="E55" s="14"/>
      <c r="F55" s="283"/>
      <c r="G55" s="251"/>
      <c r="H55" s="252"/>
      <c r="I55" s="252"/>
      <c r="J55" s="252"/>
      <c r="K55" s="252"/>
      <c r="L55" s="252"/>
      <c r="M55" s="253"/>
      <c r="N55" s="274"/>
      <c r="O55" s="258"/>
      <c r="P55" s="258"/>
      <c r="Q55" s="255"/>
      <c r="R55" s="256"/>
      <c r="S55" s="257"/>
      <c r="T55" s="258"/>
      <c r="U55" s="258"/>
      <c r="V55" s="259"/>
      <c r="W55" s="258"/>
      <c r="X55" s="258"/>
      <c r="Y55" s="259"/>
    </row>
    <row r="56" spans="2:25" ht="12.75">
      <c r="B56" s="80" t="s">
        <v>245</v>
      </c>
      <c r="C56" s="168">
        <f>Telescope!F40</f>
        <v>1</v>
      </c>
      <c r="D56" s="284">
        <f>Telescope!G40</f>
        <v>141</v>
      </c>
      <c r="E56" s="69">
        <f>Telescope!I40</f>
        <v>0.2</v>
      </c>
      <c r="F56" s="243">
        <f>C56*D56*(1+E56)</f>
        <v>169.2</v>
      </c>
      <c r="G56" s="251" t="s">
        <v>298</v>
      </c>
      <c r="H56" s="252">
        <v>2.5</v>
      </c>
      <c r="I56" s="252">
        <v>2.2</v>
      </c>
      <c r="J56" s="252">
        <v>4.5</v>
      </c>
      <c r="K56" s="252">
        <v>0</v>
      </c>
      <c r="L56" s="252">
        <v>0</v>
      </c>
      <c r="M56" s="253">
        <v>3.7</v>
      </c>
      <c r="N56" s="274">
        <f t="shared" si="5"/>
        <v>0</v>
      </c>
      <c r="O56" s="258">
        <f t="shared" si="6"/>
        <v>0</v>
      </c>
      <c r="P56" s="258">
        <f t="shared" si="7"/>
        <v>626.04</v>
      </c>
      <c r="Q56" s="255">
        <f t="shared" si="23"/>
        <v>351.61875</v>
      </c>
      <c r="R56" s="256">
        <f t="shared" si="23"/>
        <v>351.61875</v>
      </c>
      <c r="S56" s="257">
        <f>F56*(H56^2+I56^2)/8</f>
        <v>234.55349999999999</v>
      </c>
      <c r="T56" s="258">
        <f>$F56*((L56-L$69)^2+(M56-M$69)^2)</f>
        <v>740.0339829617623</v>
      </c>
      <c r="U56" s="258">
        <f>$F56*((K56-K$69)^2+(M56-M$69)^2)</f>
        <v>740.262263427098</v>
      </c>
      <c r="V56" s="259">
        <f>$F56*((K56-K$69)^2+(L56-L$69)^2)</f>
        <v>0.22828046533560284</v>
      </c>
      <c r="W56" s="171">
        <f t="shared" si="12"/>
        <v>1091.6527329617622</v>
      </c>
      <c r="X56" s="171">
        <f t="shared" si="12"/>
        <v>1091.881013427098</v>
      </c>
      <c r="Y56" s="259">
        <f t="shared" si="12"/>
        <v>234.7817804653356</v>
      </c>
    </row>
    <row r="57" spans="2:25" ht="12.75">
      <c r="B57" s="77" t="s">
        <v>201</v>
      </c>
      <c r="C57" s="168">
        <f>Telescope!F41</f>
        <v>1</v>
      </c>
      <c r="D57" s="284">
        <f>Telescope!G41</f>
        <v>15.7</v>
      </c>
      <c r="E57" s="69">
        <f>Telescope!I41</f>
        <v>0.2</v>
      </c>
      <c r="F57" s="243">
        <f>C57*D57*(1+E57)</f>
        <v>18.84</v>
      </c>
      <c r="G57" s="251" t="s">
        <v>296</v>
      </c>
      <c r="H57" s="252">
        <v>1.5</v>
      </c>
      <c r="I57" s="252">
        <v>0</v>
      </c>
      <c r="J57" s="252">
        <v>0.15</v>
      </c>
      <c r="K57" s="280">
        <v>1.2</v>
      </c>
      <c r="L57" s="252">
        <v>0</v>
      </c>
      <c r="M57" s="253">
        <v>3.7</v>
      </c>
      <c r="N57" s="274">
        <f t="shared" si="5"/>
        <v>22.608</v>
      </c>
      <c r="O57" s="258">
        <f t="shared" si="6"/>
        <v>0</v>
      </c>
      <c r="P57" s="258">
        <f t="shared" si="7"/>
        <v>69.708</v>
      </c>
      <c r="Q57" s="255">
        <f>F57*(H57^2+I57^2)/8</f>
        <v>5.29875</v>
      </c>
      <c r="R57" s="256">
        <f>$F57*(($H57^2+$I57^2)/16+$J57^2/12)</f>
        <v>2.6847</v>
      </c>
      <c r="S57" s="257">
        <f>$F57*(($H57^2+$I57^2)/16+$J57^2/12)</f>
        <v>2.6847</v>
      </c>
      <c r="T57" s="258">
        <f>$F57*((L57-L$69)^2+(M57-M$69)^2)</f>
        <v>82.40094703900475</v>
      </c>
      <c r="U57" s="258">
        <f>$F57*((K57-K$69)^2+(M57-M$69)^2)</f>
        <v>107.89513108755924</v>
      </c>
      <c r="V57" s="259">
        <f>$F57*((K57-K$69)^2+(L57-L$69)^2)</f>
        <v>25.494184048554484</v>
      </c>
      <c r="W57" s="258">
        <f t="shared" si="12"/>
        <v>87.69969703900475</v>
      </c>
      <c r="X57" s="258">
        <f t="shared" si="12"/>
        <v>110.57983108755924</v>
      </c>
      <c r="Y57" s="259">
        <f t="shared" si="12"/>
        <v>28.178884048554483</v>
      </c>
    </row>
    <row r="58" spans="2:25" ht="13.5" thickBot="1">
      <c r="B58" s="136" t="s">
        <v>202</v>
      </c>
      <c r="C58" s="168">
        <f>Telescope!F43</f>
        <v>1</v>
      </c>
      <c r="D58" s="284">
        <f>Telescope!G43</f>
        <v>3</v>
      </c>
      <c r="E58" s="69">
        <f>Telescope!I43</f>
        <v>0.25</v>
      </c>
      <c r="F58" s="243">
        <f>C58*D58*(1+E58)</f>
        <v>3.75</v>
      </c>
      <c r="G58" s="251" t="s">
        <v>296</v>
      </c>
      <c r="H58" s="252">
        <v>0.75</v>
      </c>
      <c r="I58" s="252">
        <v>0</v>
      </c>
      <c r="J58" s="252">
        <v>0.15</v>
      </c>
      <c r="K58" s="280">
        <v>-1.2</v>
      </c>
      <c r="L58" s="252">
        <v>0</v>
      </c>
      <c r="M58" s="253">
        <v>3.7</v>
      </c>
      <c r="N58" s="274">
        <f t="shared" si="5"/>
        <v>-4.5</v>
      </c>
      <c r="O58" s="258">
        <f t="shared" si="6"/>
        <v>0</v>
      </c>
      <c r="P58" s="258">
        <f t="shared" si="7"/>
        <v>13.875</v>
      </c>
      <c r="Q58" s="255">
        <f>F58*(H58^2+I58^2)/8</f>
        <v>0.263671875</v>
      </c>
      <c r="R58" s="256">
        <f>$F58*(($H58^2+$I58^2)/16+$J58^2/12)</f>
        <v>0.13886718750000002</v>
      </c>
      <c r="S58" s="257">
        <f>$F58*(($H58^2+$I58^2)/16+$J58^2/12)</f>
        <v>0.13886718750000002</v>
      </c>
      <c r="T58" s="258">
        <f>$F58*((L58-L$69)^2+(M58-M$69)^2)</f>
        <v>16.40146238833693</v>
      </c>
      <c r="U58" s="258">
        <f>$F58*((K58-K$69)^2+(M58-M$69)^2)</f>
        <v>22.137101894262184</v>
      </c>
      <c r="V58" s="259">
        <f>$F58*((K58-K$69)^2+(L58-L$69)^2)</f>
        <v>5.735639505925254</v>
      </c>
      <c r="W58" s="258">
        <f t="shared" si="12"/>
        <v>16.66513426333693</v>
      </c>
      <c r="X58" s="258">
        <f t="shared" si="12"/>
        <v>22.275969081762184</v>
      </c>
      <c r="Y58" s="259">
        <f t="shared" si="12"/>
        <v>5.8745066934252534</v>
      </c>
    </row>
    <row r="59" spans="1:25" ht="13.5" thickBot="1">
      <c r="A59" s="139" t="s">
        <v>200</v>
      </c>
      <c r="B59" s="135"/>
      <c r="C59" s="285"/>
      <c r="D59" s="282"/>
      <c r="E59" s="14"/>
      <c r="F59" s="283"/>
      <c r="G59" s="251"/>
      <c r="H59" s="252"/>
      <c r="I59" s="252"/>
      <c r="J59" s="252"/>
      <c r="K59" s="252"/>
      <c r="L59" s="252"/>
      <c r="M59" s="253"/>
      <c r="N59" s="274"/>
      <c r="O59" s="258"/>
      <c r="P59" s="258"/>
      <c r="Q59" s="255"/>
      <c r="R59" s="256"/>
      <c r="S59" s="257"/>
      <c r="T59" s="258"/>
      <c r="U59" s="258"/>
      <c r="V59" s="259"/>
      <c r="W59" s="258"/>
      <c r="X59" s="258"/>
      <c r="Y59" s="259"/>
    </row>
    <row r="60" spans="2:25" ht="12.75">
      <c r="B60" s="149" t="s">
        <v>240</v>
      </c>
      <c r="C60" s="168">
        <f>Telescope!F48</f>
        <v>2</v>
      </c>
      <c r="D60" s="284">
        <f>Telescope!G48</f>
        <v>6.21</v>
      </c>
      <c r="E60" s="69">
        <f>Telescope!I48</f>
        <v>0.2</v>
      </c>
      <c r="F60" s="243">
        <f aca="true" t="shared" si="27" ref="F60:F66">C60*D60*(1+E60)</f>
        <v>14.904</v>
      </c>
      <c r="G60" s="251" t="s">
        <v>298</v>
      </c>
      <c r="H60" s="252">
        <v>2.5</v>
      </c>
      <c r="I60" s="252">
        <v>0</v>
      </c>
      <c r="J60" s="252">
        <v>1.7</v>
      </c>
      <c r="K60" s="252">
        <v>0</v>
      </c>
      <c r="L60" s="252">
        <v>0</v>
      </c>
      <c r="M60" s="253">
        <v>6</v>
      </c>
      <c r="N60" s="274">
        <f t="shared" si="5"/>
        <v>0</v>
      </c>
      <c r="O60" s="258">
        <f t="shared" si="6"/>
        <v>0</v>
      </c>
      <c r="P60" s="258">
        <f t="shared" si="7"/>
        <v>89.424</v>
      </c>
      <c r="Q60" s="255">
        <f t="shared" si="23"/>
        <v>9.411255</v>
      </c>
      <c r="R60" s="256">
        <f t="shared" si="23"/>
        <v>9.411255</v>
      </c>
      <c r="S60" s="257">
        <f aca="true" t="shared" si="28" ref="S60:S66">F60*(H60^2+I60^2)/8</f>
        <v>11.64375</v>
      </c>
      <c r="T60" s="258">
        <f aca="true" t="shared" si="29" ref="T60:T66">$F60*((L60-L$69)^2+(M60-M$69)^2)</f>
        <v>287.40738923998236</v>
      </c>
      <c r="U60" s="258">
        <f aca="true" t="shared" si="30" ref="U60:U66">$F60*((K60-K$69)^2+(M60-M$69)^2)</f>
        <v>287.4274973490566</v>
      </c>
      <c r="V60" s="259">
        <f aca="true" t="shared" si="31" ref="V60:V66">$F60*((K60-K$69)^2+(L60-L$69)^2)</f>
        <v>0.020108109074242465</v>
      </c>
      <c r="W60" s="258">
        <f t="shared" si="12"/>
        <v>296.81864423998235</v>
      </c>
      <c r="X60" s="258">
        <f t="shared" si="12"/>
        <v>296.83875234905656</v>
      </c>
      <c r="Y60" s="259">
        <f t="shared" si="12"/>
        <v>11.663858109074242</v>
      </c>
    </row>
    <row r="61" spans="2:25" ht="12.75">
      <c r="B61" s="77" t="s">
        <v>241</v>
      </c>
      <c r="C61" s="168">
        <f>Telescope!F49</f>
        <v>2</v>
      </c>
      <c r="D61" s="284">
        <f>Telescope!G49</f>
        <v>1.13</v>
      </c>
      <c r="E61" s="69">
        <f>Telescope!I49</f>
        <v>0.2</v>
      </c>
      <c r="F61" s="243">
        <f t="shared" si="27"/>
        <v>2.7119999999999997</v>
      </c>
      <c r="G61" s="251" t="s">
        <v>298</v>
      </c>
      <c r="H61" s="252">
        <v>2.55</v>
      </c>
      <c r="I61" s="252">
        <v>2.45</v>
      </c>
      <c r="J61" s="252">
        <v>0.02</v>
      </c>
      <c r="K61" s="252">
        <v>0</v>
      </c>
      <c r="L61" s="252">
        <v>0</v>
      </c>
      <c r="M61" s="253">
        <v>6</v>
      </c>
      <c r="N61" s="274">
        <f t="shared" si="5"/>
        <v>0</v>
      </c>
      <c r="O61" s="258">
        <f t="shared" si="6"/>
        <v>0</v>
      </c>
      <c r="P61" s="258">
        <f t="shared" si="7"/>
        <v>16.272</v>
      </c>
      <c r="Q61" s="255">
        <f t="shared" si="23"/>
        <v>1.1022641499999999</v>
      </c>
      <c r="R61" s="256">
        <f t="shared" si="23"/>
        <v>1.1022641499999999</v>
      </c>
      <c r="S61" s="257">
        <f t="shared" si="28"/>
        <v>4.239195</v>
      </c>
      <c r="T61" s="258">
        <f t="shared" si="29"/>
        <v>52.29796293738809</v>
      </c>
      <c r="U61" s="258">
        <f t="shared" si="30"/>
        <v>52.30162190087503</v>
      </c>
      <c r="V61" s="259">
        <f t="shared" si="31"/>
        <v>0.0036589634869394496</v>
      </c>
      <c r="W61" s="258">
        <f t="shared" si="12"/>
        <v>53.40022708738809</v>
      </c>
      <c r="X61" s="258">
        <f t="shared" si="12"/>
        <v>53.40388605087503</v>
      </c>
      <c r="Y61" s="259">
        <f t="shared" si="12"/>
        <v>4.242853963486939</v>
      </c>
    </row>
    <row r="62" spans="2:25" ht="13.5" thickBot="1">
      <c r="B62" s="149" t="s">
        <v>242</v>
      </c>
      <c r="C62" s="168">
        <f>Telescope!F50</f>
        <v>2</v>
      </c>
      <c r="D62" s="284">
        <f>Telescope!G50</f>
        <v>1.36</v>
      </c>
      <c r="E62" s="69">
        <f>Telescope!I50</f>
        <v>0.2</v>
      </c>
      <c r="F62" s="243">
        <f t="shared" si="27"/>
        <v>3.2640000000000002</v>
      </c>
      <c r="G62" s="251" t="s">
        <v>298</v>
      </c>
      <c r="H62" s="252">
        <v>2.55</v>
      </c>
      <c r="I62" s="252">
        <v>2.45</v>
      </c>
      <c r="J62" s="252">
        <v>0.02</v>
      </c>
      <c r="K62" s="252">
        <v>0</v>
      </c>
      <c r="L62" s="252">
        <v>0</v>
      </c>
      <c r="M62" s="253">
        <v>6</v>
      </c>
      <c r="N62" s="274">
        <f t="shared" si="5"/>
        <v>0</v>
      </c>
      <c r="O62" s="258">
        <f t="shared" si="6"/>
        <v>0</v>
      </c>
      <c r="P62" s="258">
        <f t="shared" si="7"/>
        <v>19.584000000000003</v>
      </c>
      <c r="Q62" s="255">
        <f t="shared" si="23"/>
        <v>1.3266187999999999</v>
      </c>
      <c r="R62" s="256">
        <f t="shared" si="23"/>
        <v>1.3266187999999999</v>
      </c>
      <c r="S62" s="257">
        <f t="shared" si="28"/>
        <v>5.102040000000001</v>
      </c>
      <c r="T62" s="258">
        <f t="shared" si="29"/>
        <v>62.942681057387446</v>
      </c>
      <c r="U62" s="258">
        <f t="shared" si="30"/>
        <v>62.947084765654914</v>
      </c>
      <c r="V62" s="259">
        <f t="shared" si="31"/>
        <v>0.004403708267466949</v>
      </c>
      <c r="W62" s="258">
        <f t="shared" si="12"/>
        <v>64.26929985738745</v>
      </c>
      <c r="X62" s="258">
        <f t="shared" si="12"/>
        <v>64.27370356565491</v>
      </c>
      <c r="Y62" s="259">
        <f t="shared" si="12"/>
        <v>5.106443708267467</v>
      </c>
    </row>
    <row r="63" spans="1:25" ht="13.5" thickBot="1">
      <c r="A63" s="139" t="s">
        <v>301</v>
      </c>
      <c r="B63" s="135"/>
      <c r="C63" s="45">
        <v>1</v>
      </c>
      <c r="D63" s="284">
        <f>BUS!E5</f>
        <v>80</v>
      </c>
      <c r="E63" s="68">
        <f>BUS!F5</f>
        <v>0.25</v>
      </c>
      <c r="F63" s="243">
        <f t="shared" si="27"/>
        <v>100</v>
      </c>
      <c r="G63" s="251" t="s">
        <v>298</v>
      </c>
      <c r="H63" s="252">
        <v>2.5</v>
      </c>
      <c r="I63" s="252">
        <v>0</v>
      </c>
      <c r="J63" s="252">
        <v>0.8</v>
      </c>
      <c r="K63" s="252">
        <v>0</v>
      </c>
      <c r="L63" s="252">
        <v>0</v>
      </c>
      <c r="M63" s="253">
        <v>0.4</v>
      </c>
      <c r="N63" s="274">
        <f t="shared" si="5"/>
        <v>0</v>
      </c>
      <c r="O63" s="258">
        <f t="shared" si="6"/>
        <v>0</v>
      </c>
      <c r="P63" s="258">
        <f t="shared" si="7"/>
        <v>40</v>
      </c>
      <c r="Q63" s="255">
        <f t="shared" si="23"/>
        <v>44.395833333333336</v>
      </c>
      <c r="R63" s="256">
        <f t="shared" si="23"/>
        <v>44.395833333333336</v>
      </c>
      <c r="S63" s="257">
        <f t="shared" si="28"/>
        <v>78.125</v>
      </c>
      <c r="T63" s="258">
        <f t="shared" si="29"/>
        <v>146.08472589445878</v>
      </c>
      <c r="U63" s="258">
        <f t="shared" si="30"/>
        <v>146.21964342716302</v>
      </c>
      <c r="V63" s="259">
        <f t="shared" si="31"/>
        <v>0.13491753270425702</v>
      </c>
      <c r="W63" s="258">
        <f t="shared" si="12"/>
        <v>190.48055922779213</v>
      </c>
      <c r="X63" s="258">
        <f t="shared" si="12"/>
        <v>190.61547676049636</v>
      </c>
      <c r="Y63" s="259">
        <f t="shared" si="12"/>
        <v>78.25991753270425</v>
      </c>
    </row>
    <row r="64" spans="1:25" ht="13.5" thickBot="1">
      <c r="A64" s="286" t="s">
        <v>302</v>
      </c>
      <c r="B64" s="287"/>
      <c r="C64" s="45">
        <v>1</v>
      </c>
      <c r="D64" s="284">
        <f>BUS!E12</f>
        <v>256</v>
      </c>
      <c r="E64" s="288">
        <f>BUS!F12</f>
        <v>0.129296875</v>
      </c>
      <c r="F64" s="243">
        <f t="shared" si="27"/>
        <v>289.1</v>
      </c>
      <c r="G64" s="251" t="s">
        <v>298</v>
      </c>
      <c r="H64" s="252">
        <v>2.4</v>
      </c>
      <c r="I64" s="252">
        <v>0.5</v>
      </c>
      <c r="J64" s="252">
        <v>0.6</v>
      </c>
      <c r="K64" s="280">
        <v>-0.2</v>
      </c>
      <c r="L64" s="252">
        <v>0</v>
      </c>
      <c r="M64" s="253">
        <v>0.4</v>
      </c>
      <c r="N64" s="274">
        <f t="shared" si="5"/>
        <v>-57.82000000000001</v>
      </c>
      <c r="O64" s="258">
        <f t="shared" si="6"/>
        <v>0</v>
      </c>
      <c r="P64" s="258">
        <f t="shared" si="7"/>
        <v>115.64000000000001</v>
      </c>
      <c r="Q64" s="255">
        <f t="shared" si="23"/>
        <v>112.74900000000001</v>
      </c>
      <c r="R64" s="256">
        <f t="shared" si="23"/>
        <v>112.74900000000001</v>
      </c>
      <c r="S64" s="257">
        <f t="shared" si="28"/>
        <v>217.186375</v>
      </c>
      <c r="T64" s="258">
        <f t="shared" si="29"/>
        <v>422.3309425608804</v>
      </c>
      <c r="U64" s="258">
        <f t="shared" si="30"/>
        <v>438.53257610177553</v>
      </c>
      <c r="V64" s="259">
        <f t="shared" si="31"/>
        <v>16.201633540895173</v>
      </c>
      <c r="W64" s="258">
        <f t="shared" si="12"/>
        <v>535.0799425608803</v>
      </c>
      <c r="X64" s="258">
        <f t="shared" si="12"/>
        <v>551.2815761017755</v>
      </c>
      <c r="Y64" s="259">
        <f t="shared" si="12"/>
        <v>233.38800854089516</v>
      </c>
    </row>
    <row r="65" spans="2:25" ht="12.75">
      <c r="B65" s="75" t="s">
        <v>210</v>
      </c>
      <c r="C65" s="5">
        <v>1</v>
      </c>
      <c r="D65" s="284">
        <f>BUS!E13</f>
        <v>34.1</v>
      </c>
      <c r="E65" s="68">
        <f>BUS!F13</f>
        <v>0.1</v>
      </c>
      <c r="F65" s="243">
        <f t="shared" si="27"/>
        <v>37.510000000000005</v>
      </c>
      <c r="G65" s="251" t="s">
        <v>298</v>
      </c>
      <c r="H65" s="252">
        <v>2.5</v>
      </c>
      <c r="I65" s="252">
        <v>1.5</v>
      </c>
      <c r="J65" s="252">
        <v>0.5</v>
      </c>
      <c r="K65" s="252">
        <v>0</v>
      </c>
      <c r="L65" s="252">
        <v>0</v>
      </c>
      <c r="M65" s="253">
        <v>0.3</v>
      </c>
      <c r="N65" s="274">
        <f t="shared" si="5"/>
        <v>0</v>
      </c>
      <c r="O65" s="258">
        <f t="shared" si="6"/>
        <v>0</v>
      </c>
      <c r="P65" s="258">
        <f t="shared" si="7"/>
        <v>11.253000000000002</v>
      </c>
      <c r="Q65" s="255">
        <f t="shared" si="23"/>
        <v>15.433802083333335</v>
      </c>
      <c r="R65" s="256">
        <f t="shared" si="23"/>
        <v>15.433802083333335</v>
      </c>
      <c r="S65" s="257">
        <f t="shared" si="28"/>
        <v>39.854375000000005</v>
      </c>
      <c r="T65" s="258">
        <f t="shared" si="29"/>
        <v>64.23881157896928</v>
      </c>
      <c r="U65" s="258">
        <f t="shared" si="30"/>
        <v>64.28941914548665</v>
      </c>
      <c r="V65" s="259">
        <f t="shared" si="31"/>
        <v>0.05060756651736681</v>
      </c>
      <c r="W65" s="258">
        <f t="shared" si="12"/>
        <v>79.67261366230261</v>
      </c>
      <c r="X65" s="258">
        <f t="shared" si="12"/>
        <v>79.72322122881998</v>
      </c>
      <c r="Y65" s="259">
        <f t="shared" si="12"/>
        <v>39.90498256651737</v>
      </c>
    </row>
    <row r="66" spans="2:25" ht="13.5" thickBot="1">
      <c r="B66" s="13" t="s">
        <v>221</v>
      </c>
      <c r="C66" s="13">
        <v>1</v>
      </c>
      <c r="D66" s="284">
        <f>BUS!E14</f>
        <v>72</v>
      </c>
      <c r="E66" s="68">
        <f>BUS!F14</f>
        <v>0.04</v>
      </c>
      <c r="F66" s="243">
        <f t="shared" si="27"/>
        <v>74.88</v>
      </c>
      <c r="G66" s="289" t="s">
        <v>298</v>
      </c>
      <c r="H66" s="290">
        <v>2.5</v>
      </c>
      <c r="I66" s="290">
        <v>1.5</v>
      </c>
      <c r="J66" s="290">
        <v>0.5</v>
      </c>
      <c r="K66" s="290">
        <v>0</v>
      </c>
      <c r="L66" s="290">
        <v>0</v>
      </c>
      <c r="M66" s="290">
        <v>0.3</v>
      </c>
      <c r="N66" s="291">
        <f t="shared" si="5"/>
        <v>0</v>
      </c>
      <c r="O66" s="292">
        <f t="shared" si="6"/>
        <v>0</v>
      </c>
      <c r="P66" s="292">
        <f t="shared" si="7"/>
        <v>22.464</v>
      </c>
      <c r="Q66" s="293">
        <f t="shared" si="23"/>
        <v>30.809999999999995</v>
      </c>
      <c r="R66" s="294">
        <f t="shared" si="23"/>
        <v>30.809999999999995</v>
      </c>
      <c r="S66" s="295">
        <f t="shared" si="28"/>
        <v>79.56</v>
      </c>
      <c r="T66" s="292">
        <f t="shared" si="29"/>
        <v>128.23786219763312</v>
      </c>
      <c r="U66" s="292">
        <f t="shared" si="30"/>
        <v>128.33888844612207</v>
      </c>
      <c r="V66" s="296">
        <f t="shared" si="31"/>
        <v>0.10102624848894765</v>
      </c>
      <c r="W66" s="292">
        <f t="shared" si="12"/>
        <v>159.04786219763312</v>
      </c>
      <c r="X66" s="292">
        <f t="shared" si="12"/>
        <v>159.14888844612207</v>
      </c>
      <c r="Y66" s="296">
        <f t="shared" si="12"/>
        <v>79.66102624848895</v>
      </c>
    </row>
    <row r="67" spans="2:6" ht="13.5" thickBot="1">
      <c r="B67" s="10"/>
      <c r="C67" s="297"/>
      <c r="D67" s="150"/>
      <c r="E67" s="298"/>
      <c r="F67" s="299"/>
    </row>
    <row r="68" spans="6:25" ht="12.75">
      <c r="F68" s="323" t="s">
        <v>113</v>
      </c>
      <c r="K68" s="322" t="s">
        <v>312</v>
      </c>
      <c r="L68" s="301"/>
      <c r="M68" s="217"/>
      <c r="N68" s="301" t="s">
        <v>311</v>
      </c>
      <c r="O68" s="301"/>
      <c r="P68" s="217"/>
      <c r="W68" s="300" t="s">
        <v>310</v>
      </c>
      <c r="X68" s="301"/>
      <c r="Y68" s="217"/>
    </row>
    <row r="69" spans="6:25" ht="13.5" thickBot="1">
      <c r="F69" s="302">
        <f>SUM(F6:F67)</f>
        <v>1614.0659591714975</v>
      </c>
      <c r="K69" s="318">
        <f>N69/$F69</f>
        <v>0.03673112204987169</v>
      </c>
      <c r="L69" s="319">
        <f>O69/$F69</f>
        <v>0</v>
      </c>
      <c r="M69" s="321">
        <f>P69/$F69</f>
        <v>1.6086551447557687</v>
      </c>
      <c r="N69" s="303">
        <f>SUM(N6:N67)</f>
        <v>59.28645374287149</v>
      </c>
      <c r="O69" s="303">
        <f>SUM(O6:O67)</f>
        <v>0</v>
      </c>
      <c r="P69" s="304">
        <f>SUM(P6:P67)</f>
        <v>2596.475509196384</v>
      </c>
      <c r="W69" s="305">
        <f>SUM(W6:W67)</f>
        <v>3243.6699700266863</v>
      </c>
      <c r="X69" s="306">
        <f>SUM(X6:X67)</f>
        <v>3426.51725510393</v>
      </c>
      <c r="Y69" s="307">
        <f>SUM(Y6:Y67)</f>
        <v>1223.8579360188776</v>
      </c>
    </row>
    <row r="70" spans="2:25" ht="13.5" thickBot="1">
      <c r="B70" s="2" t="s">
        <v>306</v>
      </c>
      <c r="F70" s="171"/>
      <c r="K70" s="308"/>
      <c r="L70" s="308"/>
      <c r="M70" s="308"/>
      <c r="N70" s="171"/>
      <c r="O70" s="171"/>
      <c r="P70" s="171"/>
      <c r="W70" s="171"/>
      <c r="X70" s="171"/>
      <c r="Y70" s="171"/>
    </row>
    <row r="71" spans="2:25" ht="13.5" thickBot="1">
      <c r="B71" s="309" t="s">
        <v>303</v>
      </c>
      <c r="C71" s="22"/>
      <c r="D71" s="258"/>
      <c r="E71" s="170"/>
      <c r="F71" s="310">
        <f>F69</f>
        <v>1614.0659591714975</v>
      </c>
      <c r="G71" s="311" t="s">
        <v>298</v>
      </c>
      <c r="H71" s="312">
        <v>2.5</v>
      </c>
      <c r="I71" s="313">
        <v>0</v>
      </c>
      <c r="J71" s="314">
        <v>6.5</v>
      </c>
      <c r="K71" s="252"/>
      <c r="L71" s="252"/>
      <c r="M71" s="252"/>
      <c r="N71" s="258"/>
      <c r="O71" s="258"/>
      <c r="P71" s="171"/>
      <c r="W71" s="315">
        <f>$F71*($H71^2/16+$J71^2/12)</f>
        <v>6313.351746551014</v>
      </c>
      <c r="X71" s="316">
        <f>$F71*($H71^2/16+$J71^2/12)</f>
        <v>6313.351746551014</v>
      </c>
      <c r="Y71" s="317">
        <f>F71*(H71^2+I71^2)/8</f>
        <v>1260.9890306027323</v>
      </c>
    </row>
  </sheetData>
  <mergeCells count="1">
    <mergeCell ref="D3:F3"/>
  </mergeCells>
  <hyperlinks>
    <hyperlink ref="T3" r:id="rId1" display="IXX@cg"/>
    <hyperlink ref="U3" r:id="rId2" display="IXX@cg"/>
  </hyperlinks>
  <printOptions/>
  <pageMargins left="0.75" right="0.75" top="1" bottom="1" header="0.5" footer="0.5"/>
  <pageSetup horizontalDpi="1200" verticalDpi="12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28.7109375" style="0" bestFit="1" customWidth="1"/>
  </cols>
  <sheetData>
    <row r="1" ht="12.75">
      <c r="A1" s="1" t="s">
        <v>78</v>
      </c>
    </row>
    <row r="2" ht="12.75">
      <c r="A2" s="1"/>
    </row>
    <row r="3" spans="2:4" ht="12.75">
      <c r="B3" t="s">
        <v>79</v>
      </c>
      <c r="C3" t="s">
        <v>67</v>
      </c>
      <c r="D3" t="s">
        <v>68</v>
      </c>
    </row>
    <row r="4" spans="1:4" ht="12.75">
      <c r="A4" s="1" t="s">
        <v>0</v>
      </c>
      <c r="B4" s="33">
        <v>240</v>
      </c>
      <c r="D4" s="33">
        <v>20</v>
      </c>
    </row>
    <row r="6" spans="1:2" ht="12.75">
      <c r="A6" s="1" t="s">
        <v>1</v>
      </c>
      <c r="B6" s="32">
        <v>240</v>
      </c>
    </row>
    <row r="7" ht="12.75">
      <c r="B7" s="32"/>
    </row>
    <row r="8" spans="1:2" ht="12.75">
      <c r="A8" s="1" t="s">
        <v>2</v>
      </c>
      <c r="B8" s="32">
        <v>240</v>
      </c>
    </row>
    <row r="10" spans="1:4" ht="12.75">
      <c r="A10" s="1" t="s">
        <v>5</v>
      </c>
      <c r="B10" s="33">
        <v>250</v>
      </c>
      <c r="D10" s="33">
        <v>450</v>
      </c>
    </row>
    <row r="12" ht="12.75">
      <c r="A12" t="s">
        <v>88</v>
      </c>
    </row>
    <row r="13" ht="12.75">
      <c r="A13" t="s">
        <v>87</v>
      </c>
    </row>
    <row r="15" ht="12.75">
      <c r="A15" t="s">
        <v>89</v>
      </c>
    </row>
    <row r="16" ht="12.75">
      <c r="A16" t="s"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7" max="7" width="12.28125" style="0" bestFit="1" customWidth="1"/>
    <col min="9" max="9" width="13.28125" style="0" bestFit="1" customWidth="1"/>
    <col min="10" max="10" width="23.7109375" style="0" bestFit="1" customWidth="1"/>
  </cols>
  <sheetData>
    <row r="1" ht="12.75">
      <c r="A1" t="s">
        <v>70</v>
      </c>
    </row>
    <row r="3" ht="12.75">
      <c r="A3" t="s">
        <v>104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101</v>
      </c>
    </row>
    <row r="16" ht="12.75">
      <c r="A16" t="s">
        <v>102</v>
      </c>
    </row>
    <row r="18" spans="5:11" ht="12.75">
      <c r="E18" s="1" t="s">
        <v>74</v>
      </c>
      <c r="F18" s="1" t="s">
        <v>75</v>
      </c>
      <c r="G18" s="1" t="s">
        <v>72</v>
      </c>
      <c r="H18" s="1" t="s">
        <v>54</v>
      </c>
      <c r="I18" s="1" t="s">
        <v>77</v>
      </c>
      <c r="J18" s="1" t="s">
        <v>73</v>
      </c>
      <c r="K18" s="1" t="s">
        <v>69</v>
      </c>
    </row>
    <row r="19" spans="1:11" ht="12.75">
      <c r="A19" t="s">
        <v>71</v>
      </c>
      <c r="E19" s="35">
        <v>12.5</v>
      </c>
      <c r="F19" s="36">
        <v>0.05</v>
      </c>
      <c r="G19" s="34">
        <f>3.14*E19^2*F19</f>
        <v>24.53125</v>
      </c>
      <c r="H19">
        <v>3</v>
      </c>
      <c r="I19" s="34">
        <f>G19*H19</f>
        <v>73.59375</v>
      </c>
      <c r="J19">
        <v>2.3</v>
      </c>
      <c r="K19" s="34">
        <f>I19*J19/1000</f>
        <v>0.169265625</v>
      </c>
    </row>
    <row r="20" spans="1:11" ht="12.75">
      <c r="A20" t="s">
        <v>76</v>
      </c>
      <c r="K20">
        <v>2</v>
      </c>
    </row>
    <row r="22" ht="12.75">
      <c r="A22" t="s">
        <v>105</v>
      </c>
    </row>
    <row r="23" ht="14.25" customHeight="1">
      <c r="A23" t="s">
        <v>106</v>
      </c>
    </row>
    <row r="24" ht="12.75">
      <c r="A24" t="s">
        <v>107</v>
      </c>
    </row>
    <row r="25" ht="12.75">
      <c r="A25" t="s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C59" sqref="C59:I59"/>
    </sheetView>
  </sheetViews>
  <sheetFormatPr defaultColWidth="9.140625" defaultRowHeight="12.75"/>
  <cols>
    <col min="2" max="2" width="38.8515625" style="0" bestFit="1" customWidth="1"/>
    <col min="11" max="11" width="6.00390625" style="0" bestFit="1" customWidth="1"/>
    <col min="12" max="12" width="5.8515625" style="0" bestFit="1" customWidth="1"/>
    <col min="13" max="13" width="6.28125" style="0" bestFit="1" customWidth="1"/>
    <col min="14" max="14" width="7.28125" style="0" bestFit="1" customWidth="1"/>
    <col min="15" max="15" width="38.7109375" style="30" bestFit="1" customWidth="1"/>
  </cols>
  <sheetData>
    <row r="1" spans="2:15" ht="12.75">
      <c r="B1" s="5"/>
      <c r="C1" s="5"/>
      <c r="D1" s="5"/>
      <c r="E1" s="339" t="s">
        <v>109</v>
      </c>
      <c r="F1" s="340"/>
      <c r="G1" s="340"/>
      <c r="H1" s="340"/>
      <c r="I1" s="340"/>
      <c r="J1" s="341"/>
      <c r="O1"/>
    </row>
    <row r="2" spans="2:15" ht="12.75">
      <c r="B2" s="5"/>
      <c r="C2" s="5" t="s">
        <v>54</v>
      </c>
      <c r="D2" s="5" t="s">
        <v>56</v>
      </c>
      <c r="E2" s="5" t="s">
        <v>65</v>
      </c>
      <c r="F2" s="5" t="s">
        <v>64</v>
      </c>
      <c r="G2" s="5" t="s">
        <v>56</v>
      </c>
      <c r="H2" s="5" t="s">
        <v>112</v>
      </c>
      <c r="I2" s="5" t="s">
        <v>113</v>
      </c>
      <c r="O2"/>
    </row>
    <row r="3" spans="1:15" ht="12.75">
      <c r="A3" s="1" t="s">
        <v>4</v>
      </c>
      <c r="B3" s="5"/>
      <c r="C3" s="14"/>
      <c r="D3" s="14"/>
      <c r="E3" s="14"/>
      <c r="F3" s="15"/>
      <c r="G3" s="15"/>
      <c r="H3" s="15"/>
      <c r="I3" s="15"/>
      <c r="O3"/>
    </row>
    <row r="4" spans="1:15" ht="12.75">
      <c r="A4" s="1"/>
      <c r="B4" s="5"/>
      <c r="C4" s="14"/>
      <c r="D4" s="14"/>
      <c r="E4" s="14"/>
      <c r="F4" s="15"/>
      <c r="G4" s="15"/>
      <c r="H4" s="15"/>
      <c r="I4" s="15"/>
      <c r="O4"/>
    </row>
    <row r="5" spans="1:15" ht="12.75">
      <c r="A5" s="2" t="s">
        <v>21</v>
      </c>
      <c r="B5" s="5"/>
      <c r="C5" s="14"/>
      <c r="D5" s="14"/>
      <c r="E5" s="14"/>
      <c r="F5" s="14"/>
      <c r="G5" s="14"/>
      <c r="H5" s="14"/>
      <c r="I5" s="14"/>
      <c r="O5"/>
    </row>
    <row r="6" spans="1:15" ht="12.75">
      <c r="A6" s="2"/>
      <c r="B6" s="5" t="s">
        <v>22</v>
      </c>
      <c r="C6" s="5"/>
      <c r="D6" s="5"/>
      <c r="E6" s="5"/>
      <c r="F6" s="5"/>
      <c r="G6" s="5"/>
      <c r="H6" s="5"/>
      <c r="I6" s="5"/>
      <c r="O6"/>
    </row>
    <row r="7" spans="1:15" ht="12.75">
      <c r="A7" s="2"/>
      <c r="B7" s="5" t="s">
        <v>23</v>
      </c>
      <c r="C7" s="5">
        <v>4</v>
      </c>
      <c r="D7" s="5">
        <v>4</v>
      </c>
      <c r="E7" s="38">
        <v>15.5</v>
      </c>
      <c r="F7" s="38">
        <f>C7*E7</f>
        <v>62</v>
      </c>
      <c r="G7" s="38">
        <v>2</v>
      </c>
      <c r="H7" s="5"/>
      <c r="I7" s="5"/>
      <c r="O7"/>
    </row>
    <row r="8" spans="1:15" ht="12.75">
      <c r="A8" s="2"/>
      <c r="B8" s="5" t="s">
        <v>28</v>
      </c>
      <c r="C8" s="5">
        <v>2</v>
      </c>
      <c r="D8" s="5">
        <v>1</v>
      </c>
      <c r="E8" s="38">
        <v>7</v>
      </c>
      <c r="F8" s="38">
        <f>C8*E8</f>
        <v>14</v>
      </c>
      <c r="G8" s="38">
        <v>6</v>
      </c>
      <c r="H8" s="5"/>
      <c r="I8" s="5"/>
      <c r="O8"/>
    </row>
    <row r="9" spans="1:15" ht="12.75">
      <c r="A9" s="2"/>
      <c r="B9" s="5" t="s">
        <v>29</v>
      </c>
      <c r="C9" s="5">
        <v>2</v>
      </c>
      <c r="D9" s="5">
        <v>2</v>
      </c>
      <c r="E9" s="38">
        <v>8</v>
      </c>
      <c r="F9" s="38">
        <f>C9*E9</f>
        <v>16</v>
      </c>
      <c r="G9" s="38">
        <v>6</v>
      </c>
      <c r="H9" s="5"/>
      <c r="I9" s="5"/>
      <c r="O9"/>
    </row>
    <row r="10" spans="1:15" ht="12.75">
      <c r="A10" s="2"/>
      <c r="B10" s="5" t="s">
        <v>30</v>
      </c>
      <c r="C10" s="5">
        <v>2</v>
      </c>
      <c r="D10" s="5">
        <v>2</v>
      </c>
      <c r="E10" s="31"/>
      <c r="F10" s="31"/>
      <c r="G10" s="11"/>
      <c r="H10" s="5"/>
      <c r="I10" s="5"/>
      <c r="O10"/>
    </row>
    <row r="11" spans="1:15" ht="12.75">
      <c r="A11" s="2"/>
      <c r="B11" s="4" t="s">
        <v>39</v>
      </c>
      <c r="C11" s="4">
        <f>SUM(C6:C10)</f>
        <v>10</v>
      </c>
      <c r="D11" s="4">
        <f>SUM(D6:D10)</f>
        <v>9</v>
      </c>
      <c r="E11" s="4">
        <f>SUM(E6:E10)</f>
        <v>30.5</v>
      </c>
      <c r="F11" s="4">
        <f>SUM(F6:F10)</f>
        <v>92</v>
      </c>
      <c r="G11" s="4">
        <f>SUM(G6:G10)</f>
        <v>14</v>
      </c>
      <c r="H11" s="5"/>
      <c r="I11" s="5"/>
      <c r="O11"/>
    </row>
    <row r="12" spans="1:15" ht="12.75">
      <c r="A12" s="2" t="s">
        <v>47</v>
      </c>
      <c r="B12" s="4"/>
      <c r="C12" s="18"/>
      <c r="D12" s="18"/>
      <c r="E12" s="18"/>
      <c r="F12" s="14"/>
      <c r="G12" s="14"/>
      <c r="H12" s="14"/>
      <c r="I12" s="14"/>
      <c r="O12"/>
    </row>
    <row r="13" spans="1:15" ht="12.75">
      <c r="A13" s="2"/>
      <c r="B13" s="5" t="s">
        <v>31</v>
      </c>
      <c r="C13" s="5">
        <v>1</v>
      </c>
      <c r="D13" s="5">
        <v>1</v>
      </c>
      <c r="E13" s="38">
        <v>0.68</v>
      </c>
      <c r="F13" s="37">
        <f>C13*E13</f>
        <v>0.68</v>
      </c>
      <c r="G13" s="11"/>
      <c r="H13" s="5"/>
      <c r="I13" s="5"/>
      <c r="O13"/>
    </row>
    <row r="14" spans="1:15" ht="12.75">
      <c r="A14" s="2"/>
      <c r="B14" s="5" t="s">
        <v>32</v>
      </c>
      <c r="C14" s="5">
        <v>12</v>
      </c>
      <c r="D14" s="5">
        <v>12</v>
      </c>
      <c r="E14" s="38">
        <v>0.22</v>
      </c>
      <c r="F14" s="38">
        <f>C14*E14</f>
        <v>2.64</v>
      </c>
      <c r="G14" s="11"/>
      <c r="H14" s="5"/>
      <c r="I14" s="5"/>
      <c r="O14"/>
    </row>
    <row r="15" spans="1:15" ht="12.75">
      <c r="A15" s="2"/>
      <c r="B15" s="5" t="s">
        <v>42</v>
      </c>
      <c r="C15" s="14"/>
      <c r="D15" s="14"/>
      <c r="E15" s="14"/>
      <c r="F15" s="38">
        <v>3.06</v>
      </c>
      <c r="G15" s="11"/>
      <c r="H15" s="5"/>
      <c r="I15" s="5"/>
      <c r="O15"/>
    </row>
    <row r="16" spans="1:15" ht="12.75">
      <c r="A16" s="2"/>
      <c r="B16" s="8" t="s">
        <v>57</v>
      </c>
      <c r="C16" s="5">
        <v>3</v>
      </c>
      <c r="D16" s="5">
        <v>3</v>
      </c>
      <c r="E16" s="14"/>
      <c r="F16" s="16"/>
      <c r="G16" s="16"/>
      <c r="H16" s="14"/>
      <c r="I16" s="14"/>
      <c r="O16"/>
    </row>
    <row r="17" spans="1:15" ht="12.75">
      <c r="A17" s="2"/>
      <c r="B17" s="8" t="s">
        <v>58</v>
      </c>
      <c r="C17" s="5">
        <v>2</v>
      </c>
      <c r="D17" s="5">
        <v>2</v>
      </c>
      <c r="E17" s="14"/>
      <c r="F17" s="16"/>
      <c r="G17" s="16"/>
      <c r="H17" s="14"/>
      <c r="I17" s="14"/>
      <c r="O17"/>
    </row>
    <row r="18" spans="1:15" ht="12.75">
      <c r="A18" s="2"/>
      <c r="B18" s="8" t="s">
        <v>59</v>
      </c>
      <c r="C18" s="5">
        <v>3</v>
      </c>
      <c r="D18" s="5">
        <v>3</v>
      </c>
      <c r="E18" s="14"/>
      <c r="F18" s="16"/>
      <c r="G18" s="16"/>
      <c r="H18" s="14"/>
      <c r="I18" s="14"/>
      <c r="O18"/>
    </row>
    <row r="19" spans="1:15" ht="12.75">
      <c r="A19" s="2"/>
      <c r="B19" s="8" t="s">
        <v>60</v>
      </c>
      <c r="C19" s="5">
        <v>2</v>
      </c>
      <c r="D19" s="5">
        <v>2</v>
      </c>
      <c r="E19" s="14"/>
      <c r="F19" s="16"/>
      <c r="G19" s="16"/>
      <c r="H19" s="14"/>
      <c r="I19" s="14"/>
      <c r="O19"/>
    </row>
    <row r="20" spans="1:15" ht="12.75">
      <c r="A20" s="2"/>
      <c r="B20" s="9" t="s">
        <v>34</v>
      </c>
      <c r="C20" s="5">
        <v>6</v>
      </c>
      <c r="D20" s="5">
        <v>6</v>
      </c>
      <c r="E20" s="37">
        <v>1.46</v>
      </c>
      <c r="F20" s="38">
        <f>C20*E20</f>
        <v>8.76</v>
      </c>
      <c r="G20" s="11"/>
      <c r="H20" s="5"/>
      <c r="I20" s="5"/>
      <c r="O20"/>
    </row>
    <row r="21" spans="1:15" ht="12.75">
      <c r="A21" s="2"/>
      <c r="B21" s="4" t="s">
        <v>39</v>
      </c>
      <c r="C21" s="4">
        <f>SUM(C6:C20)</f>
        <v>49</v>
      </c>
      <c r="D21" s="4">
        <f>SUM(D6:D20)</f>
        <v>47</v>
      </c>
      <c r="E21" s="21">
        <f>SUM(E6:E20)</f>
        <v>63.36</v>
      </c>
      <c r="F21" s="4">
        <f>SUM(F13:F20)</f>
        <v>15.14</v>
      </c>
      <c r="G21" s="4">
        <f>SUM(G13:G20)</f>
        <v>0</v>
      </c>
      <c r="H21" s="5"/>
      <c r="I21" s="5"/>
      <c r="O21"/>
    </row>
    <row r="22" spans="1:15" ht="12.75">
      <c r="A22" s="2" t="s">
        <v>46</v>
      </c>
      <c r="B22" s="13"/>
      <c r="C22" s="14"/>
      <c r="D22" s="14"/>
      <c r="E22" s="14"/>
      <c r="F22" s="14"/>
      <c r="G22" s="14"/>
      <c r="H22" s="14"/>
      <c r="I22" s="14"/>
      <c r="O22"/>
    </row>
    <row r="23" spans="1:15" ht="12.75">
      <c r="A23" s="2"/>
      <c r="B23" s="5" t="s">
        <v>44</v>
      </c>
      <c r="C23" s="5">
        <v>1</v>
      </c>
      <c r="D23" s="5">
        <v>1</v>
      </c>
      <c r="E23" s="11">
        <v>100</v>
      </c>
      <c r="G23" s="38">
        <v>35</v>
      </c>
      <c r="H23" s="5"/>
      <c r="I23" s="5"/>
      <c r="O23"/>
    </row>
    <row r="24" spans="1:15" ht="12.75">
      <c r="A24" s="2"/>
      <c r="B24" s="5" t="s">
        <v>6</v>
      </c>
      <c r="C24" s="5">
        <v>1</v>
      </c>
      <c r="D24" s="5">
        <v>1</v>
      </c>
      <c r="E24" s="5"/>
      <c r="F24" s="5"/>
      <c r="G24" s="5"/>
      <c r="H24" s="5"/>
      <c r="I24" s="5"/>
      <c r="O24"/>
    </row>
    <row r="25" spans="1:15" ht="12.75">
      <c r="A25" s="2"/>
      <c r="B25" s="5" t="s">
        <v>7</v>
      </c>
      <c r="C25" s="5"/>
      <c r="D25" s="5"/>
      <c r="E25" s="5"/>
      <c r="F25" s="5"/>
      <c r="G25" s="5"/>
      <c r="H25" s="5"/>
      <c r="I25" s="5"/>
      <c r="O25"/>
    </row>
    <row r="26" spans="1:15" ht="12.75">
      <c r="A26" s="2"/>
      <c r="B26" s="5" t="s">
        <v>118</v>
      </c>
      <c r="C26" s="5">
        <v>1</v>
      </c>
      <c r="D26" s="5">
        <v>1</v>
      </c>
      <c r="E26" s="5"/>
      <c r="F26" s="5"/>
      <c r="G26" s="5"/>
      <c r="H26" s="5"/>
      <c r="I26" s="5"/>
      <c r="O26"/>
    </row>
    <row r="27" spans="1:15" ht="12.75">
      <c r="A27" s="2"/>
      <c r="B27" s="5" t="s">
        <v>8</v>
      </c>
      <c r="C27" s="5">
        <v>1</v>
      </c>
      <c r="D27" s="5">
        <v>1</v>
      </c>
      <c r="E27" s="5"/>
      <c r="F27" s="5"/>
      <c r="G27" s="5"/>
      <c r="H27" s="5"/>
      <c r="I27" s="5"/>
      <c r="O27"/>
    </row>
    <row r="28" spans="1:15" ht="12.75">
      <c r="A28" s="2"/>
      <c r="B28" s="5" t="s">
        <v>9</v>
      </c>
      <c r="C28" s="5">
        <v>1</v>
      </c>
      <c r="D28" s="5">
        <v>1</v>
      </c>
      <c r="E28" s="5"/>
      <c r="F28" s="5"/>
      <c r="G28" s="5"/>
      <c r="H28" s="5"/>
      <c r="I28" s="5"/>
      <c r="O28"/>
    </row>
    <row r="29" spans="1:15" ht="12.75">
      <c r="A29" s="2"/>
      <c r="B29" s="5" t="s">
        <v>10</v>
      </c>
      <c r="C29" s="5"/>
      <c r="D29" s="5"/>
      <c r="E29" s="5"/>
      <c r="F29" s="5"/>
      <c r="G29" s="5"/>
      <c r="H29" s="5"/>
      <c r="I29" s="5"/>
      <c r="O29"/>
    </row>
    <row r="30" spans="1:15" ht="12.75">
      <c r="A30" s="2"/>
      <c r="B30" s="5" t="s">
        <v>11</v>
      </c>
      <c r="C30" s="5"/>
      <c r="D30" s="5"/>
      <c r="E30" s="5"/>
      <c r="F30" s="5"/>
      <c r="G30" s="5"/>
      <c r="H30" s="5"/>
      <c r="I30" s="5"/>
      <c r="O30"/>
    </row>
    <row r="31" spans="1:15" ht="12.75">
      <c r="A31" s="2"/>
      <c r="B31" s="4" t="s">
        <v>39</v>
      </c>
      <c r="C31" s="4">
        <f>SUM(C23:C30)</f>
        <v>5</v>
      </c>
      <c r="D31" s="4">
        <f>SUM(D23:D30)</f>
        <v>5</v>
      </c>
      <c r="E31" s="4">
        <f>SUM(E23:E30)</f>
        <v>100</v>
      </c>
      <c r="F31" s="4">
        <f>SUM(F23:F30)</f>
        <v>0</v>
      </c>
      <c r="G31" s="4">
        <f>SUM(G23:G30)</f>
        <v>35</v>
      </c>
      <c r="H31" s="5"/>
      <c r="I31" s="5"/>
      <c r="O31"/>
    </row>
    <row r="32" spans="1:15" ht="12.75">
      <c r="A32" s="2" t="s">
        <v>16</v>
      </c>
      <c r="B32" s="5"/>
      <c r="C32" s="14"/>
      <c r="D32" s="14"/>
      <c r="E32" s="14"/>
      <c r="F32" s="14"/>
      <c r="G32" s="14"/>
      <c r="H32" s="14"/>
      <c r="I32" s="14"/>
      <c r="O32"/>
    </row>
    <row r="33" spans="1:15" ht="12.75">
      <c r="A33" s="2"/>
      <c r="B33" s="9" t="s">
        <v>17</v>
      </c>
      <c r="C33" s="9">
        <v>1</v>
      </c>
      <c r="D33" s="9">
        <v>1</v>
      </c>
      <c r="E33" s="38">
        <v>40</v>
      </c>
      <c r="F33" s="5"/>
      <c r="G33" s="11"/>
      <c r="H33" s="5"/>
      <c r="I33" s="5"/>
      <c r="O33"/>
    </row>
    <row r="34" spans="1:15" ht="12.75">
      <c r="A34" s="2"/>
      <c r="B34" s="9" t="s">
        <v>18</v>
      </c>
      <c r="C34" s="9">
        <v>1</v>
      </c>
      <c r="D34" s="9"/>
      <c r="E34" s="38">
        <v>13.6</v>
      </c>
      <c r="F34" s="5"/>
      <c r="G34" s="5"/>
      <c r="H34" s="5"/>
      <c r="I34" s="5"/>
      <c r="O34"/>
    </row>
    <row r="35" spans="1:15" ht="12.75">
      <c r="A35" s="2"/>
      <c r="B35" s="9" t="s">
        <v>19</v>
      </c>
      <c r="C35" s="9">
        <v>1</v>
      </c>
      <c r="D35" s="9">
        <v>1</v>
      </c>
      <c r="E35" s="38">
        <v>5</v>
      </c>
      <c r="F35" s="5"/>
      <c r="G35" s="11"/>
      <c r="H35" s="5"/>
      <c r="I35" s="5"/>
      <c r="O35"/>
    </row>
    <row r="36" spans="1:15" ht="12.75">
      <c r="A36" s="2"/>
      <c r="B36" s="9" t="s">
        <v>20</v>
      </c>
      <c r="C36" s="9">
        <v>1</v>
      </c>
      <c r="D36" s="9">
        <v>1</v>
      </c>
      <c r="E36" s="38">
        <v>36</v>
      </c>
      <c r="F36" s="5"/>
      <c r="G36" s="11"/>
      <c r="H36" s="5"/>
      <c r="I36" s="5"/>
      <c r="O36"/>
    </row>
    <row r="37" spans="1:15" ht="12.75">
      <c r="A37" s="2"/>
      <c r="B37" s="5" t="s">
        <v>40</v>
      </c>
      <c r="C37" s="5"/>
      <c r="D37" s="5"/>
      <c r="E37" s="38">
        <v>2</v>
      </c>
      <c r="F37" s="5"/>
      <c r="G37" s="11"/>
      <c r="H37" s="5"/>
      <c r="I37" s="5"/>
      <c r="O37"/>
    </row>
    <row r="38" spans="2:15" ht="12.75">
      <c r="B38" s="5" t="s">
        <v>115</v>
      </c>
      <c r="C38" s="25">
        <v>1</v>
      </c>
      <c r="D38" s="25">
        <v>1</v>
      </c>
      <c r="E38" s="40">
        <v>13.6</v>
      </c>
      <c r="F38" s="41">
        <f>C38*E38</f>
        <v>13.6</v>
      </c>
      <c r="G38" s="41">
        <v>13.6</v>
      </c>
      <c r="H38" s="5"/>
      <c r="I38" s="5"/>
      <c r="O38"/>
    </row>
    <row r="39" spans="1:15" ht="12.75">
      <c r="A39" s="2"/>
      <c r="B39" s="4" t="s">
        <v>39</v>
      </c>
      <c r="C39" s="4">
        <f>SUM(C33:C37)</f>
        <v>4</v>
      </c>
      <c r="D39" s="4">
        <f>SUM(D33:D37)</f>
        <v>3</v>
      </c>
      <c r="E39" s="42">
        <f>SUM(E33:E38)</f>
        <v>110.19999999999999</v>
      </c>
      <c r="F39" s="42">
        <f>SUM(F33:F38)</f>
        <v>13.6</v>
      </c>
      <c r="G39" s="42">
        <f>SUM(G33:G38)</f>
        <v>13.6</v>
      </c>
      <c r="H39" s="5"/>
      <c r="I39" s="5"/>
      <c r="O39"/>
    </row>
    <row r="40" spans="1:15" ht="12.75">
      <c r="A40" s="2" t="s">
        <v>45</v>
      </c>
      <c r="B40" s="5"/>
      <c r="C40" s="14"/>
      <c r="D40" s="14"/>
      <c r="E40" s="14"/>
      <c r="F40" s="14"/>
      <c r="G40" s="14"/>
      <c r="H40" s="14"/>
      <c r="I40" s="14"/>
      <c r="O40"/>
    </row>
    <row r="41" spans="1:15" ht="12.75">
      <c r="A41" s="2"/>
      <c r="B41" s="5" t="s">
        <v>24</v>
      </c>
      <c r="C41" s="5">
        <v>2</v>
      </c>
      <c r="D41" s="5"/>
      <c r="E41" s="38">
        <v>1</v>
      </c>
      <c r="F41" s="38">
        <f>C41*E41</f>
        <v>2</v>
      </c>
      <c r="G41" s="11"/>
      <c r="H41" s="5"/>
      <c r="I41" s="5"/>
      <c r="O41"/>
    </row>
    <row r="42" spans="1:15" ht="12.75">
      <c r="A42" s="2"/>
      <c r="B42" s="5" t="s">
        <v>26</v>
      </c>
      <c r="C42" s="5">
        <v>3</v>
      </c>
      <c r="D42" s="5"/>
      <c r="E42" s="38">
        <v>4</v>
      </c>
      <c r="F42" s="38">
        <f>C42*E42</f>
        <v>12</v>
      </c>
      <c r="G42" s="11"/>
      <c r="H42" s="5"/>
      <c r="I42" s="5"/>
      <c r="O42"/>
    </row>
    <row r="43" spans="1:15" ht="12.75">
      <c r="A43" s="2"/>
      <c r="B43" s="5" t="s">
        <v>25</v>
      </c>
      <c r="C43" s="5">
        <v>2</v>
      </c>
      <c r="D43" s="5"/>
      <c r="E43" s="38">
        <v>1</v>
      </c>
      <c r="F43" s="38">
        <f>C43*E43</f>
        <v>2</v>
      </c>
      <c r="G43" s="11"/>
      <c r="H43" s="5"/>
      <c r="I43" s="5"/>
      <c r="O43"/>
    </row>
    <row r="44" spans="1:15" ht="12.75">
      <c r="A44" s="2"/>
      <c r="B44" s="5" t="s">
        <v>63</v>
      </c>
      <c r="C44" s="5">
        <v>3</v>
      </c>
      <c r="D44" s="5"/>
      <c r="E44" s="38">
        <v>0.33</v>
      </c>
      <c r="F44" s="38">
        <f>C44*E44</f>
        <v>0.99</v>
      </c>
      <c r="G44" s="11"/>
      <c r="H44" s="5"/>
      <c r="I44" s="5"/>
      <c r="O44"/>
    </row>
    <row r="45" spans="1:15" ht="12.75">
      <c r="A45" s="2"/>
      <c r="B45" s="5" t="s">
        <v>27</v>
      </c>
      <c r="C45" s="5"/>
      <c r="D45" s="5"/>
      <c r="E45" s="31"/>
      <c r="F45" s="31"/>
      <c r="G45" s="5"/>
      <c r="H45" s="5"/>
      <c r="I45" s="5"/>
      <c r="O45"/>
    </row>
    <row r="46" spans="1:15" ht="12.75">
      <c r="A46" s="2"/>
      <c r="B46" s="4" t="s">
        <v>39</v>
      </c>
      <c r="C46" s="4">
        <f>SUM(C41:C45)</f>
        <v>10</v>
      </c>
      <c r="D46" s="4"/>
      <c r="E46" s="4">
        <f>SUM(E41:E45)</f>
        <v>6.33</v>
      </c>
      <c r="F46" s="4">
        <f>SUM(F41:F45)</f>
        <v>16.99</v>
      </c>
      <c r="G46" s="4">
        <f>SUM(G41:G45)</f>
        <v>0</v>
      </c>
      <c r="H46" s="5"/>
      <c r="I46" s="5"/>
      <c r="O46"/>
    </row>
    <row r="47" spans="1:15" ht="12.75">
      <c r="A47" s="2" t="s">
        <v>35</v>
      </c>
      <c r="B47" s="5"/>
      <c r="C47" s="14"/>
      <c r="D47" s="14"/>
      <c r="E47" s="14"/>
      <c r="F47" s="14"/>
      <c r="G47" s="14"/>
      <c r="H47" s="14"/>
      <c r="I47" s="14"/>
      <c r="O47"/>
    </row>
    <row r="48" spans="1:15" ht="12.75">
      <c r="A48" s="2"/>
      <c r="B48" s="5" t="s">
        <v>52</v>
      </c>
      <c r="C48" s="5"/>
      <c r="D48" s="5"/>
      <c r="E48" s="5"/>
      <c r="F48" s="13"/>
      <c r="G48" s="13"/>
      <c r="H48" s="13"/>
      <c r="I48" s="13"/>
      <c r="O48"/>
    </row>
    <row r="49" spans="1:15" ht="12.75">
      <c r="A49" s="2"/>
      <c r="B49" s="5" t="s">
        <v>66</v>
      </c>
      <c r="C49" s="5"/>
      <c r="D49" s="5"/>
      <c r="E49" s="5"/>
      <c r="F49" s="13"/>
      <c r="G49" s="13"/>
      <c r="H49" s="13"/>
      <c r="I49" s="13"/>
      <c r="O49"/>
    </row>
    <row r="50" spans="1:15" ht="12.75">
      <c r="A50" s="2"/>
      <c r="B50" s="5" t="s">
        <v>53</v>
      </c>
      <c r="C50" s="5"/>
      <c r="D50" s="5"/>
      <c r="E50" s="5"/>
      <c r="F50" s="13"/>
      <c r="G50" s="13"/>
      <c r="H50" s="13"/>
      <c r="I50" s="13"/>
      <c r="O50"/>
    </row>
    <row r="51" spans="2:15" ht="12.75">
      <c r="B51" s="5" t="s">
        <v>116</v>
      </c>
      <c r="C51" s="5">
        <v>1</v>
      </c>
      <c r="D51" s="5"/>
      <c r="E51" s="5"/>
      <c r="F51" s="5"/>
      <c r="G51" s="5"/>
      <c r="H51" s="5"/>
      <c r="I51" s="5"/>
      <c r="O51"/>
    </row>
    <row r="52" spans="2:15" ht="12.75">
      <c r="B52" s="5" t="s">
        <v>37</v>
      </c>
      <c r="C52" s="5">
        <v>1</v>
      </c>
      <c r="D52" s="5"/>
      <c r="E52" s="5"/>
      <c r="F52" s="5"/>
      <c r="G52" s="5"/>
      <c r="H52" s="5"/>
      <c r="I52" s="5"/>
      <c r="O52"/>
    </row>
    <row r="53" spans="2:15" ht="12.75">
      <c r="B53" s="5" t="s">
        <v>36</v>
      </c>
      <c r="C53" s="5"/>
      <c r="D53" s="5"/>
      <c r="E53" s="5"/>
      <c r="F53" s="5"/>
      <c r="G53" s="5"/>
      <c r="H53" s="5"/>
      <c r="I53" s="5"/>
      <c r="O53" s="23"/>
    </row>
    <row r="54" spans="2:15" ht="12.75">
      <c r="B54" s="5" t="s">
        <v>38</v>
      </c>
      <c r="C54" s="5"/>
      <c r="D54" s="5"/>
      <c r="E54" s="5"/>
      <c r="F54" s="5"/>
      <c r="G54" s="5"/>
      <c r="H54" s="5"/>
      <c r="I54" s="5"/>
      <c r="O54"/>
    </row>
    <row r="55" spans="2:15" ht="12.75">
      <c r="B55" s="4" t="s">
        <v>39</v>
      </c>
      <c r="C55" s="4">
        <f>SUM(C48:C54)</f>
        <v>2</v>
      </c>
      <c r="D55" s="4"/>
      <c r="E55" s="4"/>
      <c r="F55" s="5"/>
      <c r="G55" s="4">
        <f>SUM(G48:G54)</f>
        <v>0</v>
      </c>
      <c r="H55" s="5"/>
      <c r="I55" s="5"/>
      <c r="O55"/>
    </row>
    <row r="56" spans="1:15" ht="12.75">
      <c r="A56" s="2" t="s">
        <v>14</v>
      </c>
      <c r="B56" s="4"/>
      <c r="C56" s="18"/>
      <c r="D56" s="18"/>
      <c r="E56" s="18"/>
      <c r="F56" s="14"/>
      <c r="G56" s="14"/>
      <c r="H56" s="14"/>
      <c r="I56" s="14"/>
      <c r="O56"/>
    </row>
    <row r="57" spans="1:15" ht="12.75">
      <c r="A57" s="2"/>
      <c r="B57" s="9" t="s">
        <v>15</v>
      </c>
      <c r="C57" s="9">
        <v>1</v>
      </c>
      <c r="D57" s="9">
        <v>1</v>
      </c>
      <c r="E57" s="38">
        <v>1</v>
      </c>
      <c r="F57" s="5"/>
      <c r="G57" s="11"/>
      <c r="H57" s="5"/>
      <c r="I57" s="5"/>
      <c r="O57"/>
    </row>
    <row r="58" spans="1:15" ht="12.75">
      <c r="A58" s="2"/>
      <c r="B58" s="4" t="s">
        <v>39</v>
      </c>
      <c r="C58" s="4">
        <f>SUM(C57)</f>
        <v>1</v>
      </c>
      <c r="D58" s="4">
        <f>SUM(D57)</f>
        <v>1</v>
      </c>
      <c r="E58" s="39">
        <f>SUM(E57)</f>
        <v>1</v>
      </c>
      <c r="F58" s="5"/>
      <c r="G58" s="21">
        <f>SUM(G57)</f>
        <v>0</v>
      </c>
      <c r="H58" s="5"/>
      <c r="I58" s="5"/>
      <c r="O58"/>
    </row>
    <row r="59" spans="1:15" ht="12.75">
      <c r="A59" s="43" t="s">
        <v>48</v>
      </c>
      <c r="C59" s="47">
        <f>SUM(C11+C21+C31+C39+C46+C55+C58)</f>
        <v>81</v>
      </c>
      <c r="D59" s="47"/>
      <c r="E59" s="47">
        <f>SUM(E57:E58)</f>
        <v>2</v>
      </c>
      <c r="F59" s="50"/>
      <c r="G59" s="50"/>
      <c r="H59" s="50"/>
      <c r="I59" s="50"/>
      <c r="O59"/>
    </row>
    <row r="60" spans="1:15" ht="12.75">
      <c r="A60" s="20" t="s">
        <v>41</v>
      </c>
      <c r="B60" s="45"/>
      <c r="C60" s="14"/>
      <c r="D60" s="14"/>
      <c r="E60" s="14"/>
      <c r="F60" s="14"/>
      <c r="G60" s="14"/>
      <c r="H60" s="14"/>
      <c r="I60" s="14"/>
      <c r="O60"/>
    </row>
    <row r="61" spans="1:15" ht="12.75">
      <c r="A61" s="20"/>
      <c r="B61" s="45" t="s">
        <v>50</v>
      </c>
      <c r="C61" s="5"/>
      <c r="D61" s="5"/>
      <c r="E61" s="5"/>
      <c r="F61" s="5"/>
      <c r="G61" s="4"/>
      <c r="H61" s="5"/>
      <c r="I61" s="5"/>
      <c r="O61"/>
    </row>
    <row r="62" spans="1:15" ht="12.75">
      <c r="A62" s="10"/>
      <c r="B62" s="45" t="s">
        <v>49</v>
      </c>
      <c r="C62" s="5"/>
      <c r="D62" s="5"/>
      <c r="E62" s="5"/>
      <c r="F62" s="5"/>
      <c r="G62" s="4"/>
      <c r="H62" s="5"/>
      <c r="I62" s="5"/>
      <c r="O62"/>
    </row>
    <row r="63" spans="1:15" ht="12.75">
      <c r="A63" s="10"/>
      <c r="B63" s="46" t="s">
        <v>39</v>
      </c>
      <c r="C63" s="4">
        <f>SUM(C61:C62)</f>
        <v>0</v>
      </c>
      <c r="D63" s="4"/>
      <c r="E63" s="4">
        <v>49.2</v>
      </c>
      <c r="G63" s="4">
        <f>SUM(G61:G62)</f>
        <v>0</v>
      </c>
      <c r="H63" s="5"/>
      <c r="I63" s="5"/>
      <c r="O63"/>
    </row>
    <row r="64" spans="1:15" ht="12.75">
      <c r="A64" s="43" t="s">
        <v>51</v>
      </c>
      <c r="B64" s="45"/>
      <c r="C64" s="48">
        <f>SUM(C59+C63)</f>
        <v>81</v>
      </c>
      <c r="D64" s="48"/>
      <c r="E64" s="48">
        <f>SUM(E59+E63)</f>
        <v>51.2</v>
      </c>
      <c r="F64" s="49"/>
      <c r="G64" s="49"/>
      <c r="H64" s="49"/>
      <c r="I64" s="49"/>
      <c r="O64"/>
    </row>
    <row r="65" ht="12.75">
      <c r="O65"/>
    </row>
  </sheetData>
  <mergeCells count="1">
    <mergeCell ref="E1:J1"/>
  </mergeCells>
  <printOptions/>
  <pageMargins left="0.25" right="0.25" top="1" bottom="0.5" header="0.5" footer="0.5"/>
  <pageSetup horizontalDpi="600" verticalDpi="600" orientation="portrait" paperSize="188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9"/>
  <sheetViews>
    <sheetView zoomScale="75" zoomScaleNormal="75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6" sqref="B36"/>
    </sheetView>
  </sheetViews>
  <sheetFormatPr defaultColWidth="9.140625" defaultRowHeight="12.75"/>
  <cols>
    <col min="1" max="1" width="27.140625" style="10" bestFit="1" customWidth="1"/>
    <col min="2" max="2" width="38.8515625" style="10" bestFit="1" customWidth="1"/>
    <col min="3" max="3" width="4.7109375" style="10" bestFit="1" customWidth="1"/>
    <col min="6" max="6" width="8.28125" style="0" customWidth="1"/>
    <col min="9" max="9" width="8.140625" style="0" bestFit="1" customWidth="1"/>
    <col min="10" max="10" width="9.7109375" style="0" customWidth="1"/>
    <col min="12" max="13" width="9.140625" style="22" customWidth="1"/>
    <col min="14" max="15" width="9.140625" style="10" customWidth="1"/>
  </cols>
  <sheetData>
    <row r="1" spans="1:13" s="10" customFormat="1" ht="12.75">
      <c r="A1" s="5"/>
      <c r="B1" s="5"/>
      <c r="C1" s="5"/>
      <c r="D1" s="342" t="s">
        <v>43</v>
      </c>
      <c r="E1" s="342"/>
      <c r="F1" s="342" t="s">
        <v>110</v>
      </c>
      <c r="G1" s="342"/>
      <c r="H1" s="6" t="s">
        <v>111</v>
      </c>
      <c r="I1" s="6"/>
      <c r="J1" s="342" t="s">
        <v>117</v>
      </c>
      <c r="K1" s="342"/>
      <c r="L1" s="22"/>
      <c r="M1" s="22"/>
    </row>
    <row r="2" spans="1:22" ht="12.75">
      <c r="A2" s="5"/>
      <c r="B2" s="5"/>
      <c r="C2" s="5" t="s">
        <v>84</v>
      </c>
      <c r="D2" s="29" t="s">
        <v>80</v>
      </c>
      <c r="E2" s="29" t="s">
        <v>81</v>
      </c>
      <c r="F2" s="29" t="s">
        <v>85</v>
      </c>
      <c r="G2" s="29" t="s">
        <v>112</v>
      </c>
      <c r="H2" s="29" t="s">
        <v>85</v>
      </c>
      <c r="I2" s="29" t="s">
        <v>86</v>
      </c>
      <c r="J2" s="5" t="s">
        <v>82</v>
      </c>
      <c r="K2" s="5" t="s">
        <v>83</v>
      </c>
      <c r="P2" s="10"/>
      <c r="Q2" s="10"/>
      <c r="R2" s="10"/>
      <c r="S2" s="10"/>
      <c r="T2" s="10"/>
      <c r="U2" s="10"/>
      <c r="V2" s="10"/>
    </row>
    <row r="3" spans="1:22" ht="12.75">
      <c r="A3" s="4" t="s">
        <v>4</v>
      </c>
      <c r="B3" s="5"/>
      <c r="C3" s="5"/>
      <c r="D3" s="14"/>
      <c r="E3" s="14"/>
      <c r="F3" s="14"/>
      <c r="G3" s="15"/>
      <c r="H3" s="15"/>
      <c r="I3" s="15"/>
      <c r="J3" s="14"/>
      <c r="K3" s="14"/>
      <c r="P3" s="10"/>
      <c r="Q3" s="10"/>
      <c r="R3" s="10"/>
      <c r="S3" s="10"/>
      <c r="T3" s="10"/>
      <c r="U3" s="10"/>
      <c r="V3" s="10"/>
    </row>
    <row r="4" spans="1:22" ht="12.75">
      <c r="A4" s="8"/>
      <c r="B4" s="5"/>
      <c r="C4" s="5"/>
      <c r="D4" s="14"/>
      <c r="E4" s="14"/>
      <c r="F4" s="14"/>
      <c r="G4" s="14"/>
      <c r="H4" s="14"/>
      <c r="I4" s="14"/>
      <c r="J4" s="14"/>
      <c r="K4" s="14"/>
      <c r="P4" s="10"/>
      <c r="Q4" s="10"/>
      <c r="R4" s="10"/>
      <c r="S4" s="10"/>
      <c r="T4" s="10"/>
      <c r="U4" s="10"/>
      <c r="V4" s="10"/>
    </row>
    <row r="5" spans="1:22" ht="12.75">
      <c r="A5" s="8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P5" s="10"/>
      <c r="Q5" s="10"/>
      <c r="R5" s="10"/>
      <c r="S5" s="10"/>
      <c r="T5" s="10"/>
      <c r="U5" s="10"/>
      <c r="V5" s="10"/>
    </row>
    <row r="6" spans="1:22" ht="12.75">
      <c r="A6" s="8"/>
      <c r="B6" s="5" t="s">
        <v>22</v>
      </c>
      <c r="C6" s="5"/>
      <c r="D6" s="14"/>
      <c r="E6" s="14"/>
      <c r="F6" s="13"/>
      <c r="G6" s="5"/>
      <c r="H6" s="5"/>
      <c r="I6" s="5"/>
      <c r="J6" s="5"/>
      <c r="K6" s="5"/>
      <c r="P6" s="10"/>
      <c r="Q6" s="10"/>
      <c r="R6" s="10"/>
      <c r="S6" s="10"/>
      <c r="T6" s="10"/>
      <c r="U6" s="10"/>
      <c r="V6" s="10"/>
    </row>
    <row r="7" spans="1:22" ht="12.75">
      <c r="A7" s="8"/>
      <c r="B7" s="5" t="s">
        <v>23</v>
      </c>
      <c r="C7" s="5">
        <v>4</v>
      </c>
      <c r="D7" s="14"/>
      <c r="E7" s="14"/>
      <c r="F7" s="39">
        <v>17</v>
      </c>
      <c r="G7" s="5"/>
      <c r="H7" s="44">
        <v>17</v>
      </c>
      <c r="I7" s="5"/>
      <c r="J7" s="5"/>
      <c r="K7" s="5"/>
      <c r="P7" s="10"/>
      <c r="Q7" s="10"/>
      <c r="R7" s="10"/>
      <c r="S7" s="10"/>
      <c r="T7" s="10"/>
      <c r="U7" s="10"/>
      <c r="V7" s="10"/>
    </row>
    <row r="8" spans="1:22" ht="12.75">
      <c r="A8" s="8"/>
      <c r="B8" s="5" t="s">
        <v>28</v>
      </c>
      <c r="C8" s="5">
        <v>1</v>
      </c>
      <c r="D8" s="14"/>
      <c r="E8" s="14"/>
      <c r="F8" s="39">
        <v>26</v>
      </c>
      <c r="G8" s="5"/>
      <c r="H8" s="44">
        <v>26</v>
      </c>
      <c r="I8" s="5"/>
      <c r="J8" s="5"/>
      <c r="K8" s="5"/>
      <c r="P8" s="10"/>
      <c r="Q8" s="10"/>
      <c r="R8" s="10"/>
      <c r="S8" s="10"/>
      <c r="T8" s="10"/>
      <c r="U8" s="10"/>
      <c r="V8" s="10"/>
    </row>
    <row r="9" spans="1:22" ht="12.75">
      <c r="A9" s="8"/>
      <c r="B9" s="5" t="s">
        <v>29</v>
      </c>
      <c r="C9" s="5">
        <v>2</v>
      </c>
      <c r="D9" s="14"/>
      <c r="E9" s="14"/>
      <c r="F9" s="39">
        <v>12</v>
      </c>
      <c r="G9" s="5"/>
      <c r="H9" s="44">
        <v>12</v>
      </c>
      <c r="I9" s="5"/>
      <c r="J9" s="5"/>
      <c r="K9" s="5"/>
      <c r="P9" s="10"/>
      <c r="Q9" s="10"/>
      <c r="R9" s="10"/>
      <c r="S9" s="10"/>
      <c r="T9" s="10"/>
      <c r="U9" s="10"/>
      <c r="V9" s="10"/>
    </row>
    <row r="10" spans="1:22" ht="12.75">
      <c r="A10" s="8"/>
      <c r="B10" s="5" t="s">
        <v>30</v>
      </c>
      <c r="C10" s="5">
        <v>2</v>
      </c>
      <c r="D10" s="14"/>
      <c r="E10" s="14"/>
      <c r="F10" s="13"/>
      <c r="G10" s="5"/>
      <c r="H10" s="5"/>
      <c r="I10" s="5"/>
      <c r="J10" s="5"/>
      <c r="K10" s="5"/>
      <c r="P10" s="10"/>
      <c r="Q10" s="10"/>
      <c r="R10" s="10"/>
      <c r="S10" s="10"/>
      <c r="T10" s="10"/>
      <c r="U10" s="10"/>
      <c r="V10" s="10"/>
    </row>
    <row r="11" spans="1:22" ht="12.75">
      <c r="A11" s="8"/>
      <c r="B11" s="4" t="s">
        <v>39</v>
      </c>
      <c r="C11" s="4">
        <f>SUM(C7:C10)</f>
        <v>9</v>
      </c>
      <c r="D11" s="18"/>
      <c r="E11" s="18"/>
      <c r="F11" s="21"/>
      <c r="G11" s="5"/>
      <c r="H11" s="5"/>
      <c r="I11" s="5"/>
      <c r="J11" s="5"/>
      <c r="K11" s="5"/>
      <c r="P11" s="10"/>
      <c r="Q11" s="10"/>
      <c r="R11" s="10"/>
      <c r="S11" s="10"/>
      <c r="T11" s="10"/>
      <c r="U11" s="10"/>
      <c r="V11" s="10"/>
    </row>
    <row r="12" spans="1:22" ht="12.75">
      <c r="A12" s="8" t="s">
        <v>47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P12" s="10"/>
      <c r="Q12" s="10"/>
      <c r="R12" s="10"/>
      <c r="S12" s="10"/>
      <c r="T12" s="10"/>
      <c r="U12" s="10"/>
      <c r="V12" s="10"/>
    </row>
    <row r="13" spans="1:22" ht="12.75">
      <c r="A13" s="8"/>
      <c r="B13" s="5" t="s">
        <v>31</v>
      </c>
      <c r="C13" s="5">
        <v>1</v>
      </c>
      <c r="D13" s="14"/>
      <c r="E13" s="14"/>
      <c r="F13" s="13"/>
      <c r="G13" s="5"/>
      <c r="H13" s="5"/>
      <c r="I13" s="5"/>
      <c r="J13" s="5"/>
      <c r="K13" s="5"/>
      <c r="P13" s="10"/>
      <c r="Q13" s="10"/>
      <c r="R13" s="10"/>
      <c r="S13" s="10"/>
      <c r="T13" s="10"/>
      <c r="U13" s="10"/>
      <c r="V13" s="10"/>
    </row>
    <row r="14" spans="1:22" ht="12.75">
      <c r="A14" s="8"/>
      <c r="B14" s="5" t="s">
        <v>32</v>
      </c>
      <c r="C14" s="5">
        <v>12</v>
      </c>
      <c r="D14" s="14"/>
      <c r="E14" s="14"/>
      <c r="F14" s="13"/>
      <c r="G14" s="13"/>
      <c r="H14" s="13"/>
      <c r="I14" s="13"/>
      <c r="J14" s="5"/>
      <c r="K14" s="5"/>
      <c r="P14" s="10"/>
      <c r="Q14" s="10"/>
      <c r="R14" s="10"/>
      <c r="S14" s="10"/>
      <c r="T14" s="10"/>
      <c r="U14" s="10"/>
      <c r="V14" s="10"/>
    </row>
    <row r="15" spans="1:22" ht="12.75">
      <c r="A15" s="8"/>
      <c r="B15" s="5" t="s">
        <v>33</v>
      </c>
      <c r="C15" s="5"/>
      <c r="D15" s="14"/>
      <c r="E15" s="14"/>
      <c r="F15" s="13"/>
      <c r="G15" s="13"/>
      <c r="H15" s="13"/>
      <c r="I15" s="13"/>
      <c r="J15" s="5"/>
      <c r="K15" s="5"/>
      <c r="P15" s="10"/>
      <c r="Q15" s="10"/>
      <c r="R15" s="10"/>
      <c r="S15" s="10"/>
      <c r="T15" s="10"/>
      <c r="U15" s="10"/>
      <c r="V15" s="10"/>
    </row>
    <row r="16" spans="1:22" ht="12.75">
      <c r="A16" s="8"/>
      <c r="B16" s="8" t="s">
        <v>57</v>
      </c>
      <c r="C16" s="8"/>
      <c r="D16" s="14"/>
      <c r="E16" s="14"/>
      <c r="F16" s="13"/>
      <c r="G16" s="13"/>
      <c r="H16" s="13"/>
      <c r="I16" s="13"/>
      <c r="J16" s="5"/>
      <c r="K16" s="5"/>
      <c r="P16" s="10"/>
      <c r="Q16" s="10"/>
      <c r="R16" s="10"/>
      <c r="S16" s="10"/>
      <c r="T16" s="10"/>
      <c r="U16" s="10"/>
      <c r="V16" s="10"/>
    </row>
    <row r="17" spans="1:22" ht="12.75">
      <c r="A17" s="8"/>
      <c r="B17" s="8" t="s">
        <v>58</v>
      </c>
      <c r="C17" s="8"/>
      <c r="D17" s="14"/>
      <c r="E17" s="14"/>
      <c r="F17" s="13"/>
      <c r="G17" s="13"/>
      <c r="H17" s="13"/>
      <c r="I17" s="13"/>
      <c r="J17" s="5"/>
      <c r="K17" s="5"/>
      <c r="P17" s="10"/>
      <c r="Q17" s="10"/>
      <c r="R17" s="10"/>
      <c r="S17" s="10"/>
      <c r="T17" s="10"/>
      <c r="U17" s="10"/>
      <c r="V17" s="10"/>
    </row>
    <row r="18" spans="1:22" ht="12.75">
      <c r="A18" s="8"/>
      <c r="B18" s="8" t="s">
        <v>59</v>
      </c>
      <c r="C18" s="8"/>
      <c r="D18" s="14"/>
      <c r="E18" s="14"/>
      <c r="F18" s="13"/>
      <c r="G18" s="13"/>
      <c r="H18" s="13"/>
      <c r="I18" s="13"/>
      <c r="J18" s="5"/>
      <c r="K18" s="5"/>
      <c r="P18" s="10"/>
      <c r="Q18" s="10"/>
      <c r="R18" s="10"/>
      <c r="S18" s="10"/>
      <c r="T18" s="10"/>
      <c r="U18" s="10"/>
      <c r="V18" s="10"/>
    </row>
    <row r="19" spans="1:22" ht="12.75">
      <c r="A19" s="8"/>
      <c r="B19" s="8" t="s">
        <v>60</v>
      </c>
      <c r="C19" s="8"/>
      <c r="D19" s="14"/>
      <c r="E19" s="14"/>
      <c r="F19" s="13"/>
      <c r="G19" s="13"/>
      <c r="H19" s="13"/>
      <c r="I19" s="13"/>
      <c r="J19" s="5"/>
      <c r="K19" s="5"/>
      <c r="P19" s="10"/>
      <c r="Q19" s="10"/>
      <c r="R19" s="10"/>
      <c r="S19" s="10"/>
      <c r="T19" s="10"/>
      <c r="U19" s="10"/>
      <c r="V19" s="10"/>
    </row>
    <row r="20" spans="1:22" ht="12.75">
      <c r="A20" s="8"/>
      <c r="B20" s="5" t="s">
        <v>34</v>
      </c>
      <c r="C20" s="5">
        <v>6</v>
      </c>
      <c r="D20" s="14"/>
      <c r="E20" s="14"/>
      <c r="F20" s="14"/>
      <c r="G20" s="14"/>
      <c r="H20" s="14"/>
      <c r="I20" s="14"/>
      <c r="J20" s="13"/>
      <c r="K20" s="13"/>
      <c r="P20" s="10"/>
      <c r="Q20" s="10"/>
      <c r="R20" s="10"/>
      <c r="S20" s="10"/>
      <c r="T20" s="10"/>
      <c r="U20" s="10"/>
      <c r="V20" s="10"/>
    </row>
    <row r="21" spans="1:22" ht="12.75">
      <c r="A21" s="8"/>
      <c r="B21" s="4" t="s">
        <v>39</v>
      </c>
      <c r="C21" s="4">
        <f>SUM(C13:C20)</f>
        <v>19</v>
      </c>
      <c r="D21" s="18"/>
      <c r="E21" s="18"/>
      <c r="F21" s="21"/>
      <c r="G21" s="13"/>
      <c r="H21" s="13"/>
      <c r="I21" s="13"/>
      <c r="J21" s="5"/>
      <c r="K21" s="5"/>
      <c r="P21" s="10"/>
      <c r="Q21" s="10"/>
      <c r="R21" s="10"/>
      <c r="S21" s="10"/>
      <c r="T21" s="10"/>
      <c r="U21" s="10"/>
      <c r="V21" s="10"/>
    </row>
    <row r="22" spans="1:22" ht="12.75">
      <c r="A22" s="8" t="s">
        <v>61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P22" s="10"/>
      <c r="Q22" s="10"/>
      <c r="R22" s="10"/>
      <c r="S22" s="10"/>
      <c r="T22" s="10"/>
      <c r="U22" s="10"/>
      <c r="V22" s="10"/>
    </row>
    <row r="23" spans="1:22" ht="12.75">
      <c r="A23" s="8"/>
      <c r="B23" s="5" t="s">
        <v>12</v>
      </c>
      <c r="C23" s="5">
        <v>1</v>
      </c>
      <c r="D23" s="14"/>
      <c r="E23" s="14"/>
      <c r="F23" s="14"/>
      <c r="G23" s="14"/>
      <c r="H23" s="14"/>
      <c r="I23" s="14"/>
      <c r="J23" s="5"/>
      <c r="K23" s="5"/>
      <c r="P23" s="10"/>
      <c r="Q23" s="10"/>
      <c r="R23" s="10"/>
      <c r="S23" s="10"/>
      <c r="T23" s="10"/>
      <c r="U23" s="10"/>
      <c r="V23" s="10"/>
    </row>
    <row r="24" spans="1:22" ht="12.75">
      <c r="A24" s="8"/>
      <c r="B24" s="5" t="s">
        <v>13</v>
      </c>
      <c r="C24" s="5">
        <v>1</v>
      </c>
      <c r="D24" s="14"/>
      <c r="E24" s="14"/>
      <c r="F24" s="14"/>
      <c r="G24" s="14"/>
      <c r="H24" s="14"/>
      <c r="I24" s="14"/>
      <c r="J24" s="5"/>
      <c r="K24" s="5"/>
      <c r="P24" s="10"/>
      <c r="Q24" s="10"/>
      <c r="R24" s="10"/>
      <c r="S24" s="10"/>
      <c r="T24" s="10"/>
      <c r="U24" s="10"/>
      <c r="V24" s="10"/>
    </row>
    <row r="25" spans="1:22" ht="12.75">
      <c r="A25" s="8"/>
      <c r="B25" s="5" t="s">
        <v>6</v>
      </c>
      <c r="C25" s="5"/>
      <c r="D25" s="14"/>
      <c r="E25" s="14"/>
      <c r="F25" s="14"/>
      <c r="G25" s="14"/>
      <c r="H25" s="14"/>
      <c r="I25" s="14"/>
      <c r="J25" s="5"/>
      <c r="K25" s="5"/>
      <c r="P25" s="10"/>
      <c r="Q25" s="10"/>
      <c r="R25" s="10"/>
      <c r="S25" s="10"/>
      <c r="T25" s="10"/>
      <c r="U25" s="10"/>
      <c r="V25" s="10"/>
    </row>
    <row r="26" spans="1:22" ht="12.75">
      <c r="A26" s="8"/>
      <c r="B26" s="5" t="s">
        <v>7</v>
      </c>
      <c r="C26" s="5"/>
      <c r="D26" s="14"/>
      <c r="E26" s="14"/>
      <c r="F26" s="14"/>
      <c r="G26" s="14"/>
      <c r="H26" s="14"/>
      <c r="I26" s="14"/>
      <c r="J26" s="5"/>
      <c r="K26" s="5"/>
      <c r="P26" s="10"/>
      <c r="Q26" s="10"/>
      <c r="R26" s="10"/>
      <c r="S26" s="10"/>
      <c r="T26" s="10"/>
      <c r="U26" s="10"/>
      <c r="V26" s="10"/>
    </row>
    <row r="27" spans="1:22" ht="12.75">
      <c r="A27" s="8"/>
      <c r="B27" s="5" t="s">
        <v>118</v>
      </c>
      <c r="C27" s="5">
        <v>1</v>
      </c>
      <c r="D27" s="14"/>
      <c r="E27" s="14"/>
      <c r="F27" s="14"/>
      <c r="G27" s="14"/>
      <c r="H27" s="14"/>
      <c r="I27" s="14"/>
      <c r="J27" s="5"/>
      <c r="K27" s="5"/>
      <c r="P27" s="10"/>
      <c r="Q27" s="10"/>
      <c r="R27" s="10"/>
      <c r="S27" s="10"/>
      <c r="T27" s="10"/>
      <c r="U27" s="10"/>
      <c r="V27" s="10"/>
    </row>
    <row r="28" spans="1:22" ht="12.75">
      <c r="A28" s="8"/>
      <c r="B28" s="5" t="s">
        <v>8</v>
      </c>
      <c r="C28" s="5">
        <v>1</v>
      </c>
      <c r="D28" s="14"/>
      <c r="E28" s="14"/>
      <c r="F28" s="14"/>
      <c r="G28" s="14"/>
      <c r="H28" s="14"/>
      <c r="I28" s="14"/>
      <c r="J28" s="5"/>
      <c r="K28" s="5"/>
      <c r="P28" s="10"/>
      <c r="Q28" s="10"/>
      <c r="R28" s="10"/>
      <c r="S28" s="10"/>
      <c r="T28" s="10"/>
      <c r="U28" s="10"/>
      <c r="V28" s="10"/>
    </row>
    <row r="29" spans="1:22" ht="12.75">
      <c r="A29" s="8"/>
      <c r="B29" s="5" t="s">
        <v>9</v>
      </c>
      <c r="C29" s="5">
        <v>1</v>
      </c>
      <c r="D29" s="14"/>
      <c r="E29" s="14"/>
      <c r="F29" s="14"/>
      <c r="G29" s="14"/>
      <c r="H29" s="14"/>
      <c r="I29" s="14"/>
      <c r="J29" s="5"/>
      <c r="K29" s="5"/>
      <c r="P29" s="10"/>
      <c r="Q29" s="10"/>
      <c r="R29" s="10"/>
      <c r="S29" s="10"/>
      <c r="T29" s="10"/>
      <c r="U29" s="10"/>
      <c r="V29" s="10"/>
    </row>
    <row r="30" spans="1:22" ht="12.75">
      <c r="A30" s="8"/>
      <c r="B30" s="5" t="s">
        <v>10</v>
      </c>
      <c r="D30" s="14"/>
      <c r="E30" s="14"/>
      <c r="F30" s="14"/>
      <c r="G30" s="14"/>
      <c r="H30" s="14"/>
      <c r="I30" s="14"/>
      <c r="J30" s="5"/>
      <c r="K30" s="5"/>
      <c r="P30" s="10"/>
      <c r="Q30" s="10"/>
      <c r="R30" s="10"/>
      <c r="S30" s="10"/>
      <c r="T30" s="10"/>
      <c r="U30" s="10"/>
      <c r="V30" s="10"/>
    </row>
    <row r="31" spans="1:22" ht="12.75">
      <c r="A31" s="8"/>
      <c r="B31" s="5" t="s">
        <v>11</v>
      </c>
      <c r="C31" s="5"/>
      <c r="D31" s="14"/>
      <c r="E31" s="14"/>
      <c r="F31" s="14"/>
      <c r="G31" s="14"/>
      <c r="H31" s="14"/>
      <c r="I31" s="14"/>
      <c r="J31" s="5"/>
      <c r="K31" s="5"/>
      <c r="P31" s="10"/>
      <c r="Q31" s="10"/>
      <c r="R31" s="10"/>
      <c r="S31" s="10"/>
      <c r="T31" s="10"/>
      <c r="U31" s="10"/>
      <c r="V31" s="10"/>
    </row>
    <row r="32" spans="1:22" ht="12.75">
      <c r="A32" s="8"/>
      <c r="B32" s="4" t="s">
        <v>39</v>
      </c>
      <c r="C32" s="4">
        <f>SUM(C23:C31)</f>
        <v>5</v>
      </c>
      <c r="D32" s="18"/>
      <c r="E32" s="18"/>
      <c r="F32" s="18"/>
      <c r="G32" s="14"/>
      <c r="H32" s="14"/>
      <c r="I32" s="14"/>
      <c r="J32" s="5"/>
      <c r="K32" s="5"/>
      <c r="P32" s="10"/>
      <c r="Q32" s="10"/>
      <c r="R32" s="10"/>
      <c r="S32" s="10"/>
      <c r="T32" s="10"/>
      <c r="U32" s="10"/>
      <c r="V32" s="10"/>
    </row>
    <row r="33" spans="1:22" ht="12.75">
      <c r="A33" s="8" t="s">
        <v>16</v>
      </c>
      <c r="B33" s="15"/>
      <c r="C33" s="15"/>
      <c r="D33" s="15"/>
      <c r="E33" s="15"/>
      <c r="F33" s="15"/>
      <c r="G33" s="14"/>
      <c r="H33" s="14"/>
      <c r="I33" s="14"/>
      <c r="J33" s="14"/>
      <c r="K33" s="14"/>
      <c r="P33" s="10"/>
      <c r="Q33" s="10"/>
      <c r="R33" s="10"/>
      <c r="S33" s="10"/>
      <c r="T33" s="10"/>
      <c r="U33" s="10"/>
      <c r="V33" s="10"/>
    </row>
    <row r="34" spans="1:22" ht="12.75">
      <c r="A34" s="8"/>
      <c r="B34" s="9" t="s">
        <v>17</v>
      </c>
      <c r="C34" s="9">
        <v>1</v>
      </c>
      <c r="D34" s="11">
        <v>588</v>
      </c>
      <c r="E34" s="11">
        <v>500</v>
      </c>
      <c r="F34" s="19"/>
      <c r="G34" s="14"/>
      <c r="H34" s="16"/>
      <c r="I34" s="16"/>
      <c r="J34" s="5"/>
      <c r="K34" s="5"/>
      <c r="P34" s="10"/>
      <c r="Q34" s="10"/>
      <c r="R34" s="10"/>
      <c r="S34" s="10"/>
      <c r="T34" s="10"/>
      <c r="U34" s="10"/>
      <c r="V34" s="10"/>
    </row>
    <row r="35" spans="1:22" ht="12.75">
      <c r="A35" s="8"/>
      <c r="B35" s="9" t="s">
        <v>18</v>
      </c>
      <c r="C35" s="9">
        <v>1</v>
      </c>
      <c r="D35" s="11">
        <v>1150</v>
      </c>
      <c r="E35" s="11">
        <v>1000</v>
      </c>
      <c r="F35" s="19"/>
      <c r="G35" s="14"/>
      <c r="H35" s="16"/>
      <c r="I35" s="16"/>
      <c r="J35" s="5"/>
      <c r="K35" s="5"/>
      <c r="P35" s="10"/>
      <c r="Q35" s="10"/>
      <c r="R35" s="10"/>
      <c r="S35" s="10"/>
      <c r="T35" s="10"/>
      <c r="U35" s="10"/>
      <c r="V35" s="10"/>
    </row>
    <row r="36" spans="1:15" ht="12.75">
      <c r="A36" s="1"/>
      <c r="B36" s="5" t="s">
        <v>115</v>
      </c>
      <c r="C36" s="25">
        <v>1</v>
      </c>
      <c r="D36" s="17"/>
      <c r="E36" s="17"/>
      <c r="F36" s="17">
        <v>30</v>
      </c>
      <c r="G36" s="13"/>
      <c r="H36" s="17">
        <f>F36</f>
        <v>30</v>
      </c>
      <c r="I36" s="17"/>
      <c r="J36" s="17"/>
      <c r="K36" s="25"/>
      <c r="L36" s="343"/>
      <c r="M36" s="343"/>
      <c r="N36" s="343"/>
      <c r="O36"/>
    </row>
    <row r="37" spans="1:22" ht="12.75">
      <c r="A37" s="8"/>
      <c r="B37" s="9" t="s">
        <v>19</v>
      </c>
      <c r="C37" s="9">
        <v>1</v>
      </c>
      <c r="D37" s="19"/>
      <c r="E37" s="19"/>
      <c r="F37" s="24"/>
      <c r="G37" s="5"/>
      <c r="H37" s="5"/>
      <c r="I37" s="5"/>
      <c r="J37" s="5"/>
      <c r="K37" s="5"/>
      <c r="P37" s="10"/>
      <c r="Q37" s="10"/>
      <c r="R37" s="10"/>
      <c r="S37" s="10"/>
      <c r="T37" s="10"/>
      <c r="U37" s="10"/>
      <c r="V37" s="10"/>
    </row>
    <row r="38" spans="1:22" ht="12.75">
      <c r="A38" s="8"/>
      <c r="B38" s="9" t="s">
        <v>20</v>
      </c>
      <c r="C38" s="9">
        <v>1</v>
      </c>
      <c r="D38" s="19"/>
      <c r="E38" s="19"/>
      <c r="F38" s="24"/>
      <c r="G38" s="5"/>
      <c r="H38" s="5"/>
      <c r="I38" s="5"/>
      <c r="J38" s="5"/>
      <c r="K38" s="5"/>
      <c r="P38" s="10"/>
      <c r="Q38" s="10"/>
      <c r="R38" s="10"/>
      <c r="S38" s="10"/>
      <c r="T38" s="10"/>
      <c r="U38" s="10"/>
      <c r="V38" s="10"/>
    </row>
    <row r="39" spans="1:22" ht="12.75">
      <c r="A39" s="8"/>
      <c r="B39" s="5" t="s">
        <v>40</v>
      </c>
      <c r="C39" s="5">
        <v>1</v>
      </c>
      <c r="D39" s="14"/>
      <c r="E39" s="14"/>
      <c r="F39" s="13"/>
      <c r="G39" s="5"/>
      <c r="H39" s="5"/>
      <c r="I39" s="5"/>
      <c r="J39" s="5"/>
      <c r="K39" s="5"/>
      <c r="P39" s="10"/>
      <c r="Q39" s="10"/>
      <c r="R39" s="10"/>
      <c r="S39" s="10"/>
      <c r="T39" s="10"/>
      <c r="U39" s="10"/>
      <c r="V39" s="10"/>
    </row>
    <row r="40" spans="1:22" ht="12.75">
      <c r="A40" s="8"/>
      <c r="B40" s="4" t="s">
        <v>39</v>
      </c>
      <c r="C40" s="4">
        <f>SUM(C34:C39)</f>
        <v>6</v>
      </c>
      <c r="D40" s="4">
        <f>SUM(D34:D39)</f>
        <v>1738</v>
      </c>
      <c r="E40" s="4">
        <f>SUM(E34:E39)</f>
        <v>1500</v>
      </c>
      <c r="F40" s="21"/>
      <c r="G40" s="5"/>
      <c r="H40" s="5"/>
      <c r="I40" s="5"/>
      <c r="J40" s="5"/>
      <c r="K40" s="5"/>
      <c r="P40" s="10"/>
      <c r="Q40" s="10"/>
      <c r="R40" s="10"/>
      <c r="S40" s="10"/>
      <c r="T40" s="10"/>
      <c r="U40" s="10"/>
      <c r="V40" s="10"/>
    </row>
    <row r="41" spans="1:17" ht="12.75">
      <c r="A41" s="8" t="s">
        <v>45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0"/>
      <c r="M41" s="10"/>
      <c r="P41" s="10"/>
      <c r="Q41" s="10"/>
    </row>
    <row r="42" spans="1:17" ht="12.75">
      <c r="A42" s="5"/>
      <c r="B42" s="5" t="s">
        <v>24</v>
      </c>
      <c r="C42" s="5">
        <v>2</v>
      </c>
      <c r="D42" s="14"/>
      <c r="E42" s="14"/>
      <c r="F42" s="38">
        <v>10</v>
      </c>
      <c r="G42" s="5"/>
      <c r="H42" s="5"/>
      <c r="I42" s="5"/>
      <c r="J42" s="5"/>
      <c r="K42" s="5"/>
      <c r="L42" s="10"/>
      <c r="M42" s="10"/>
      <c r="P42" s="10"/>
      <c r="Q42" s="10"/>
    </row>
    <row r="43" spans="1:17" ht="12.75">
      <c r="A43" s="5"/>
      <c r="B43" s="5" t="s">
        <v>26</v>
      </c>
      <c r="C43" s="5">
        <v>1</v>
      </c>
      <c r="D43" s="14"/>
      <c r="E43" s="14"/>
      <c r="F43" s="5" t="s">
        <v>87</v>
      </c>
      <c r="G43" s="5"/>
      <c r="H43" s="5"/>
      <c r="I43" s="5"/>
      <c r="J43" s="5"/>
      <c r="K43" s="5"/>
      <c r="L43" s="10"/>
      <c r="M43" s="10"/>
      <c r="P43" s="10"/>
      <c r="Q43" s="10"/>
    </row>
    <row r="44" spans="1:17" ht="12.75">
      <c r="A44" s="5"/>
      <c r="B44" s="5" t="s">
        <v>62</v>
      </c>
      <c r="C44" s="5">
        <v>2</v>
      </c>
      <c r="D44" s="14"/>
      <c r="E44" s="14"/>
      <c r="F44" s="5"/>
      <c r="G44" s="5"/>
      <c r="H44" s="5"/>
      <c r="I44" s="5"/>
      <c r="J44" s="5"/>
      <c r="K44" s="5"/>
      <c r="L44" s="10"/>
      <c r="M44" s="10"/>
      <c r="P44" s="10"/>
      <c r="Q44" s="10"/>
    </row>
    <row r="45" spans="1:17" ht="12.75">
      <c r="A45" s="5"/>
      <c r="B45" s="5" t="s">
        <v>63</v>
      </c>
      <c r="C45" s="5">
        <v>1</v>
      </c>
      <c r="D45" s="14"/>
      <c r="E45" s="14"/>
      <c r="F45" s="38">
        <v>25</v>
      </c>
      <c r="G45" s="5"/>
      <c r="H45" s="5"/>
      <c r="I45" s="5"/>
      <c r="J45" s="5"/>
      <c r="K45" s="5"/>
      <c r="L45" s="10"/>
      <c r="M45" s="10"/>
      <c r="P45" s="10"/>
      <c r="Q45" s="10"/>
    </row>
    <row r="46" spans="1:17" ht="12.75">
      <c r="A46" s="5"/>
      <c r="B46" s="5" t="s">
        <v>27</v>
      </c>
      <c r="C46" s="5"/>
      <c r="D46" s="14"/>
      <c r="E46" s="14"/>
      <c r="F46" s="14"/>
      <c r="G46" s="14"/>
      <c r="H46" s="5"/>
      <c r="I46" s="5"/>
      <c r="J46" s="5"/>
      <c r="K46" s="5"/>
      <c r="L46" s="10"/>
      <c r="M46" s="10"/>
      <c r="P46" s="10"/>
      <c r="Q46" s="10"/>
    </row>
    <row r="47" spans="1:17" ht="12.75">
      <c r="A47" s="5"/>
      <c r="B47" s="4" t="s">
        <v>39</v>
      </c>
      <c r="C47" s="4"/>
      <c r="D47" s="14"/>
      <c r="E47" s="14"/>
      <c r="F47" s="5"/>
      <c r="G47" s="5"/>
      <c r="H47" s="5"/>
      <c r="I47" s="5"/>
      <c r="J47" s="5"/>
      <c r="K47" s="5"/>
      <c r="L47" s="10"/>
      <c r="M47" s="10"/>
      <c r="P47" s="10"/>
      <c r="Q47" s="10"/>
    </row>
    <row r="48" spans="1:22" ht="12.75">
      <c r="A48" s="8" t="s">
        <v>35</v>
      </c>
      <c r="B48" s="18"/>
      <c r="C48" s="18"/>
      <c r="D48" s="18"/>
      <c r="E48" s="18"/>
      <c r="F48" s="18"/>
      <c r="G48" s="14"/>
      <c r="H48" s="14"/>
      <c r="I48" s="14"/>
      <c r="J48" s="14"/>
      <c r="K48" s="14"/>
      <c r="P48" s="10"/>
      <c r="Q48" s="10"/>
      <c r="R48" s="10"/>
      <c r="S48" s="10"/>
      <c r="T48" s="10"/>
      <c r="U48" s="10"/>
      <c r="V48" s="10"/>
    </row>
    <row r="49" spans="1:22" ht="12.75">
      <c r="A49" s="8"/>
      <c r="B49" s="9" t="s">
        <v>52</v>
      </c>
      <c r="C49" s="9"/>
      <c r="D49" s="18"/>
      <c r="E49" s="18"/>
      <c r="F49" s="21"/>
      <c r="G49" s="5"/>
      <c r="H49" s="5"/>
      <c r="I49" s="5"/>
      <c r="J49" s="5"/>
      <c r="K49" s="5"/>
      <c r="P49" s="10"/>
      <c r="Q49" s="10"/>
      <c r="R49" s="10"/>
      <c r="S49" s="10"/>
      <c r="T49" s="10"/>
      <c r="U49" s="10"/>
      <c r="V49" s="10"/>
    </row>
    <row r="50" spans="1:22" ht="12.75">
      <c r="A50" s="8"/>
      <c r="B50" s="9" t="s">
        <v>66</v>
      </c>
      <c r="C50" s="9">
        <v>1</v>
      </c>
      <c r="D50" s="18"/>
      <c r="E50" s="18"/>
      <c r="F50" s="21"/>
      <c r="G50" s="5"/>
      <c r="H50" s="5"/>
      <c r="I50" s="5"/>
      <c r="J50" s="5"/>
      <c r="K50" s="5"/>
      <c r="P50" s="10"/>
      <c r="Q50" s="10"/>
      <c r="R50" s="10"/>
      <c r="S50" s="10"/>
      <c r="T50" s="10"/>
      <c r="U50" s="10"/>
      <c r="V50" s="10"/>
    </row>
    <row r="51" spans="1:22" ht="12.75">
      <c r="A51" s="8"/>
      <c r="B51" s="9" t="s">
        <v>53</v>
      </c>
      <c r="C51" s="9"/>
      <c r="D51" s="18"/>
      <c r="E51" s="18"/>
      <c r="F51" s="21"/>
      <c r="G51" s="5"/>
      <c r="H51" s="5"/>
      <c r="I51" s="5"/>
      <c r="J51" s="5"/>
      <c r="K51" s="5"/>
      <c r="P51" s="10"/>
      <c r="Q51" s="10"/>
      <c r="R51" s="10"/>
      <c r="S51" s="10"/>
      <c r="T51" s="10"/>
      <c r="U51" s="10"/>
      <c r="V51" s="10"/>
    </row>
    <row r="52" spans="1:22" ht="12.75">
      <c r="A52" s="8"/>
      <c r="B52" s="9" t="s">
        <v>116</v>
      </c>
      <c r="C52" s="9">
        <v>1</v>
      </c>
      <c r="D52" s="18"/>
      <c r="E52" s="18"/>
      <c r="F52" s="21"/>
      <c r="G52" s="5"/>
      <c r="H52" s="5"/>
      <c r="I52" s="5"/>
      <c r="J52" s="5"/>
      <c r="K52" s="5"/>
      <c r="P52" s="10"/>
      <c r="Q52" s="10"/>
      <c r="R52" s="10"/>
      <c r="S52" s="10"/>
      <c r="T52" s="10"/>
      <c r="U52" s="10"/>
      <c r="V52" s="10"/>
    </row>
    <row r="53" spans="1:22" ht="12.75">
      <c r="A53" s="8"/>
      <c r="B53" s="9" t="s">
        <v>3</v>
      </c>
      <c r="C53" s="9">
        <v>1</v>
      </c>
      <c r="D53" s="18"/>
      <c r="E53" s="18"/>
      <c r="F53" s="21"/>
      <c r="G53" s="5"/>
      <c r="H53" s="5"/>
      <c r="I53" s="5"/>
      <c r="J53" s="5"/>
      <c r="K53" s="5"/>
      <c r="P53" s="10"/>
      <c r="Q53" s="10"/>
      <c r="R53" s="10"/>
      <c r="S53" s="10"/>
      <c r="T53" s="10"/>
      <c r="U53" s="10"/>
      <c r="V53" s="10"/>
    </row>
    <row r="54" spans="1:22" ht="12.75">
      <c r="A54" s="8"/>
      <c r="B54" s="9" t="s">
        <v>36</v>
      </c>
      <c r="C54" s="9"/>
      <c r="D54" s="18"/>
      <c r="E54" s="18"/>
      <c r="F54" s="21"/>
      <c r="G54" s="5"/>
      <c r="H54" s="5"/>
      <c r="I54" s="5"/>
      <c r="J54" s="5"/>
      <c r="K54" s="5"/>
      <c r="P54" s="10"/>
      <c r="Q54" s="10"/>
      <c r="R54" s="10"/>
      <c r="S54" s="10"/>
      <c r="T54" s="10"/>
      <c r="U54" s="10"/>
      <c r="V54" s="10"/>
    </row>
    <row r="55" spans="1:22" ht="12.75">
      <c r="A55" s="8"/>
      <c r="B55" s="9" t="s">
        <v>30</v>
      </c>
      <c r="C55" s="9"/>
      <c r="D55" s="18"/>
      <c r="E55" s="18"/>
      <c r="F55" s="21"/>
      <c r="G55" s="5"/>
      <c r="H55" s="5"/>
      <c r="I55" s="5"/>
      <c r="J55" s="5"/>
      <c r="K55" s="5"/>
      <c r="P55" s="10"/>
      <c r="Q55" s="10"/>
      <c r="R55" s="10"/>
      <c r="S55" s="10"/>
      <c r="T55" s="10"/>
      <c r="U55" s="10"/>
      <c r="V55" s="10"/>
    </row>
    <row r="56" spans="1:22" ht="12.75">
      <c r="A56" s="8"/>
      <c r="B56" s="4" t="s">
        <v>39</v>
      </c>
      <c r="C56" s="4">
        <f>SUM(C49:C55)</f>
        <v>3</v>
      </c>
      <c r="D56" s="18"/>
      <c r="E56" s="18"/>
      <c r="F56" s="21"/>
      <c r="G56" s="5"/>
      <c r="H56" s="5"/>
      <c r="I56" s="5"/>
      <c r="J56" s="5"/>
      <c r="K56" s="5"/>
      <c r="P56" s="10"/>
      <c r="Q56" s="10"/>
      <c r="R56" s="10"/>
      <c r="S56" s="10"/>
      <c r="T56" s="10"/>
      <c r="U56" s="10"/>
      <c r="V56" s="10"/>
    </row>
    <row r="57" spans="1:22" ht="12.75">
      <c r="A57" s="8" t="s">
        <v>14</v>
      </c>
      <c r="B57" s="15"/>
      <c r="C57" s="15"/>
      <c r="D57" s="15"/>
      <c r="E57" s="15"/>
      <c r="F57" s="15"/>
      <c r="G57" s="14"/>
      <c r="H57" s="14"/>
      <c r="I57" s="14"/>
      <c r="J57" s="14"/>
      <c r="K57" s="14"/>
      <c r="P57" s="10"/>
      <c r="Q57" s="10"/>
      <c r="R57" s="10"/>
      <c r="S57" s="10"/>
      <c r="T57" s="10"/>
      <c r="U57" s="10"/>
      <c r="V57" s="10"/>
    </row>
    <row r="58" spans="1:22" ht="12.75">
      <c r="A58" s="8"/>
      <c r="B58" s="9" t="s">
        <v>15</v>
      </c>
      <c r="C58" s="9">
        <v>1</v>
      </c>
      <c r="D58" s="19"/>
      <c r="E58" s="19"/>
      <c r="F58" s="24"/>
      <c r="G58" s="13"/>
      <c r="H58" s="13"/>
      <c r="I58" s="13"/>
      <c r="J58" s="13"/>
      <c r="K58" s="13"/>
      <c r="P58" s="10"/>
      <c r="Q58" s="10"/>
      <c r="R58" s="10"/>
      <c r="S58" s="10"/>
      <c r="T58" s="10"/>
      <c r="U58" s="10"/>
      <c r="V58" s="10"/>
    </row>
    <row r="59" spans="1:22" ht="12.75">
      <c r="A59" s="8"/>
      <c r="B59" s="4" t="s">
        <v>39</v>
      </c>
      <c r="C59" s="4">
        <f>SUM(C58)</f>
        <v>1</v>
      </c>
      <c r="D59" s="18"/>
      <c r="E59" s="18"/>
      <c r="F59" s="21"/>
      <c r="G59" s="13"/>
      <c r="H59" s="13"/>
      <c r="I59" s="13"/>
      <c r="J59" s="13"/>
      <c r="K59" s="13"/>
      <c r="P59" s="10"/>
      <c r="Q59" s="10"/>
      <c r="R59" s="10"/>
      <c r="S59" s="10"/>
      <c r="T59" s="10"/>
      <c r="U59" s="10"/>
      <c r="V59" s="10"/>
    </row>
    <row r="60" spans="1:13" s="10" customFormat="1" ht="12.75">
      <c r="A60" s="12" t="s">
        <v>113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22"/>
      <c r="M60" s="22"/>
    </row>
    <row r="61" spans="4:22" ht="12.75">
      <c r="D61" s="10"/>
      <c r="E61" s="10"/>
      <c r="F61" s="10"/>
      <c r="G61" s="10"/>
      <c r="H61" s="10"/>
      <c r="I61" s="10"/>
      <c r="J61" s="10"/>
      <c r="K61" s="10"/>
      <c r="P61" s="10"/>
      <c r="Q61" s="10"/>
      <c r="R61" s="10"/>
      <c r="S61" s="10"/>
      <c r="T61" s="10"/>
      <c r="U61" s="10"/>
      <c r="V61" s="10"/>
    </row>
    <row r="62" spans="4:22" ht="12.75">
      <c r="D62" s="10"/>
      <c r="E62" s="10"/>
      <c r="F62" s="10"/>
      <c r="G62" s="10"/>
      <c r="H62" s="10"/>
      <c r="I62" s="10"/>
      <c r="J62" s="10"/>
      <c r="K62" s="10"/>
      <c r="P62" s="10"/>
      <c r="Q62" s="10"/>
      <c r="R62" s="10"/>
      <c r="S62" s="10"/>
      <c r="T62" s="10"/>
      <c r="U62" s="10"/>
      <c r="V62" s="10"/>
    </row>
    <row r="63" spans="16:22" ht="12.75">
      <c r="P63" s="10"/>
      <c r="Q63" s="10"/>
      <c r="R63" s="10"/>
      <c r="S63" s="10"/>
      <c r="T63" s="10"/>
      <c r="U63" s="10"/>
      <c r="V63" s="10"/>
    </row>
    <row r="64" spans="16:22" ht="12.75">
      <c r="P64" s="10"/>
      <c r="Q64" s="10"/>
      <c r="R64" s="10"/>
      <c r="S64" s="10"/>
      <c r="T64" s="10"/>
      <c r="U64" s="10"/>
      <c r="V64" s="10"/>
    </row>
    <row r="65" spans="16:22" ht="12.75">
      <c r="P65" s="10"/>
      <c r="Q65" s="10"/>
      <c r="R65" s="10"/>
      <c r="S65" s="10"/>
      <c r="T65" s="10"/>
      <c r="U65" s="10"/>
      <c r="V65" s="10"/>
    </row>
    <row r="66" spans="16:22" ht="12.75">
      <c r="P66" s="10"/>
      <c r="Q66" s="10"/>
      <c r="R66" s="10"/>
      <c r="S66" s="10"/>
      <c r="T66" s="10"/>
      <c r="U66" s="10"/>
      <c r="V66" s="10"/>
    </row>
    <row r="68" spans="16:22" ht="12.75">
      <c r="P68" s="10"/>
      <c r="Q68" s="10"/>
      <c r="R68" s="10"/>
      <c r="S68" s="10"/>
      <c r="T68" s="10"/>
      <c r="U68" s="10"/>
      <c r="V68" s="10"/>
    </row>
    <row r="69" spans="16:22" ht="12.75">
      <c r="P69" s="10"/>
      <c r="Q69" s="10"/>
      <c r="R69" s="10"/>
      <c r="S69" s="10"/>
      <c r="T69" s="10"/>
      <c r="U69" s="10"/>
      <c r="V69" s="10"/>
    </row>
    <row r="70" spans="16:22" ht="12.75">
      <c r="P70" s="10"/>
      <c r="Q70" s="10"/>
      <c r="R70" s="10"/>
      <c r="S70" s="10"/>
      <c r="T70" s="10"/>
      <c r="U70" s="10"/>
      <c r="V70" s="10"/>
    </row>
    <row r="71" spans="16:22" ht="12.75">
      <c r="P71" s="10"/>
      <c r="Q71" s="10"/>
      <c r="R71" s="10"/>
      <c r="S71" s="10"/>
      <c r="T71" s="10"/>
      <c r="U71" s="10"/>
      <c r="V71" s="10"/>
    </row>
    <row r="72" spans="16:22" ht="12.75">
      <c r="P72" s="10"/>
      <c r="Q72" s="10"/>
      <c r="R72" s="10"/>
      <c r="S72" s="10"/>
      <c r="T72" s="10"/>
      <c r="U72" s="10"/>
      <c r="V72" s="10"/>
    </row>
    <row r="73" spans="16:22" ht="12.75">
      <c r="P73" s="10"/>
      <c r="Q73" s="10"/>
      <c r="R73" s="10"/>
      <c r="S73" s="10"/>
      <c r="T73" s="10"/>
      <c r="U73" s="10"/>
      <c r="V73" s="10"/>
    </row>
    <row r="74" spans="16:22" ht="12.75">
      <c r="P74" s="10"/>
      <c r="Q74" s="10"/>
      <c r="R74" s="10"/>
      <c r="S74" s="10"/>
      <c r="T74" s="10"/>
      <c r="U74" s="10"/>
      <c r="V74" s="10"/>
    </row>
    <row r="75" spans="16:22" ht="12.75">
      <c r="P75" s="10"/>
      <c r="Q75" s="10"/>
      <c r="R75" s="10"/>
      <c r="S75" s="10"/>
      <c r="T75" s="10"/>
      <c r="U75" s="10"/>
      <c r="V75" s="10"/>
    </row>
    <row r="76" spans="16:22" ht="12.75">
      <c r="P76" s="10"/>
      <c r="Q76" s="10"/>
      <c r="R76" s="10"/>
      <c r="S76" s="10"/>
      <c r="T76" s="10"/>
      <c r="U76" s="10"/>
      <c r="V76" s="10"/>
    </row>
    <row r="77" spans="16:22" ht="12.75">
      <c r="P77" s="10"/>
      <c r="Q77" s="10"/>
      <c r="R77" s="10"/>
      <c r="S77" s="10"/>
      <c r="T77" s="10"/>
      <c r="U77" s="10"/>
      <c r="V77" s="10"/>
    </row>
    <row r="78" spans="16:22" ht="12.75">
      <c r="P78" s="10"/>
      <c r="Q78" s="10"/>
      <c r="R78" s="10"/>
      <c r="S78" s="10"/>
      <c r="T78" s="10"/>
      <c r="U78" s="10"/>
      <c r="V78" s="10"/>
    </row>
    <row r="81" spans="12:15" ht="12.75">
      <c r="L81"/>
      <c r="M81"/>
      <c r="N81"/>
      <c r="O81"/>
    </row>
    <row r="82" spans="12:15" ht="12.75">
      <c r="L82"/>
      <c r="M82"/>
      <c r="N82"/>
      <c r="O82"/>
    </row>
    <row r="83" spans="12:15" ht="12.75">
      <c r="L83"/>
      <c r="M83"/>
      <c r="N83"/>
      <c r="O83"/>
    </row>
    <row r="84" spans="12:15" ht="12.75">
      <c r="L84"/>
      <c r="M84"/>
      <c r="N84"/>
      <c r="O84"/>
    </row>
    <row r="85" spans="12:15" ht="12.75">
      <c r="L85"/>
      <c r="M85"/>
      <c r="N85"/>
      <c r="O85"/>
    </row>
    <row r="86" spans="12:15" ht="12.75">
      <c r="L86"/>
      <c r="M86"/>
      <c r="N86"/>
      <c r="O86"/>
    </row>
    <row r="87" spans="12:15" ht="12.75">
      <c r="L87"/>
      <c r="M87"/>
      <c r="N87"/>
      <c r="O87"/>
    </row>
    <row r="88" spans="12:15" ht="12.75">
      <c r="L88"/>
      <c r="M88"/>
      <c r="N88"/>
      <c r="O88"/>
    </row>
    <row r="89" spans="12:15" ht="12.75">
      <c r="L89"/>
      <c r="M89"/>
      <c r="N89"/>
      <c r="O89"/>
    </row>
    <row r="90" spans="12:15" ht="12.75">
      <c r="L90"/>
      <c r="M90"/>
      <c r="N90"/>
      <c r="O90"/>
    </row>
    <row r="91" spans="12:15" ht="12.75">
      <c r="L91"/>
      <c r="M91"/>
      <c r="N91"/>
      <c r="O91"/>
    </row>
    <row r="92" spans="12:15" ht="12.75">
      <c r="L92"/>
      <c r="M92"/>
      <c r="N92"/>
      <c r="O92"/>
    </row>
    <row r="93" spans="12:15" ht="12.75">
      <c r="L93"/>
      <c r="M93"/>
      <c r="N93"/>
      <c r="O93"/>
    </row>
    <row r="94" spans="12:15" ht="12.75">
      <c r="L94"/>
      <c r="M94"/>
      <c r="N94"/>
      <c r="O94"/>
    </row>
    <row r="95" spans="12:15" ht="12.75">
      <c r="L95"/>
      <c r="M95"/>
      <c r="N95"/>
      <c r="O95"/>
    </row>
    <row r="96" spans="12:15" ht="12.75">
      <c r="L96"/>
      <c r="M96"/>
      <c r="N96"/>
      <c r="O96"/>
    </row>
    <row r="97" spans="12:15" ht="12.75">
      <c r="L97"/>
      <c r="M97"/>
      <c r="N97"/>
      <c r="O97"/>
    </row>
    <row r="98" spans="12:15" ht="12.75">
      <c r="L98"/>
      <c r="M98"/>
      <c r="N98"/>
      <c r="O98"/>
    </row>
    <row r="99" spans="12:15" ht="12.75">
      <c r="L99"/>
      <c r="M99"/>
      <c r="N99"/>
      <c r="O99"/>
    </row>
    <row r="100" spans="12:15" ht="12.75">
      <c r="L100"/>
      <c r="M100"/>
      <c r="N100"/>
      <c r="O100"/>
    </row>
    <row r="101" spans="12:15" ht="12.75">
      <c r="L101"/>
      <c r="M101"/>
      <c r="N101"/>
      <c r="O101"/>
    </row>
    <row r="102" spans="10:13" ht="12.75">
      <c r="J102" s="20"/>
      <c r="K102" s="20"/>
      <c r="L102" s="28"/>
      <c r="M102" s="28"/>
    </row>
    <row r="103" spans="10:13" ht="12.75">
      <c r="J103" s="20"/>
      <c r="K103" s="20"/>
      <c r="L103" s="28"/>
      <c r="M103" s="28"/>
    </row>
    <row r="104" spans="10:13" ht="12.75">
      <c r="J104" s="20"/>
      <c r="K104" s="20"/>
      <c r="L104" s="28"/>
      <c r="M104" s="28"/>
    </row>
    <row r="105" spans="10:13" ht="12.75">
      <c r="J105" s="20"/>
      <c r="K105" s="20"/>
      <c r="L105" s="28"/>
      <c r="M105" s="28"/>
    </row>
    <row r="106" spans="10:13" ht="12.75">
      <c r="J106" s="20"/>
      <c r="K106" s="20"/>
      <c r="L106" s="28"/>
      <c r="M106" s="28"/>
    </row>
    <row r="107" spans="10:13" ht="12.75">
      <c r="J107" s="20"/>
      <c r="K107" s="20"/>
      <c r="L107" s="28"/>
      <c r="M107" s="28"/>
    </row>
    <row r="108" spans="10:13" ht="12.75">
      <c r="J108" s="20"/>
      <c r="K108" s="20"/>
      <c r="L108" s="28"/>
      <c r="M108" s="28"/>
    </row>
    <row r="109" spans="10:13" ht="12.75">
      <c r="J109" s="20"/>
      <c r="K109" s="20"/>
      <c r="L109" s="28"/>
      <c r="M109" s="28"/>
    </row>
  </sheetData>
  <mergeCells count="4">
    <mergeCell ref="J1:K1"/>
    <mergeCell ref="D1:E1"/>
    <mergeCell ref="F1:G1"/>
    <mergeCell ref="L36:N36"/>
  </mergeCells>
  <printOptions/>
  <pageMargins left="0.25" right="0.25" top="0.5" bottom="0.5" header="0.5" footer="0.5"/>
  <pageSetup horizontalDpi="600" verticalDpi="600" orientation="portrait" paperSize="18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lmgullo</dc:creator>
  <cp:keywords/>
  <dc:description/>
  <cp:lastModifiedBy>M_Yamato</cp:lastModifiedBy>
  <cp:lastPrinted>2002-10-23T08:31:54Z</cp:lastPrinted>
  <dcterms:created xsi:type="dcterms:W3CDTF">2000-08-22T20:57:26Z</dcterms:created>
  <dcterms:modified xsi:type="dcterms:W3CDTF">2003-01-25T01:03:49Z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