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'Sheet1'!$A$1:$H$183</definedName>
  </definedNames>
  <calcPr fullCalcOnLoad="1"/>
</workbook>
</file>

<file path=xl/sharedStrings.xml><?xml version="1.0" encoding="utf-8"?>
<sst xmlns="http://schemas.openxmlformats.org/spreadsheetml/2006/main" count="287" uniqueCount="96">
  <si>
    <t>Collider ring</t>
  </si>
  <si>
    <t>muon beam energy</t>
  </si>
  <si>
    <t>TeV</t>
  </si>
  <si>
    <t>CM energy</t>
  </si>
  <si>
    <t>muons per bunch</t>
  </si>
  <si>
    <t>bunch rep rate</t>
  </si>
  <si>
    <t>Hz</t>
  </si>
  <si>
    <t>muon beam power</t>
  </si>
  <si>
    <t>MW</t>
  </si>
  <si>
    <t>tune shift</t>
  </si>
  <si>
    <t>avg bend B</t>
  </si>
  <si>
    <t>T</t>
  </si>
  <si>
    <t>each beam</t>
  </si>
  <si>
    <t>beta star</t>
  </si>
  <si>
    <t>mm</t>
  </si>
  <si>
    <t>luminosity</t>
  </si>
  <si>
    <t>/s /cm^2</t>
  </si>
  <si>
    <t>beta gamma</t>
  </si>
  <si>
    <t>m</t>
  </si>
  <si>
    <t>mean number turns</t>
  </si>
  <si>
    <t>luminosity_1</t>
  </si>
  <si>
    <t>cm</t>
  </si>
  <si>
    <t>emit TN</t>
  </si>
  <si>
    <t>pi</t>
  </si>
  <si>
    <t>Rmu</t>
  </si>
  <si>
    <t>Mmu</t>
  </si>
  <si>
    <t>MeV</t>
  </si>
  <si>
    <t>luminosity_2</t>
  </si>
  <si>
    <t>e</t>
  </si>
  <si>
    <t>C</t>
  </si>
  <si>
    <t>ctau</t>
  </si>
  <si>
    <t>bunches in train</t>
  </si>
  <si>
    <t>mean radius</t>
  </si>
  <si>
    <t>mean circumference</t>
  </si>
  <si>
    <t>Accelerator</t>
  </si>
  <si>
    <t>emit LN</t>
  </si>
  <si>
    <t>bunch length</t>
  </si>
  <si>
    <t>dp/p</t>
  </si>
  <si>
    <t>final energy</t>
  </si>
  <si>
    <t>GeV</t>
  </si>
  <si>
    <t>initial energy</t>
  </si>
  <si>
    <t>TR(system)</t>
  </si>
  <si>
    <t>TR(decay)</t>
  </si>
  <si>
    <t>Cooling</t>
  </si>
  <si>
    <t>initial emit TN</t>
  </si>
  <si>
    <t>initial emit LN</t>
  </si>
  <si>
    <t>final emit TN</t>
  </si>
  <si>
    <t>final emit LN</t>
  </si>
  <si>
    <t>6D cooling factor</t>
  </si>
  <si>
    <t>length</t>
  </si>
  <si>
    <t>momentum</t>
  </si>
  <si>
    <t>MeV/c</t>
  </si>
  <si>
    <t>included in mu/p for Study 2a</t>
  </si>
  <si>
    <t>4 turns x 33 m</t>
  </si>
  <si>
    <t>Collection - Phase rotation</t>
  </si>
  <si>
    <t>accepted mu/p</t>
  </si>
  <si>
    <t>Proton driver</t>
  </si>
  <si>
    <t>TR downstream decay</t>
  </si>
  <si>
    <t>TR downstream sys</t>
  </si>
  <si>
    <t>proton beam power</t>
  </si>
  <si>
    <t>muon rate</t>
  </si>
  <si>
    <t>proton rate</t>
  </si>
  <si>
    <t>each sign</t>
  </si>
  <si>
    <t>proton energy</t>
  </si>
  <si>
    <t>mean decay length</t>
  </si>
  <si>
    <t>RP sim (total = 55%)</t>
  </si>
  <si>
    <t>RP sim (total = 80%)</t>
  </si>
  <si>
    <t>JG wiggler:182 +178 m</t>
  </si>
  <si>
    <t>??</t>
  </si>
  <si>
    <t>RP sim (total = 76%; decays off?)</t>
  </si>
  <si>
    <t>6 x 5 m ??</t>
  </si>
  <si>
    <t>for Study 2a with 50 m cooling</t>
  </si>
  <si>
    <t>Muon Collider parameter list (RP06)</t>
  </si>
  <si>
    <t>final kinetic energy</t>
  </si>
  <si>
    <t>final momentun</t>
  </si>
  <si>
    <t>25 turns x 10.8 m</t>
  </si>
  <si>
    <t>20 turns x 16.5 m</t>
  </si>
  <si>
    <t>RP sim (total = 45/55=82%)</t>
  </si>
  <si>
    <t>19 turns x 16.5 m</t>
  </si>
  <si>
    <t>only using 21 bunches</t>
  </si>
  <si>
    <t>(C1) Cool-S2a</t>
  </si>
  <si>
    <t>(C2) Cool-gug201</t>
  </si>
  <si>
    <t>(C3) Cool-gug402</t>
  </si>
  <si>
    <t>(C4) Bunch merge</t>
  </si>
  <si>
    <t>(C5) Cool-gug201</t>
  </si>
  <si>
    <t>(C6) Cool-gug402</t>
  </si>
  <si>
    <t>(C7) Cool-gug805</t>
  </si>
  <si>
    <t>(C8) Cool-lin 50T</t>
  </si>
  <si>
    <t>(A1) Accel-linac</t>
  </si>
  <si>
    <t>(A2) Accel-RLA1</t>
  </si>
  <si>
    <t>(A3) Accel-RLA2</t>
  </si>
  <si>
    <t>(A4) Accel-FFAG</t>
  </si>
  <si>
    <t>(A5) Accel-RCS1</t>
  </si>
  <si>
    <t>(A6) Accel-RCS2</t>
  </si>
  <si>
    <t>28 turns x 6283 m</t>
  </si>
  <si>
    <t>44 turns x 6283 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</si>
</sst>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E+00"/>
    <numFmt numFmtId="169" formatCode="0.0E+00"/>
    <numFmt numFmtId="170" formatCode="0.00000E+00"/>
    <numFmt numFmtId="171" formatCode="0.0000000"/>
    <numFmt numFmtId="172" formatCode="0.000000"/>
    <numFmt numFmtId="173" formatCode="0.00000000"/>
    <numFmt numFmtId="174" formatCode="[$-409]dddd\,\ mmmm\ dd\,\ yyyy"/>
    <numFmt numFmtId="175" formatCode="[$-409]d\-mmm\-yyyy;@"/>
    <numFmt numFmtId="176" formatCode="0.0000000000"/>
    <numFmt numFmtId="177" formatCode="0.00000000000"/>
    <numFmt numFmtId="178" formatCode="0.00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4" max="4" width="13.7109375" style="0" bestFit="1" customWidth="1"/>
    <col min="6" max="6" width="11.140625" style="0" customWidth="1"/>
  </cols>
  <sheetData>
    <row r="1" spans="1:4" ht="12.75">
      <c r="A1" s="3" t="s">
        <v>72</v>
      </c>
      <c r="D1" s="19">
        <f ca="1">TODAY()</f>
        <v>39317</v>
      </c>
    </row>
    <row r="3" ht="12.75">
      <c r="A3" s="3" t="s">
        <v>0</v>
      </c>
    </row>
    <row r="4" spans="1:9" ht="12.75">
      <c r="A4" t="s">
        <v>3</v>
      </c>
      <c r="B4" t="s">
        <v>2</v>
      </c>
      <c r="C4">
        <v>1.5</v>
      </c>
      <c r="H4" t="s">
        <v>23</v>
      </c>
      <c r="I4">
        <v>3.1415926</v>
      </c>
    </row>
    <row r="5" spans="1:10" ht="12.75">
      <c r="A5" t="s">
        <v>1</v>
      </c>
      <c r="B5" t="s">
        <v>2</v>
      </c>
      <c r="D5">
        <f>C4/2</f>
        <v>0.75</v>
      </c>
      <c r="H5" t="s">
        <v>24</v>
      </c>
      <c r="I5" s="1">
        <v>1.37E-15</v>
      </c>
      <c r="J5" t="s">
        <v>21</v>
      </c>
    </row>
    <row r="6" spans="1:10" ht="12.75">
      <c r="A6" t="s">
        <v>17</v>
      </c>
      <c r="D6" s="5">
        <f>D5/0.0001056</f>
        <v>7102.272727272727</v>
      </c>
      <c r="H6" t="s">
        <v>25</v>
      </c>
      <c r="I6">
        <v>105.6</v>
      </c>
      <c r="J6" t="s">
        <v>26</v>
      </c>
    </row>
    <row r="7" spans="1:10" ht="12.75">
      <c r="A7" t="s">
        <v>64</v>
      </c>
      <c r="B7" t="s">
        <v>18</v>
      </c>
      <c r="D7" s="6">
        <f>D6*658.654</f>
        <v>4677940.340909091</v>
      </c>
      <c r="H7" t="s">
        <v>28</v>
      </c>
      <c r="I7" s="1">
        <v>1.6E-19</v>
      </c>
      <c r="J7" t="s">
        <v>29</v>
      </c>
    </row>
    <row r="8" spans="1:10" ht="12.75">
      <c r="A8" t="s">
        <v>4</v>
      </c>
      <c r="C8" s="1">
        <v>2000000000000</v>
      </c>
      <c r="H8" t="s">
        <v>30</v>
      </c>
      <c r="I8">
        <v>659</v>
      </c>
      <c r="J8" t="s">
        <v>18</v>
      </c>
    </row>
    <row r="9" spans="1:3" ht="12.75">
      <c r="A9" t="s">
        <v>31</v>
      </c>
      <c r="C9" s="6">
        <v>1</v>
      </c>
    </row>
    <row r="10" spans="1:3" ht="12.75">
      <c r="A10" t="s">
        <v>5</v>
      </c>
      <c r="B10" t="s">
        <v>6</v>
      </c>
      <c r="C10">
        <v>12</v>
      </c>
    </row>
    <row r="11" spans="1:6" ht="12.75">
      <c r="A11" t="s">
        <v>7</v>
      </c>
      <c r="B11" t="s">
        <v>8</v>
      </c>
      <c r="D11" s="5">
        <f>C8*C9*C10*I7*D5*1000000</f>
        <v>2.8799999999999994</v>
      </c>
      <c r="F11" t="s">
        <v>12</v>
      </c>
    </row>
    <row r="12" spans="1:3" ht="12.75">
      <c r="A12" t="s">
        <v>9</v>
      </c>
      <c r="C12">
        <v>0.1</v>
      </c>
    </row>
    <row r="13" spans="1:3" ht="12.75">
      <c r="A13" t="s">
        <v>10</v>
      </c>
      <c r="B13" t="s">
        <v>11</v>
      </c>
      <c r="C13">
        <v>5.4</v>
      </c>
    </row>
    <row r="14" spans="1:4" ht="12.75">
      <c r="A14" t="s">
        <v>32</v>
      </c>
      <c r="B14" t="s">
        <v>18</v>
      </c>
      <c r="D14" s="5">
        <f>D5*1000/0.2998/C13</f>
        <v>463.2718108368542</v>
      </c>
    </row>
    <row r="15" spans="1:4" ht="12.75">
      <c r="A15" t="s">
        <v>33</v>
      </c>
      <c r="B15" t="s">
        <v>18</v>
      </c>
      <c r="D15" s="5">
        <f>2*3.14159*D14</f>
        <v>2910.8201764139053</v>
      </c>
    </row>
    <row r="16" spans="1:4" ht="12.75">
      <c r="A16" t="s">
        <v>19</v>
      </c>
      <c r="D16" s="4">
        <f>D7/D15/2</f>
        <v>803.5433412915695</v>
      </c>
    </row>
    <row r="17" spans="1:4" ht="12.75">
      <c r="A17" t="s">
        <v>35</v>
      </c>
      <c r="B17" t="s">
        <v>14</v>
      </c>
      <c r="C17">
        <v>72</v>
      </c>
      <c r="D17" s="4"/>
    </row>
    <row r="18" spans="1:4" ht="12.75">
      <c r="A18" t="s">
        <v>36</v>
      </c>
      <c r="B18" t="s">
        <v>14</v>
      </c>
      <c r="C18">
        <v>0.11</v>
      </c>
      <c r="D18" s="4"/>
    </row>
    <row r="19" spans="1:4" ht="12.75">
      <c r="A19" t="s">
        <v>37</v>
      </c>
      <c r="D19" s="7">
        <f>C17/D6/C18</f>
        <v>0.09216</v>
      </c>
    </row>
    <row r="20" spans="1:3" ht="12.75">
      <c r="A20" t="s">
        <v>13</v>
      </c>
      <c r="B20" t="s">
        <v>21</v>
      </c>
      <c r="C20">
        <v>1</v>
      </c>
    </row>
    <row r="21" spans="1:8" ht="12.75">
      <c r="A21" t="s">
        <v>22</v>
      </c>
      <c r="B21" t="s">
        <v>14</v>
      </c>
      <c r="C21" s="1"/>
      <c r="D21" s="1">
        <f>C8*I5/(4*I4*C12)*10</f>
        <v>0.02180422757552968</v>
      </c>
      <c r="G21" s="2"/>
      <c r="H21" s="1"/>
    </row>
    <row r="22" spans="1:9" ht="12.75">
      <c r="A22" t="s">
        <v>15</v>
      </c>
      <c r="B22" s="2" t="s">
        <v>16</v>
      </c>
      <c r="D22" s="1">
        <f>D11*C12*C13/C20*I8*0.3/(4*I4*I5*I6*I6/1000*I7)</f>
        <v>1.0009552783294947E+34</v>
      </c>
      <c r="F22" t="s">
        <v>20</v>
      </c>
      <c r="G22" s="2" t="s">
        <v>16</v>
      </c>
      <c r="I22" s="1">
        <f>C8^2*C10*C9*D16*D6/(4*I4*C20*D21/10)</f>
        <v>9.997636130867242E+33</v>
      </c>
    </row>
    <row r="23" spans="6:9" ht="12.75">
      <c r="F23" t="s">
        <v>27</v>
      </c>
      <c r="G23" s="2" t="s">
        <v>16</v>
      </c>
      <c r="I23" s="1">
        <f>D11*C12*D16/(I7*C20*I5*I6)</f>
        <v>9.997636130867239E+33</v>
      </c>
    </row>
    <row r="25" ht="12.75">
      <c r="A25" s="3" t="s">
        <v>34</v>
      </c>
    </row>
    <row r="26" spans="1:3" ht="12.75">
      <c r="A26" t="s">
        <v>40</v>
      </c>
      <c r="B26" t="s">
        <v>39</v>
      </c>
      <c r="C26">
        <v>0.2</v>
      </c>
    </row>
    <row r="27" spans="1:4" ht="12.75">
      <c r="A27" t="s">
        <v>38</v>
      </c>
      <c r="B27" t="s">
        <v>39</v>
      </c>
      <c r="D27">
        <f>1000*D5</f>
        <v>750</v>
      </c>
    </row>
    <row r="28" spans="1:4" ht="12.75">
      <c r="A28" t="s">
        <v>42</v>
      </c>
      <c r="D28" s="20">
        <f>D36*D43*D50*D57*D64*D71</f>
        <v>0.7440366084147759</v>
      </c>
    </row>
    <row r="29" spans="1:4" ht="12.75">
      <c r="A29" t="s">
        <v>41</v>
      </c>
      <c r="D29" s="20">
        <f>D37*D44*D51*D58*D65*D72</f>
        <v>0.9414801494009999</v>
      </c>
    </row>
    <row r="32" ht="12.75">
      <c r="A32" t="s">
        <v>88</v>
      </c>
    </row>
    <row r="33" spans="1:3" ht="12.75">
      <c r="A33" t="s">
        <v>40</v>
      </c>
      <c r="B33" t="s">
        <v>39</v>
      </c>
      <c r="C33">
        <v>0.2</v>
      </c>
    </row>
    <row r="34" spans="1:3" ht="12.75">
      <c r="A34" t="s">
        <v>38</v>
      </c>
      <c r="B34" t="s">
        <v>39</v>
      </c>
      <c r="C34">
        <v>0.9</v>
      </c>
    </row>
    <row r="35" spans="1:6" ht="12.75">
      <c r="A35" t="s">
        <v>49</v>
      </c>
      <c r="B35" t="s">
        <v>18</v>
      </c>
      <c r="C35">
        <v>300</v>
      </c>
      <c r="F35" t="s">
        <v>68</v>
      </c>
    </row>
    <row r="36" spans="1:4" ht="12.75">
      <c r="A36" t="s">
        <v>42</v>
      </c>
      <c r="D36" s="16">
        <f>EXP(-2*C35*I6/1000/((C33+C34)*I8))</f>
        <v>0.9163057705811156</v>
      </c>
    </row>
    <row r="37" spans="1:6" ht="12.75">
      <c r="A37" t="s">
        <v>41</v>
      </c>
      <c r="D37">
        <v>0.99</v>
      </c>
      <c r="F37" t="s">
        <v>68</v>
      </c>
    </row>
    <row r="39" ht="12.75">
      <c r="A39" t="s">
        <v>89</v>
      </c>
    </row>
    <row r="40" spans="1:4" ht="12.75">
      <c r="A40" t="s">
        <v>40</v>
      </c>
      <c r="B40" t="s">
        <v>39</v>
      </c>
      <c r="D40">
        <f>C34</f>
        <v>0.9</v>
      </c>
    </row>
    <row r="41" spans="1:3" ht="12.75">
      <c r="A41" t="s">
        <v>38</v>
      </c>
      <c r="B41" t="s">
        <v>39</v>
      </c>
      <c r="C41">
        <v>3.6</v>
      </c>
    </row>
    <row r="42" spans="1:6" ht="12.75">
      <c r="A42" t="s">
        <v>49</v>
      </c>
      <c r="B42" t="s">
        <v>18</v>
      </c>
      <c r="C42">
        <v>1</v>
      </c>
      <c r="F42" t="s">
        <v>68</v>
      </c>
    </row>
    <row r="43" spans="1:4" ht="12.75">
      <c r="A43" t="s">
        <v>42</v>
      </c>
      <c r="D43" s="16">
        <f>EXP(-2*C42*I6/1000/((D40+C41)*I8))</f>
        <v>0.9999287835172989</v>
      </c>
    </row>
    <row r="44" spans="1:6" ht="12.75">
      <c r="A44" t="s">
        <v>41</v>
      </c>
      <c r="D44">
        <v>0.99</v>
      </c>
      <c r="F44" t="s">
        <v>68</v>
      </c>
    </row>
    <row r="46" ht="12.75">
      <c r="A46" t="s">
        <v>90</v>
      </c>
    </row>
    <row r="47" spans="1:4" ht="12.75">
      <c r="A47" t="s">
        <v>40</v>
      </c>
      <c r="B47" t="s">
        <v>39</v>
      </c>
      <c r="D47">
        <f>C41</f>
        <v>3.6</v>
      </c>
    </row>
    <row r="48" spans="1:3" ht="12.75">
      <c r="A48" t="s">
        <v>38</v>
      </c>
      <c r="B48" t="s">
        <v>39</v>
      </c>
      <c r="C48">
        <v>12.6</v>
      </c>
    </row>
    <row r="49" spans="1:6" ht="12.75">
      <c r="A49" t="s">
        <v>49</v>
      </c>
      <c r="B49" t="s">
        <v>18</v>
      </c>
      <c r="C49">
        <v>1</v>
      </c>
      <c r="F49" t="s">
        <v>68</v>
      </c>
    </row>
    <row r="50" spans="1:4" ht="12.75">
      <c r="A50" t="s">
        <v>42</v>
      </c>
      <c r="D50" s="16">
        <f>EXP(-2*C49*I6/1000/((D47+C48)*I8))</f>
        <v>0.9999802171349292</v>
      </c>
    </row>
    <row r="51" spans="1:6" ht="12.75">
      <c r="A51" t="s">
        <v>41</v>
      </c>
      <c r="D51">
        <v>0.99</v>
      </c>
      <c r="F51" t="s">
        <v>68</v>
      </c>
    </row>
    <row r="53" ht="12.75">
      <c r="A53" t="s">
        <v>91</v>
      </c>
    </row>
    <row r="54" spans="1:4" ht="12.75">
      <c r="A54" t="s">
        <v>40</v>
      </c>
      <c r="B54" t="s">
        <v>39</v>
      </c>
      <c r="D54">
        <f>C48</f>
        <v>12.6</v>
      </c>
    </row>
    <row r="55" spans="1:3" ht="12.75">
      <c r="A55" t="s">
        <v>38</v>
      </c>
      <c r="B55" t="s">
        <v>39</v>
      </c>
      <c r="C55">
        <v>30</v>
      </c>
    </row>
    <row r="56" spans="1:6" ht="12.75">
      <c r="A56" t="s">
        <v>49</v>
      </c>
      <c r="B56" t="s">
        <v>18</v>
      </c>
      <c r="C56">
        <v>1</v>
      </c>
      <c r="F56" t="s">
        <v>68</v>
      </c>
    </row>
    <row r="57" spans="1:4" ht="12.75">
      <c r="A57" t="s">
        <v>42</v>
      </c>
      <c r="D57" s="16">
        <f>EXP(-2*C56*I6/1000/((D54+C55)*I8))</f>
        <v>0.9999924768925189</v>
      </c>
    </row>
    <row r="58" spans="1:6" ht="12.75">
      <c r="A58" t="s">
        <v>41</v>
      </c>
      <c r="D58">
        <v>0.99</v>
      </c>
      <c r="F58" t="s">
        <v>68</v>
      </c>
    </row>
    <row r="60" ht="12.75">
      <c r="A60" t="s">
        <v>92</v>
      </c>
    </row>
    <row r="61" spans="1:4" ht="12.75">
      <c r="A61" t="s">
        <v>40</v>
      </c>
      <c r="B61" t="s">
        <v>39</v>
      </c>
      <c r="D61">
        <f>C55</f>
        <v>30</v>
      </c>
    </row>
    <row r="62" spans="1:3" ht="12.75">
      <c r="A62" t="s">
        <v>38</v>
      </c>
      <c r="B62" t="s">
        <v>39</v>
      </c>
      <c r="C62">
        <v>400</v>
      </c>
    </row>
    <row r="63" spans="1:6" ht="12.75">
      <c r="A63" t="s">
        <v>49</v>
      </c>
      <c r="B63" t="s">
        <v>18</v>
      </c>
      <c r="C63">
        <v>175924</v>
      </c>
      <c r="F63" t="s">
        <v>94</v>
      </c>
    </row>
    <row r="64" spans="1:4" ht="12.75">
      <c r="A64" t="s">
        <v>42</v>
      </c>
      <c r="D64" s="16">
        <f>EXP(-2*C63*I6/1000/((D61+C62)*I8))</f>
        <v>0.8771135224010502</v>
      </c>
    </row>
    <row r="65" spans="1:6" ht="12.75">
      <c r="A65" t="s">
        <v>41</v>
      </c>
      <c r="D65">
        <v>0.99</v>
      </c>
      <c r="F65" t="s">
        <v>68</v>
      </c>
    </row>
    <row r="67" ht="12.75">
      <c r="A67" t="s">
        <v>93</v>
      </c>
    </row>
    <row r="68" spans="1:4" ht="12.75">
      <c r="A68" t="s">
        <v>40</v>
      </c>
      <c r="B68" t="s">
        <v>39</v>
      </c>
      <c r="D68">
        <f>C62</f>
        <v>400</v>
      </c>
    </row>
    <row r="69" spans="1:3" ht="12.75">
      <c r="A69" t="s">
        <v>38</v>
      </c>
      <c r="B69" t="s">
        <v>39</v>
      </c>
      <c r="C69">
        <v>750</v>
      </c>
    </row>
    <row r="70" spans="1:6" ht="12.75">
      <c r="A70" t="s">
        <v>49</v>
      </c>
      <c r="B70" t="s">
        <v>18</v>
      </c>
      <c r="C70">
        <v>276452</v>
      </c>
      <c r="F70" t="s">
        <v>95</v>
      </c>
    </row>
    <row r="71" spans="1:4" ht="12.75">
      <c r="A71" t="s">
        <v>42</v>
      </c>
      <c r="D71" s="16">
        <f>EXP(-2*C70*I6/1000/((D68+C69)*I8))</f>
        <v>0.925850499512056</v>
      </c>
    </row>
    <row r="72" spans="1:6" ht="12.75">
      <c r="A72" t="s">
        <v>41</v>
      </c>
      <c r="D72">
        <v>0.99</v>
      </c>
      <c r="F72" t="s">
        <v>68</v>
      </c>
    </row>
    <row r="75" ht="12.75">
      <c r="A75" s="3" t="s">
        <v>43</v>
      </c>
    </row>
    <row r="76" spans="1:4" ht="12.75">
      <c r="A76" t="s">
        <v>44</v>
      </c>
      <c r="B76" t="s">
        <v>14</v>
      </c>
      <c r="D76">
        <f>C88</f>
        <v>20</v>
      </c>
    </row>
    <row r="77" spans="1:4" ht="12.75">
      <c r="A77" t="s">
        <v>45</v>
      </c>
      <c r="B77" t="s">
        <v>14</v>
      </c>
      <c r="D77">
        <f>C89</f>
        <v>35</v>
      </c>
    </row>
    <row r="78" spans="1:4" ht="12.75">
      <c r="A78" t="s">
        <v>46</v>
      </c>
      <c r="B78" t="s">
        <v>14</v>
      </c>
      <c r="D78" s="1">
        <f>D21</f>
        <v>0.02180422757552968</v>
      </c>
    </row>
    <row r="79" spans="1:4" ht="12.75">
      <c r="A79" t="s">
        <v>47</v>
      </c>
      <c r="B79" t="s">
        <v>14</v>
      </c>
      <c r="D79">
        <f>C17</f>
        <v>72</v>
      </c>
    </row>
    <row r="80" spans="1:4" ht="12.75">
      <c r="A80" t="s">
        <v>48</v>
      </c>
      <c r="D80" s="8">
        <f>(D76/D78)^2*D77/D79</f>
        <v>408991.3536542133</v>
      </c>
    </row>
    <row r="81" spans="1:4" ht="12.75">
      <c r="A81" t="s">
        <v>50</v>
      </c>
      <c r="B81" t="s">
        <v>51</v>
      </c>
      <c r="C81">
        <v>200</v>
      </c>
      <c r="D81" s="8"/>
    </row>
    <row r="82" spans="1:4" ht="12.75">
      <c r="A82" t="s">
        <v>17</v>
      </c>
      <c r="D82" s="5">
        <f>C81/I6</f>
        <v>1.893939393939394</v>
      </c>
    </row>
    <row r="83" spans="1:4" ht="12.75">
      <c r="A83" t="s">
        <v>42</v>
      </c>
      <c r="D83" s="20">
        <f>C94*D104*D114*D124*D134*D144*D154*D166</f>
        <v>0.2803027939071617</v>
      </c>
    </row>
    <row r="84" spans="1:4" ht="12.75">
      <c r="A84" t="s">
        <v>41</v>
      </c>
      <c r="D84" s="20">
        <f>C95*C105*C115*C125*C135*C145*C155*C167</f>
        <v>0.04300914648576</v>
      </c>
    </row>
    <row r="85" ht="12.75">
      <c r="D85" s="10"/>
    </row>
    <row r="86" spans="1:7" ht="12.75">
      <c r="A86" s="12"/>
      <c r="B86" s="11"/>
      <c r="C86" s="11"/>
      <c r="D86" s="11"/>
      <c r="E86" s="11"/>
      <c r="F86" s="11"/>
      <c r="G86" s="11"/>
    </row>
    <row r="87" spans="1:7" ht="12.75">
      <c r="A87" s="11" t="s">
        <v>80</v>
      </c>
      <c r="B87" s="11"/>
      <c r="C87" s="11"/>
      <c r="D87" s="11"/>
      <c r="E87" s="11"/>
      <c r="F87" s="11"/>
      <c r="G87" s="11"/>
    </row>
    <row r="88" spans="1:7" ht="12.75">
      <c r="A88" s="11" t="s">
        <v>44</v>
      </c>
      <c r="B88" s="11" t="s">
        <v>14</v>
      </c>
      <c r="C88" s="11">
        <v>20</v>
      </c>
      <c r="D88" s="11"/>
      <c r="E88" s="11"/>
      <c r="F88" s="11"/>
      <c r="G88" s="11"/>
    </row>
    <row r="89" spans="1:7" ht="12.75">
      <c r="A89" s="11" t="s">
        <v>45</v>
      </c>
      <c r="B89" s="11" t="s">
        <v>14</v>
      </c>
      <c r="C89" s="11">
        <v>35</v>
      </c>
      <c r="D89" s="11"/>
      <c r="E89" s="11"/>
      <c r="F89" s="11"/>
      <c r="G89" s="11"/>
    </row>
    <row r="90" spans="1:7" ht="12.75">
      <c r="A90" s="11" t="s">
        <v>46</v>
      </c>
      <c r="B90" s="11" t="s">
        <v>14</v>
      </c>
      <c r="C90" s="11">
        <v>12</v>
      </c>
      <c r="D90" s="13"/>
      <c r="E90" s="11"/>
      <c r="F90" s="11"/>
      <c r="G90" s="11"/>
    </row>
    <row r="91" spans="1:7" ht="12.75">
      <c r="A91" s="11" t="s">
        <v>47</v>
      </c>
      <c r="B91" s="11" t="s">
        <v>14</v>
      </c>
      <c r="C91" s="11">
        <v>41</v>
      </c>
      <c r="D91" s="11"/>
      <c r="E91" s="11"/>
      <c r="F91" s="11"/>
      <c r="G91" s="11"/>
    </row>
    <row r="92" spans="1:7" ht="12.75">
      <c r="A92" s="11" t="s">
        <v>48</v>
      </c>
      <c r="B92" s="11"/>
      <c r="C92" s="11"/>
      <c r="D92" s="14">
        <f>(C88/C90)^2*C89/C91</f>
        <v>2.3712737127371275</v>
      </c>
      <c r="E92" s="11"/>
      <c r="F92" s="11"/>
      <c r="G92" s="11"/>
    </row>
    <row r="93" spans="1:7" ht="12.75">
      <c r="A93" s="11" t="s">
        <v>49</v>
      </c>
      <c r="B93" s="11" t="s">
        <v>18</v>
      </c>
      <c r="C93" s="11">
        <v>50</v>
      </c>
      <c r="D93" s="15"/>
      <c r="E93" s="11"/>
      <c r="F93" s="11"/>
      <c r="G93" s="11"/>
    </row>
    <row r="94" spans="1:7" ht="12.75">
      <c r="A94" s="11" t="s">
        <v>42</v>
      </c>
      <c r="B94" s="11"/>
      <c r="C94" s="11">
        <v>1</v>
      </c>
      <c r="D94" s="11"/>
      <c r="E94" s="11"/>
      <c r="F94" s="11" t="s">
        <v>52</v>
      </c>
      <c r="G94" s="11"/>
    </row>
    <row r="95" spans="1:7" ht="12.75">
      <c r="A95" s="11" t="s">
        <v>41</v>
      </c>
      <c r="B95" s="11"/>
      <c r="C95" s="14">
        <v>0.7</v>
      </c>
      <c r="D95" s="11"/>
      <c r="E95" s="11"/>
      <c r="F95" s="11" t="s">
        <v>79</v>
      </c>
      <c r="G95" s="11"/>
    </row>
    <row r="96" spans="1:7" ht="12.75">
      <c r="A96" s="11"/>
      <c r="B96" s="11"/>
      <c r="C96" s="11"/>
      <c r="D96" s="11"/>
      <c r="E96" s="11"/>
      <c r="F96" s="11"/>
      <c r="G96" s="11"/>
    </row>
    <row r="97" spans="1:7" ht="12.75">
      <c r="A97" s="11" t="s">
        <v>81</v>
      </c>
      <c r="B97" s="11"/>
      <c r="C97" s="11"/>
      <c r="D97" s="11"/>
      <c r="E97" s="11"/>
      <c r="F97" s="11"/>
      <c r="G97" s="11"/>
    </row>
    <row r="98" spans="1:7" ht="12.75">
      <c r="A98" s="11" t="s">
        <v>44</v>
      </c>
      <c r="B98" s="11" t="s">
        <v>14</v>
      </c>
      <c r="C98" s="11"/>
      <c r="D98" s="13">
        <f>C90</f>
        <v>12</v>
      </c>
      <c r="E98" s="11"/>
      <c r="F98" s="11"/>
      <c r="G98" s="11"/>
    </row>
    <row r="99" spans="1:7" ht="12.75">
      <c r="A99" s="11" t="s">
        <v>45</v>
      </c>
      <c r="B99" s="11" t="s">
        <v>14</v>
      </c>
      <c r="C99" s="11"/>
      <c r="D99" s="11">
        <f>C91</f>
        <v>41</v>
      </c>
      <c r="E99" s="11"/>
      <c r="F99" s="11"/>
      <c r="G99" s="11"/>
    </row>
    <row r="100" spans="1:7" ht="12.75">
      <c r="A100" s="11" t="s">
        <v>46</v>
      </c>
      <c r="B100" s="11" t="s">
        <v>14</v>
      </c>
      <c r="C100" s="11">
        <v>5</v>
      </c>
      <c r="D100" s="11"/>
      <c r="E100" s="11"/>
      <c r="F100" s="11"/>
      <c r="G100" s="11"/>
    </row>
    <row r="101" spans="1:7" ht="12.75">
      <c r="A101" s="11" t="s">
        <v>47</v>
      </c>
      <c r="B101" s="11" t="s">
        <v>14</v>
      </c>
      <c r="C101" s="11">
        <v>12</v>
      </c>
      <c r="D101" s="11"/>
      <c r="E101" s="11"/>
      <c r="F101" s="11"/>
      <c r="G101" s="11"/>
    </row>
    <row r="102" spans="1:7" ht="12.75">
      <c r="A102" s="11" t="s">
        <v>48</v>
      </c>
      <c r="B102" s="11"/>
      <c r="C102" s="11"/>
      <c r="D102" s="14">
        <f>(D98/C100)^2*D99/C101</f>
        <v>19.68</v>
      </c>
      <c r="E102" s="11"/>
      <c r="F102" s="11"/>
      <c r="G102" s="11"/>
    </row>
    <row r="103" spans="1:7" ht="12.75">
      <c r="A103" s="11" t="s">
        <v>49</v>
      </c>
      <c r="B103" s="11" t="s">
        <v>18</v>
      </c>
      <c r="C103" s="11">
        <v>132</v>
      </c>
      <c r="D103" s="11"/>
      <c r="E103" s="11"/>
      <c r="F103" s="11" t="s">
        <v>53</v>
      </c>
      <c r="G103" s="11"/>
    </row>
    <row r="104" spans="1:7" ht="12.75">
      <c r="A104" s="11" t="s">
        <v>42</v>
      </c>
      <c r="B104" s="11"/>
      <c r="C104" s="11"/>
      <c r="D104" s="16">
        <f>EXP(-C103/(D82*I8))</f>
        <v>0.8996403174713677</v>
      </c>
      <c r="E104" s="11"/>
      <c r="F104" s="11"/>
      <c r="G104" s="11"/>
    </row>
    <row r="105" spans="1:7" ht="12.75">
      <c r="A105" s="11" t="s">
        <v>41</v>
      </c>
      <c r="B105" s="11"/>
      <c r="C105" s="14">
        <v>0.52</v>
      </c>
      <c r="D105" s="11"/>
      <c r="E105" s="11"/>
      <c r="F105" s="11" t="s">
        <v>65</v>
      </c>
      <c r="G105" s="11"/>
    </row>
    <row r="106" spans="1:7" ht="12.75">
      <c r="A106" s="11"/>
      <c r="B106" s="11"/>
      <c r="C106" s="11"/>
      <c r="D106" s="11"/>
      <c r="E106" s="11"/>
      <c r="F106" s="11"/>
      <c r="G106" s="11"/>
    </row>
    <row r="107" spans="1:7" ht="12.75">
      <c r="A107" s="11" t="s">
        <v>82</v>
      </c>
      <c r="B107" s="11"/>
      <c r="C107" s="11"/>
      <c r="D107" s="11"/>
      <c r="E107" s="11"/>
      <c r="F107" s="11"/>
      <c r="G107" s="11"/>
    </row>
    <row r="108" spans="1:7" ht="12.75">
      <c r="A108" s="11" t="s">
        <v>44</v>
      </c>
      <c r="B108" s="11" t="s">
        <v>14</v>
      </c>
      <c r="C108" s="11"/>
      <c r="D108" s="11">
        <f>C100</f>
        <v>5</v>
      </c>
      <c r="E108" s="11"/>
      <c r="F108" s="11"/>
      <c r="G108" s="11"/>
    </row>
    <row r="109" spans="1:7" ht="12.75">
      <c r="A109" s="11" t="s">
        <v>45</v>
      </c>
      <c r="B109" s="11" t="s">
        <v>14</v>
      </c>
      <c r="C109" s="11"/>
      <c r="D109" s="11">
        <f>C101</f>
        <v>12</v>
      </c>
      <c r="E109" s="11"/>
      <c r="F109" s="11"/>
      <c r="G109" s="11"/>
    </row>
    <row r="110" spans="1:7" ht="12.75">
      <c r="A110" s="11" t="s">
        <v>46</v>
      </c>
      <c r="B110" s="11" t="s">
        <v>14</v>
      </c>
      <c r="C110" s="11">
        <v>1.4</v>
      </c>
      <c r="D110" s="11"/>
      <c r="E110" s="11"/>
      <c r="F110" s="11"/>
      <c r="G110" s="11"/>
    </row>
    <row r="111" spans="1:7" ht="12.75">
      <c r="A111" s="11" t="s">
        <v>47</v>
      </c>
      <c r="B111" s="11" t="s">
        <v>14</v>
      </c>
      <c r="C111" s="11">
        <v>1.7</v>
      </c>
      <c r="D111" s="11"/>
      <c r="E111" s="11"/>
      <c r="F111" s="11"/>
      <c r="G111" s="11"/>
    </row>
    <row r="112" spans="1:7" ht="12.75">
      <c r="A112" s="11" t="s">
        <v>48</v>
      </c>
      <c r="B112" s="11"/>
      <c r="C112" s="11"/>
      <c r="D112" s="14">
        <f>(D108/C110)^2*D109/C111</f>
        <v>90.03601440576232</v>
      </c>
      <c r="E112" s="11"/>
      <c r="F112" s="11"/>
      <c r="G112" s="11"/>
    </row>
    <row r="113" spans="1:7" ht="12.75">
      <c r="A113" s="11" t="s">
        <v>49</v>
      </c>
      <c r="B113" s="11" t="s">
        <v>18</v>
      </c>
      <c r="C113" s="11">
        <v>330</v>
      </c>
      <c r="D113" s="11"/>
      <c r="E113" s="11"/>
      <c r="F113" s="11" t="s">
        <v>76</v>
      </c>
      <c r="G113" s="11"/>
    </row>
    <row r="114" spans="1:7" ht="12.75">
      <c r="A114" s="11" t="s">
        <v>42</v>
      </c>
      <c r="B114" s="11"/>
      <c r="C114" s="11"/>
      <c r="D114" s="16">
        <f>EXP(-C113/(D82*I8))</f>
        <v>0.767665945712309</v>
      </c>
      <c r="E114" s="11"/>
      <c r="F114" s="11"/>
      <c r="G114" s="11"/>
    </row>
    <row r="115" spans="1:7" ht="12.75">
      <c r="A115" s="11" t="s">
        <v>41</v>
      </c>
      <c r="B115" s="11"/>
      <c r="C115" s="14">
        <v>0.74</v>
      </c>
      <c r="D115" s="11"/>
      <c r="E115" s="11"/>
      <c r="F115" s="11" t="s">
        <v>77</v>
      </c>
      <c r="G115" s="11"/>
    </row>
    <row r="116" spans="1:7" ht="12.75">
      <c r="A116" s="11"/>
      <c r="B116" s="11"/>
      <c r="C116" s="11"/>
      <c r="D116" s="11"/>
      <c r="E116" s="11"/>
      <c r="F116" s="11"/>
      <c r="G116" s="11"/>
    </row>
    <row r="117" spans="1:7" ht="12.75">
      <c r="A117" s="11" t="s">
        <v>83</v>
      </c>
      <c r="B117" s="11"/>
      <c r="C117" s="11"/>
      <c r="D117" s="11"/>
      <c r="E117" s="11"/>
      <c r="F117" s="11"/>
      <c r="G117" s="11"/>
    </row>
    <row r="118" spans="1:7" ht="12.75">
      <c r="A118" s="11" t="s">
        <v>44</v>
      </c>
      <c r="B118" s="11" t="s">
        <v>14</v>
      </c>
      <c r="C118" s="11"/>
      <c r="D118" s="11">
        <f>C110</f>
        <v>1.4</v>
      </c>
      <c r="E118" s="11"/>
      <c r="F118" s="11"/>
      <c r="G118" s="11"/>
    </row>
    <row r="119" spans="1:7" ht="12.75">
      <c r="A119" s="11" t="s">
        <v>45</v>
      </c>
      <c r="B119" s="11" t="s">
        <v>14</v>
      </c>
      <c r="C119" s="11"/>
      <c r="D119" s="11">
        <f>C111</f>
        <v>1.7</v>
      </c>
      <c r="E119" s="11"/>
      <c r="F119" s="11"/>
      <c r="G119" s="11"/>
    </row>
    <row r="120" spans="1:7" ht="12.75">
      <c r="A120" s="11" t="s">
        <v>46</v>
      </c>
      <c r="B120" s="11" t="s">
        <v>14</v>
      </c>
      <c r="C120" s="11">
        <v>1.4</v>
      </c>
      <c r="D120" s="11"/>
      <c r="E120" s="11"/>
      <c r="F120" s="11"/>
      <c r="G120" s="11"/>
    </row>
    <row r="121" spans="1:7" ht="12.75">
      <c r="A121" s="11" t="s">
        <v>47</v>
      </c>
      <c r="B121" s="11" t="s">
        <v>14</v>
      </c>
      <c r="C121" s="11">
        <v>35</v>
      </c>
      <c r="D121" s="11"/>
      <c r="E121" s="11"/>
      <c r="F121" s="11"/>
      <c r="G121" s="11"/>
    </row>
    <row r="122" spans="1:7" ht="12.75">
      <c r="A122" s="11" t="s">
        <v>48</v>
      </c>
      <c r="B122" s="11"/>
      <c r="C122" s="11"/>
      <c r="D122" s="14">
        <f>(D118/C120)^2*D119/C121</f>
        <v>0.04857142857142857</v>
      </c>
      <c r="E122" s="11"/>
      <c r="F122" s="11"/>
      <c r="G122" s="11"/>
    </row>
    <row r="123" spans="1:7" ht="12.75">
      <c r="A123" s="11" t="s">
        <v>49</v>
      </c>
      <c r="B123" s="11" t="s">
        <v>18</v>
      </c>
      <c r="C123" s="11">
        <v>360</v>
      </c>
      <c r="D123" s="11"/>
      <c r="E123" s="11"/>
      <c r="F123" s="11" t="s">
        <v>67</v>
      </c>
      <c r="G123" s="11"/>
    </row>
    <row r="124" spans="1:7" ht="12.75">
      <c r="A124" s="11" t="s">
        <v>42</v>
      </c>
      <c r="B124" s="11"/>
      <c r="C124" s="11"/>
      <c r="D124" s="16">
        <f>EXP(-C123/(D82*I8))</f>
        <v>0.7494339986705209</v>
      </c>
      <c r="E124" s="11"/>
      <c r="F124" s="11"/>
      <c r="G124" s="11"/>
    </row>
    <row r="125" spans="1:7" ht="12.75">
      <c r="A125" s="11" t="s">
        <v>41</v>
      </c>
      <c r="B125" s="11"/>
      <c r="C125" s="11">
        <v>0.53</v>
      </c>
      <c r="D125" s="11"/>
      <c r="E125" s="11"/>
      <c r="F125" s="11" t="s">
        <v>66</v>
      </c>
      <c r="G125" s="11"/>
    </row>
    <row r="126" spans="1:7" ht="12.75">
      <c r="A126" s="11"/>
      <c r="B126" s="11"/>
      <c r="C126" s="11"/>
      <c r="D126" s="11"/>
      <c r="E126" s="11"/>
      <c r="F126" s="11"/>
      <c r="G126" s="11"/>
    </row>
    <row r="127" spans="1:7" ht="12.75">
      <c r="A127" s="11" t="s">
        <v>84</v>
      </c>
      <c r="B127" s="11"/>
      <c r="C127" s="11"/>
      <c r="D127" s="11"/>
      <c r="E127" s="11"/>
      <c r="F127" s="11"/>
      <c r="G127" s="11"/>
    </row>
    <row r="128" spans="1:7" ht="12.75">
      <c r="A128" s="11" t="s">
        <v>44</v>
      </c>
      <c r="B128" s="11" t="s">
        <v>14</v>
      </c>
      <c r="C128" s="11"/>
      <c r="D128" s="13">
        <f>C120</f>
        <v>1.4</v>
      </c>
      <c r="E128" s="11"/>
      <c r="F128" s="11"/>
      <c r="G128" s="11"/>
    </row>
    <row r="129" spans="1:7" ht="12.75">
      <c r="A129" s="11" t="s">
        <v>45</v>
      </c>
      <c r="B129" s="11" t="s">
        <v>14</v>
      </c>
      <c r="C129" s="11"/>
      <c r="D129" s="11">
        <f>C121</f>
        <v>35</v>
      </c>
      <c r="E129" s="11"/>
      <c r="F129" s="11"/>
      <c r="G129" s="11"/>
    </row>
    <row r="130" spans="1:7" ht="12.75">
      <c r="A130" s="11" t="s">
        <v>46</v>
      </c>
      <c r="B130" s="11" t="s">
        <v>14</v>
      </c>
      <c r="C130" s="11">
        <v>1.6</v>
      </c>
      <c r="D130" s="11"/>
      <c r="E130" s="11"/>
      <c r="F130" s="11"/>
      <c r="G130" s="11"/>
    </row>
    <row r="131" spans="1:7" ht="12.75">
      <c r="A131" s="11" t="s">
        <v>47</v>
      </c>
      <c r="B131" s="11" t="s">
        <v>14</v>
      </c>
      <c r="C131" s="11">
        <v>12</v>
      </c>
      <c r="D131" s="11"/>
      <c r="E131" s="11"/>
      <c r="F131" s="11"/>
      <c r="G131" s="11"/>
    </row>
    <row r="132" spans="1:7" ht="12.75">
      <c r="A132" s="11" t="s">
        <v>48</v>
      </c>
      <c r="B132" s="11"/>
      <c r="C132" s="11"/>
      <c r="D132" s="14">
        <f>(D128/C130)^2*D129/C131</f>
        <v>2.233072916666666</v>
      </c>
      <c r="E132" s="11"/>
      <c r="F132" s="11"/>
      <c r="G132" s="11"/>
    </row>
    <row r="133" spans="1:7" ht="12.75">
      <c r="A133" s="11" t="s">
        <v>49</v>
      </c>
      <c r="B133" s="11" t="s">
        <v>18</v>
      </c>
      <c r="C133" s="11">
        <v>132</v>
      </c>
      <c r="D133" s="11"/>
      <c r="E133" s="11"/>
      <c r="F133" s="11" t="s">
        <v>53</v>
      </c>
      <c r="G133" s="11"/>
    </row>
    <row r="134" spans="1:7" ht="12.75">
      <c r="A134" s="11" t="s">
        <v>42</v>
      </c>
      <c r="B134" s="11"/>
      <c r="C134" s="11"/>
      <c r="D134" s="16">
        <f>EXP(-C133/(D82*I8))</f>
        <v>0.8996403174713677</v>
      </c>
      <c r="E134" s="11"/>
      <c r="F134" s="11"/>
      <c r="G134" s="11"/>
    </row>
    <row r="135" spans="1:7" ht="12.75">
      <c r="A135" s="11" t="s">
        <v>41</v>
      </c>
      <c r="B135" s="11"/>
      <c r="C135" s="11">
        <v>0.68</v>
      </c>
      <c r="D135" s="11"/>
      <c r="E135" s="11"/>
      <c r="F135" s="11"/>
      <c r="G135" s="11"/>
    </row>
    <row r="136" spans="1:7" ht="12.75">
      <c r="A136" s="11"/>
      <c r="B136" s="11"/>
      <c r="C136" s="11"/>
      <c r="D136" s="11"/>
      <c r="E136" s="11"/>
      <c r="F136" s="11"/>
      <c r="G136" s="11"/>
    </row>
    <row r="137" spans="1:7" ht="12.75">
      <c r="A137" s="11" t="s">
        <v>85</v>
      </c>
      <c r="B137" s="11"/>
      <c r="C137" s="11"/>
      <c r="D137" s="11"/>
      <c r="E137" s="11"/>
      <c r="F137" s="11"/>
      <c r="G137" s="11"/>
    </row>
    <row r="138" spans="1:7" ht="12.75">
      <c r="A138" s="11" t="s">
        <v>44</v>
      </c>
      <c r="B138" s="11" t="s">
        <v>14</v>
      </c>
      <c r="C138" s="11"/>
      <c r="D138" s="11">
        <f>C130</f>
        <v>1.6</v>
      </c>
      <c r="E138" s="11"/>
      <c r="F138" s="11"/>
      <c r="G138" s="11"/>
    </row>
    <row r="139" spans="1:7" ht="12.75">
      <c r="A139" s="11" t="s">
        <v>45</v>
      </c>
      <c r="B139" s="11" t="s">
        <v>14</v>
      </c>
      <c r="C139" s="11"/>
      <c r="D139" s="11">
        <f>C131</f>
        <v>12</v>
      </c>
      <c r="E139" s="11"/>
      <c r="F139" s="11"/>
      <c r="G139" s="11"/>
    </row>
    <row r="140" spans="1:7" ht="12.75">
      <c r="A140" s="11" t="s">
        <v>46</v>
      </c>
      <c r="B140" s="11" t="s">
        <v>14</v>
      </c>
      <c r="C140" s="11">
        <v>1.1</v>
      </c>
      <c r="D140" s="11"/>
      <c r="E140" s="11"/>
      <c r="F140" s="11"/>
      <c r="G140" s="11"/>
    </row>
    <row r="141" spans="1:7" ht="12.75">
      <c r="A141" s="11" t="s">
        <v>47</v>
      </c>
      <c r="B141" s="11" t="s">
        <v>14</v>
      </c>
      <c r="C141" s="11">
        <v>1.7</v>
      </c>
      <c r="D141" s="11"/>
      <c r="E141" s="11"/>
      <c r="F141" s="11"/>
      <c r="G141" s="11"/>
    </row>
    <row r="142" spans="1:7" ht="12.75">
      <c r="A142" s="11" t="s">
        <v>48</v>
      </c>
      <c r="B142" s="11"/>
      <c r="C142" s="11"/>
      <c r="D142" s="14">
        <f>(D138/C140)^2*D139/C141</f>
        <v>14.934370442391833</v>
      </c>
      <c r="E142" s="11"/>
      <c r="F142" s="11"/>
      <c r="G142" s="11"/>
    </row>
    <row r="143" spans="1:7" ht="12.75">
      <c r="A143" s="11" t="s">
        <v>49</v>
      </c>
      <c r="B143" s="11" t="s">
        <v>18</v>
      </c>
      <c r="C143" s="11">
        <v>314</v>
      </c>
      <c r="D143" s="11"/>
      <c r="E143" s="11"/>
      <c r="F143" s="11" t="s">
        <v>78</v>
      </c>
      <c r="G143" s="11"/>
    </row>
    <row r="144" spans="1:7" ht="12.75">
      <c r="A144" s="11" t="s">
        <v>42</v>
      </c>
      <c r="B144" s="11"/>
      <c r="C144" s="11"/>
      <c r="D144" s="16">
        <f>EXP(-C143/(D82*I8))</f>
        <v>0.7775703290797659</v>
      </c>
      <c r="E144" s="11"/>
      <c r="F144" s="11"/>
      <c r="G144" s="11"/>
    </row>
    <row r="145" spans="1:7" ht="12.75">
      <c r="A145" s="11" t="s">
        <v>41</v>
      </c>
      <c r="B145" s="11"/>
      <c r="C145" s="14">
        <v>0.78</v>
      </c>
      <c r="D145" s="11"/>
      <c r="E145" s="11"/>
      <c r="F145" s="11"/>
      <c r="G145" s="11"/>
    </row>
    <row r="146" spans="1:7" ht="12.75">
      <c r="A146" s="11"/>
      <c r="B146" s="11"/>
      <c r="C146" s="11"/>
      <c r="D146" s="11"/>
      <c r="E146" s="11"/>
      <c r="F146" s="11"/>
      <c r="G146" s="11"/>
    </row>
    <row r="147" spans="1:7" ht="12.75">
      <c r="A147" s="11" t="s">
        <v>86</v>
      </c>
      <c r="B147" s="11"/>
      <c r="C147" s="11"/>
      <c r="D147" s="11"/>
      <c r="E147" s="11"/>
      <c r="F147" s="11"/>
      <c r="G147" s="11"/>
    </row>
    <row r="148" spans="1:7" ht="12.75">
      <c r="A148" s="11" t="s">
        <v>44</v>
      </c>
      <c r="B148" s="11" t="s">
        <v>14</v>
      </c>
      <c r="C148" s="11"/>
      <c r="D148" s="11">
        <f>C140</f>
        <v>1.1</v>
      </c>
      <c r="E148" s="11"/>
      <c r="F148" s="11"/>
      <c r="G148" s="11"/>
    </row>
    <row r="149" spans="1:7" ht="12.75">
      <c r="A149" s="11" t="s">
        <v>45</v>
      </c>
      <c r="B149" s="11" t="s">
        <v>14</v>
      </c>
      <c r="C149" s="11"/>
      <c r="D149" s="11">
        <f>C141</f>
        <v>1.7</v>
      </c>
      <c r="E149" s="11"/>
      <c r="F149" s="11"/>
      <c r="G149" s="11"/>
    </row>
    <row r="150" spans="1:7" ht="12.75">
      <c r="A150" s="11" t="s">
        <v>46</v>
      </c>
      <c r="B150" s="11" t="s">
        <v>14</v>
      </c>
      <c r="C150" s="11">
        <v>0.4</v>
      </c>
      <c r="D150" s="11"/>
      <c r="E150" s="11"/>
      <c r="F150" s="11"/>
      <c r="G150" s="11"/>
    </row>
    <row r="151" spans="1:7" ht="12.75">
      <c r="A151" s="11" t="s">
        <v>47</v>
      </c>
      <c r="B151" s="11" t="s">
        <v>14</v>
      </c>
      <c r="C151" s="11">
        <v>1</v>
      </c>
      <c r="D151" s="11"/>
      <c r="E151" s="11"/>
      <c r="F151" s="11"/>
      <c r="G151" s="11"/>
    </row>
    <row r="152" spans="1:7" ht="12.75">
      <c r="A152" s="11" t="s">
        <v>48</v>
      </c>
      <c r="B152" s="11"/>
      <c r="C152" s="11"/>
      <c r="D152" s="14">
        <f>(D148/C150)^2*D149/C151</f>
        <v>12.85625</v>
      </c>
      <c r="E152" s="11"/>
      <c r="F152" s="11"/>
      <c r="G152" s="11"/>
    </row>
    <row r="153" spans="1:7" ht="12.75">
      <c r="A153" s="11" t="s">
        <v>49</v>
      </c>
      <c r="B153" s="11" t="s">
        <v>18</v>
      </c>
      <c r="C153" s="11">
        <v>270</v>
      </c>
      <c r="D153" s="11"/>
      <c r="E153" s="11"/>
      <c r="F153" s="11" t="s">
        <v>75</v>
      </c>
      <c r="G153" s="11"/>
    </row>
    <row r="154" spans="1:7" ht="12.75">
      <c r="A154" s="11" t="s">
        <v>42</v>
      </c>
      <c r="B154" s="11"/>
      <c r="C154" s="11"/>
      <c r="D154" s="16">
        <f>EXP(-C153/(D82*I8))</f>
        <v>0.8054712498157792</v>
      </c>
      <c r="E154" s="11"/>
      <c r="F154" s="11"/>
      <c r="G154" s="11"/>
    </row>
    <row r="155" spans="1:7" ht="12.75">
      <c r="A155" s="11" t="s">
        <v>41</v>
      </c>
      <c r="B155" s="11"/>
      <c r="C155" s="11">
        <v>0.71</v>
      </c>
      <c r="D155" s="11"/>
      <c r="E155" s="11"/>
      <c r="F155" s="11" t="s">
        <v>69</v>
      </c>
      <c r="G155" s="11"/>
    </row>
    <row r="156" spans="1:7" ht="12.75">
      <c r="A156" s="11"/>
      <c r="B156" s="11"/>
      <c r="C156" s="11"/>
      <c r="D156" s="11"/>
      <c r="E156" s="11"/>
      <c r="F156" s="11"/>
      <c r="G156" s="11"/>
    </row>
    <row r="157" spans="1:7" ht="12.75">
      <c r="A157" s="11" t="s">
        <v>87</v>
      </c>
      <c r="B157" s="11"/>
      <c r="C157" s="11"/>
      <c r="D157" s="11"/>
      <c r="E157" s="11"/>
      <c r="F157" s="11"/>
      <c r="G157" s="11"/>
    </row>
    <row r="158" spans="1:7" ht="12.75">
      <c r="A158" s="11" t="s">
        <v>44</v>
      </c>
      <c r="B158" s="11" t="s">
        <v>14</v>
      </c>
      <c r="C158" s="11"/>
      <c r="D158" s="11">
        <f>C150</f>
        <v>0.4</v>
      </c>
      <c r="E158" s="11"/>
      <c r="F158" s="11"/>
      <c r="G158" s="11"/>
    </row>
    <row r="159" spans="1:7" ht="12.75">
      <c r="A159" s="11" t="s">
        <v>45</v>
      </c>
      <c r="B159" s="11" t="s">
        <v>14</v>
      </c>
      <c r="C159" s="11"/>
      <c r="D159" s="11">
        <f>C151</f>
        <v>1</v>
      </c>
      <c r="E159" s="11"/>
      <c r="F159" s="11"/>
      <c r="G159" s="11"/>
    </row>
    <row r="160" spans="1:7" ht="12.75">
      <c r="A160" s="11" t="s">
        <v>46</v>
      </c>
      <c r="B160" s="11" t="s">
        <v>14</v>
      </c>
      <c r="C160" s="11"/>
      <c r="D160" s="17">
        <f>D78</f>
        <v>0.02180422757552968</v>
      </c>
      <c r="E160" s="11"/>
      <c r="F160" s="11"/>
      <c r="G160" s="11"/>
    </row>
    <row r="161" spans="1:7" ht="12.75">
      <c r="A161" s="11" t="s">
        <v>47</v>
      </c>
      <c r="B161" s="11" t="s">
        <v>14</v>
      </c>
      <c r="C161" s="11"/>
      <c r="D161" s="11">
        <f>D79</f>
        <v>72</v>
      </c>
      <c r="E161" s="11"/>
      <c r="F161" s="11"/>
      <c r="G161" s="11"/>
    </row>
    <row r="162" spans="1:7" ht="12.75">
      <c r="A162" s="11" t="s">
        <v>48</v>
      </c>
      <c r="B162" s="11"/>
      <c r="C162" s="11"/>
      <c r="D162" s="14">
        <f>(D158/D160)^2*D159/D161</f>
        <v>4.674186898905294</v>
      </c>
      <c r="E162" s="11"/>
      <c r="F162" s="11"/>
      <c r="G162" s="11"/>
    </row>
    <row r="163" spans="1:7" ht="12.75">
      <c r="A163" s="11" t="s">
        <v>49</v>
      </c>
      <c r="B163" s="11" t="s">
        <v>18</v>
      </c>
      <c r="C163" s="11">
        <v>30</v>
      </c>
      <c r="D163" s="11"/>
      <c r="E163" s="11"/>
      <c r="F163" s="11" t="s">
        <v>70</v>
      </c>
      <c r="G163" s="11"/>
    </row>
    <row r="164" spans="1:7" ht="12.75">
      <c r="A164" s="18" t="s">
        <v>73</v>
      </c>
      <c r="B164" s="18" t="s">
        <v>26</v>
      </c>
      <c r="C164" s="11">
        <v>8.3</v>
      </c>
      <c r="D164" s="11"/>
      <c r="E164" s="11"/>
      <c r="F164" s="11"/>
      <c r="G164" s="11"/>
    </row>
    <row r="165" spans="1:7" ht="12.75">
      <c r="A165" s="18" t="s">
        <v>74</v>
      </c>
      <c r="B165" s="18" t="s">
        <v>51</v>
      </c>
      <c r="C165" s="11"/>
      <c r="D165" s="14">
        <f>I6*SQRT((C164/I6)^2+2*C164/I6)</f>
        <v>42.683134842698706</v>
      </c>
      <c r="E165" s="11"/>
      <c r="F165" s="11"/>
      <c r="G165" s="11"/>
    </row>
    <row r="166" spans="1:7" ht="12.75">
      <c r="A166" s="11" t="s">
        <v>42</v>
      </c>
      <c r="B166" s="11"/>
      <c r="C166" s="11"/>
      <c r="D166" s="16">
        <f>EXP(-2*I6*C163/((C81+D165)*I8))</f>
        <v>0.9611567403789629</v>
      </c>
      <c r="E166" s="11"/>
      <c r="F166" s="11" t="s">
        <v>68</v>
      </c>
      <c r="G166" s="11"/>
    </row>
    <row r="167" spans="1:7" ht="12.75">
      <c r="A167" s="11" t="s">
        <v>41</v>
      </c>
      <c r="B167" s="11"/>
      <c r="C167" s="11">
        <v>0.8</v>
      </c>
      <c r="D167" s="11"/>
      <c r="E167" s="11"/>
      <c r="F167" s="11" t="s">
        <v>68</v>
      </c>
      <c r="G167" s="11"/>
    </row>
    <row r="170" ht="12.75">
      <c r="A170" s="3" t="s">
        <v>54</v>
      </c>
    </row>
    <row r="171" spans="1:3" ht="12.75">
      <c r="A171" s="9" t="s">
        <v>49</v>
      </c>
      <c r="B171" t="s">
        <v>18</v>
      </c>
      <c r="C171">
        <v>200</v>
      </c>
    </row>
    <row r="172" spans="1:6" ht="12.75">
      <c r="A172" t="s">
        <v>42</v>
      </c>
      <c r="C172">
        <v>1</v>
      </c>
      <c r="F172" t="s">
        <v>52</v>
      </c>
    </row>
    <row r="173" spans="1:3" ht="12.75">
      <c r="A173" t="s">
        <v>41</v>
      </c>
      <c r="C173">
        <v>1</v>
      </c>
    </row>
    <row r="174" ht="12.75">
      <c r="A174" s="3"/>
    </row>
    <row r="175" ht="12.75">
      <c r="A175" s="3"/>
    </row>
    <row r="176" ht="12.75">
      <c r="A176" s="3" t="s">
        <v>56</v>
      </c>
    </row>
    <row r="177" spans="1:6" ht="12.75">
      <c r="A177" s="9" t="s">
        <v>60</v>
      </c>
      <c r="B177" t="s">
        <v>6</v>
      </c>
      <c r="D177" s="1">
        <f>C8*C9*C10</f>
        <v>24000000000000</v>
      </c>
      <c r="F177" t="s">
        <v>62</v>
      </c>
    </row>
    <row r="178" spans="1:6" ht="12.75">
      <c r="A178" t="s">
        <v>55</v>
      </c>
      <c r="C178">
        <v>0.16</v>
      </c>
      <c r="F178" t="s">
        <v>71</v>
      </c>
    </row>
    <row r="179" spans="1:4" ht="12.75">
      <c r="A179" s="9" t="s">
        <v>57</v>
      </c>
      <c r="D179" s="20">
        <f>C172*D83*D28</f>
        <v>0.2085555401078705</v>
      </c>
    </row>
    <row r="180" spans="1:4" ht="12.75">
      <c r="A180" s="9" t="s">
        <v>58</v>
      </c>
      <c r="D180" s="20">
        <f>C173*D84*D29</f>
        <v>0.04049225765902281</v>
      </c>
    </row>
    <row r="181" spans="1:4" ht="12.75">
      <c r="A181" s="9" t="s">
        <v>61</v>
      </c>
      <c r="B181" t="s">
        <v>6</v>
      </c>
      <c r="D181" s="1">
        <f>D177/(C178*D179*D180)</f>
        <v>17762231922386900</v>
      </c>
    </row>
    <row r="182" spans="1:4" ht="12.75">
      <c r="A182" s="9" t="s">
        <v>63</v>
      </c>
      <c r="B182" t="s">
        <v>39</v>
      </c>
      <c r="D182">
        <v>10</v>
      </c>
    </row>
    <row r="183" spans="1:4" ht="12.75">
      <c r="A183" s="9" t="s">
        <v>59</v>
      </c>
      <c r="B183" t="s">
        <v>8</v>
      </c>
      <c r="D183" s="5">
        <f>D181*I7*D182*1000</f>
        <v>28.41957107581904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Fernow</dc:creator>
  <cp:keywords/>
  <dc:description/>
  <cp:lastModifiedBy>Richard Fernow</cp:lastModifiedBy>
  <cp:lastPrinted>2007-08-06T20:28:02Z</cp:lastPrinted>
  <dcterms:created xsi:type="dcterms:W3CDTF">2007-02-20T19:09:44Z</dcterms:created>
  <dcterms:modified xsi:type="dcterms:W3CDTF">2007-08-23T15:26:52Z</dcterms:modified>
  <cp:category/>
  <cp:version/>
  <cp:contentType/>
  <cp:contentStatus/>
</cp:coreProperties>
</file>