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19680" windowHeight="13200" firstSheet="4" activeTab="6"/>
  </bookViews>
  <sheets>
    <sheet name="Beta_N" sheetId="1" r:id="rId1"/>
    <sheet name="TF_outer" sheetId="2" r:id="rId2"/>
    <sheet name="Shape" sheetId="3" r:id="rId3"/>
    <sheet name="TF_inductance" sheetId="4" r:id="rId4"/>
    <sheet name="TF_Heating" sheetId="5" r:id="rId5"/>
    <sheet name="TF_Stress" sheetId="6" r:id="rId6"/>
    <sheet name="Base" sheetId="7" r:id="rId7"/>
  </sheets>
  <definedNames>
    <definedName name="A">'Base'!$B$3</definedName>
    <definedName name="alpha_N">'Base'!$B$39</definedName>
    <definedName name="alpha_T">'Base'!$B$40</definedName>
    <definedName name="ane">'Base'!$B$57</definedName>
    <definedName name="anscount" hidden="1">2</definedName>
    <definedName name="Beta_N">'Base'!$B$42</definedName>
    <definedName name="Beta_P">'Base'!$B$44</definedName>
    <definedName name="Beta_T">'Base'!$B$43</definedName>
    <definedName name="Bmax">'TF_Stress'!$B$1</definedName>
    <definedName name="Bt">'Base'!$B$18</definedName>
    <definedName name="C_ejima">'Base'!$B$122</definedName>
    <definedName name="CoeffCu">'TF_Heating'!$B$31</definedName>
    <definedName name="CSAcenter">'TF_Heating'!$B$11</definedName>
    <definedName name="CSAends">'TF_Heating'!$B$12</definedName>
    <definedName name="CSAH20">'TF_Heating'!$B$13</definedName>
    <definedName name="d">'Shape'!$B$6</definedName>
    <definedName name="delta">'Base'!$B$7</definedName>
    <definedName name="deltaR">'TF_inductance'!$B$16</definedName>
    <definedName name="DensCu">'TF_Heating'!$B$29</definedName>
    <definedName name="DensH20">'TF_Heating'!$B$23</definedName>
    <definedName name="dr">'Base'!$B$72</definedName>
    <definedName name="drtf">'Base'!$B$15</definedName>
    <definedName name="dTheta">'Shape'!$B$1</definedName>
    <definedName name="e">'Base'!$B$4</definedName>
    <definedName name="Eta_CD">'Base'!$B$48</definedName>
    <definedName name="Eta_neo">'Base'!$B$109</definedName>
    <definedName name="fBS">'Base'!$B$47</definedName>
    <definedName name="FF">'Base'!$B$120</definedName>
    <definedName name="fGW">'Base'!$B$55</definedName>
    <definedName name="fimp">'Base'!$B$62</definedName>
    <definedName name="FlowH20">'TF_Heating'!$B$19</definedName>
    <definedName name="fracwater">'Base'!$B$16</definedName>
    <definedName name="frad">'Base'!$B$59</definedName>
    <definedName name="halfht">'TF_inductance'!$B$5</definedName>
    <definedName name="Hcordy">'Base'!#REF!</definedName>
    <definedName name="height">'TF_inductance'!$B$6</definedName>
    <definedName name="HH">'Base'!$B$101</definedName>
    <definedName name="Ip">'Base'!$B$30</definedName>
    <definedName name="Itf">'Base'!$B$19</definedName>
    <definedName name="Javgtf">'Base'!$B$13</definedName>
    <definedName name="k">'Shape'!$B$5</definedName>
    <definedName name="kappa">'Base'!$B$6</definedName>
    <definedName name="Lext">'Base'!$B$119</definedName>
    <definedName name="Li">'Base'!$B$118</definedName>
    <definedName name="limcount" hidden="1">1</definedName>
    <definedName name="Massflow">'TF_Heating'!$B$27</definedName>
    <definedName name="mu0">'Base'!$B$1</definedName>
    <definedName name="Npassage">'TF_Heating'!$B$15</definedName>
    <definedName name="nrdiv">'Base'!$B$71</definedName>
    <definedName name="NSW">'Base'!$B$143</definedName>
    <definedName name="Nu">'TF_Stress'!$B$2</definedName>
    <definedName name="P_alpha">'Base'!$B$94</definedName>
    <definedName name="P_aux">'Base'!$B$51</definedName>
    <definedName name="P_Brem">'Base'!$B$70</definedName>
    <definedName name="P_CD">'Base'!$B$49</definedName>
    <definedName name="P_Elec_gen">'Base'!$B$135</definedName>
    <definedName name="P_elec_out">'Base'!$B$135</definedName>
    <definedName name="P_fus_target">'Base'!#REF!</definedName>
    <definedName name="P_fusion">'Base'!$B$52</definedName>
    <definedName name="P_Input">'Base'!#REF!</definedName>
    <definedName name="P_loss">'Base'!#REF!</definedName>
    <definedName name="P_net">'Base'!$B$140</definedName>
    <definedName name="P_Output">'Base'!#REF!</definedName>
    <definedName name="PrandtLH20">'TF_Heating'!$B$25</definedName>
    <definedName name="_xlnm.Print_Area" localSheetId="6">'Base'!$I$2:$W$37</definedName>
    <definedName name="Q">'Base'!$B$53</definedName>
    <definedName name="Q_elec">'Base'!$B$141</definedName>
    <definedName name="Q_engr">'Base'!#REF!</definedName>
    <definedName name="qcyl">'Base'!$B$9</definedName>
    <definedName name="qMHD">'Base'!$B$12</definedName>
    <definedName name="R0">'Base'!$B$2</definedName>
    <definedName name="ResCu">'TF_Heating'!$B$32</definedName>
    <definedName name="Reynolds">'TF_Heating'!$B$26</definedName>
    <definedName name="rinner1">'TF_inductance'!$B$1</definedName>
    <definedName name="rinner2">'TF_inductance'!$B$2</definedName>
    <definedName name="Rmassflow">'TF_Heating'!$B$28</definedName>
    <definedName name="router1">'TF_inductance'!$B$3</definedName>
    <definedName name="router2">'TF_inductance'!$B$4</definedName>
    <definedName name="s">'Base'!$B$11</definedName>
    <definedName name="sencount" hidden="1">1</definedName>
    <definedName name="SHCu">'TF_Heating'!$B$30</definedName>
    <definedName name="SHH20">'TF_Heating'!$B$21</definedName>
    <definedName name="Sigmax">'Base'!$B$22</definedName>
    <definedName name="slope">'TF_inductance'!$B$8</definedName>
    <definedName name="sMHD">'Base'!$B$10</definedName>
    <definedName name="solver_adj" localSheetId="6" hidden="1">'Base'!$B$59,'Base'!$B$55,'Base'!$B$42,'Base'!$B$48,'Base'!$B$13,'Base'!$B$16,'Base'!$B$9,'Base'!$B$52</definedName>
    <definedName name="solver_cvg" localSheetId="6" hidden="1">0.00001</definedName>
    <definedName name="solver_drv" localSheetId="6" hidden="1">2</definedName>
    <definedName name="solver_est" localSheetId="6" hidden="1">2</definedName>
    <definedName name="solver_itr" localSheetId="6" hidden="1">200</definedName>
    <definedName name="solver_lhs0" localSheetId="6" hidden="1">'Base'!$B$56</definedName>
    <definedName name="solver_lhs1" localSheetId="6" hidden="1">'Base'!$B$55</definedName>
    <definedName name="solver_lhs10" localSheetId="6" hidden="1">'Base'!$B$42</definedName>
    <definedName name="solver_lhs11" localSheetId="6" hidden="1">'Base'!$B$59</definedName>
    <definedName name="solver_lhs12" localSheetId="6" hidden="1">'Base'!$B$22</definedName>
    <definedName name="solver_lhs13" localSheetId="6" hidden="1">'Base'!$B$101</definedName>
    <definedName name="solver_lhs14" localSheetId="6" hidden="1">'Base'!$B$30</definedName>
    <definedName name="solver_lhs15" localSheetId="6" hidden="1">'Base'!$B$47</definedName>
    <definedName name="solver_lhs16" localSheetId="6" hidden="1">'Base'!$B$16</definedName>
    <definedName name="solver_lhs17" localSheetId="6" hidden="1">'Base'!$B$55</definedName>
    <definedName name="solver_lhs18" localSheetId="6" hidden="1">'Base'!$B$20</definedName>
    <definedName name="solver_lhs19" localSheetId="6" hidden="1">'Base'!$B$21</definedName>
    <definedName name="solver_lhs2" localSheetId="6" hidden="1">'Base'!$B$9</definedName>
    <definedName name="solver_lhs20" localSheetId="6" hidden="1">'Base'!$B$13</definedName>
    <definedName name="solver_lhs3" localSheetId="6" hidden="1">'Base'!$B$97</definedName>
    <definedName name="solver_lhs4" localSheetId="6" hidden="1">'Base'!$B$125</definedName>
    <definedName name="solver_lhs5" localSheetId="6" hidden="1">'Base'!$B$48</definedName>
    <definedName name="solver_lhs6" localSheetId="6" hidden="1">'Base'!$B$66</definedName>
    <definedName name="solver_lhs7" localSheetId="6" hidden="1">'Base'!$B$48</definedName>
    <definedName name="solver_lhs8" localSheetId="6" hidden="1">'Base'!$B$16</definedName>
    <definedName name="solver_lhs9" localSheetId="6" hidden="1">'Base'!$B$95</definedName>
    <definedName name="solver_lin" localSheetId="6" hidden="1">2</definedName>
    <definedName name="solver_neg" localSheetId="6" hidden="1">1</definedName>
    <definedName name="solver_num" localSheetId="6" hidden="1">20</definedName>
    <definedName name="solver_nwt" localSheetId="6" hidden="1">1</definedName>
    <definedName name="solver_opt" localSheetId="6" hidden="1">'Base'!$B$143</definedName>
    <definedName name="solver_pre" localSheetId="6" hidden="1">0.000001</definedName>
    <definedName name="solver_rel0" localSheetId="6" hidden="1">2</definedName>
    <definedName name="solver_rel1" localSheetId="6" hidden="1">3</definedName>
    <definedName name="solver_rel10" localSheetId="6" hidden="1">1</definedName>
    <definedName name="solver_rel11" localSheetId="6" hidden="1">3</definedName>
    <definedName name="solver_rel12" localSheetId="6" hidden="1">1</definedName>
    <definedName name="solver_rel13" localSheetId="6" hidden="1">2</definedName>
    <definedName name="solver_rel14" localSheetId="6" hidden="1">1</definedName>
    <definedName name="solver_rel15" localSheetId="6" hidden="1">1</definedName>
    <definedName name="solver_rel16" localSheetId="6" hidden="1">1</definedName>
    <definedName name="solver_rel17" localSheetId="6" hidden="1">1</definedName>
    <definedName name="solver_rel18" localSheetId="6" hidden="1">1</definedName>
    <definedName name="solver_rel19" localSheetId="6" hidden="1">1</definedName>
    <definedName name="solver_rel2" localSheetId="6" hidden="1">3</definedName>
    <definedName name="solver_rel20" localSheetId="6" hidden="1">1</definedName>
    <definedName name="solver_rel3" localSheetId="6" hidden="1">2</definedName>
    <definedName name="solver_rel4" localSheetId="6" hidden="1">2</definedName>
    <definedName name="solver_rel5" localSheetId="6" hidden="1">1</definedName>
    <definedName name="solver_rel6" localSheetId="6" hidden="1">1</definedName>
    <definedName name="solver_rel7" localSheetId="6" hidden="1">3</definedName>
    <definedName name="solver_rel8" localSheetId="6" hidden="1">3</definedName>
    <definedName name="solver_rel9" localSheetId="6" hidden="1">2</definedName>
    <definedName name="solver_rhs0" localSheetId="6" hidden="1">160000000000000000000</definedName>
    <definedName name="solver_rhs1" localSheetId="6" hidden="1">0.1</definedName>
    <definedName name="solver_rhs10" localSheetId="6" hidden="1">'Base'!$B$41</definedName>
    <definedName name="solver_rhs11" localSheetId="6" hidden="1">0</definedName>
    <definedName name="solver_rhs12" localSheetId="6" hidden="1">100</definedName>
    <definedName name="solver_rhs13" localSheetId="6" hidden="1">1.8</definedName>
    <definedName name="solver_rhs14" localSheetId="6" hidden="1">40</definedName>
    <definedName name="solver_rhs15" localSheetId="6" hidden="1">0.9</definedName>
    <definedName name="solver_rhs16" localSheetId="6" hidden="1">0.3</definedName>
    <definedName name="solver_rhs17" localSheetId="6" hidden="1">1</definedName>
    <definedName name="solver_rhs18" localSheetId="6" hidden="1">150</definedName>
    <definedName name="solver_rhs19" localSheetId="6" hidden="1">150</definedName>
    <definedName name="solver_rhs2" localSheetId="6" hidden="1">'Base'!$B$8</definedName>
    <definedName name="solver_rhs20" localSheetId="6" hidden="1">40000000</definedName>
    <definedName name="solver_rhs3" localSheetId="6" hidden="1">0</definedName>
    <definedName name="solver_rhs4" localSheetId="6" hidden="1">1.5</definedName>
    <definedName name="solver_rhs5" localSheetId="6" hidden="1">'Base'!$B$67</definedName>
    <definedName name="solver_rhs6" localSheetId="6" hidden="1">20</definedName>
    <definedName name="solver_rhs7" localSheetId="6" hidden="1">0.1</definedName>
    <definedName name="solver_rhs8" localSheetId="6" hidden="1">0.05</definedName>
    <definedName name="solver_rhs9" localSheetId="6" hidden="1">0</definedName>
    <definedName name="solver_scl" localSheetId="6" hidden="1">1</definedName>
    <definedName name="solver_sho" localSheetId="6" hidden="1">2</definedName>
    <definedName name="solver_tim" localSheetId="6" hidden="1">100</definedName>
    <definedName name="solver_tol" localSheetId="6" hidden="1">0.01</definedName>
    <definedName name="solver_typ" localSheetId="6" hidden="1">1</definedName>
    <definedName name="solver_val" localSheetId="6" hidden="1">50</definedName>
    <definedName name="T_flat">'Base'!$B$121</definedName>
    <definedName name="Tau_e">'Base'!$B$100</definedName>
    <definedName name="TconH20">'TF_Heating'!$B$24</definedName>
    <definedName name="TCumax">'Base'!$B$21</definedName>
    <definedName name="Temp0">'Base'!$B$65</definedName>
    <definedName name="Tempavg">'Base'!$B$66</definedName>
    <definedName name="TH20max">'Base'!$B$20</definedName>
    <definedName name="tpote">'Base'!$B$58</definedName>
    <definedName name="ViscH20">'TF_Heating'!$B$22</definedName>
    <definedName name="vol">'Base'!$B$98</definedName>
    <definedName name="WP">'TF_Heating'!$B$18</definedName>
    <definedName name="Wtot">'Base'!$B$99</definedName>
    <definedName name="xnDT">'Base'!$B$63</definedName>
    <definedName name="xne">'Base'!$B$56</definedName>
    <definedName name="xnHe">'Base'!$B$60</definedName>
    <definedName name="xnTotal">'Base'!$B$64</definedName>
    <definedName name="Xnum">'Base'!#REF!</definedName>
    <definedName name="Xnwall">'Base'!$B$125</definedName>
    <definedName name="Zeff">'Base'!$B$69</definedName>
    <definedName name="Zimp">'Base'!$B$61</definedName>
  </definedNames>
  <calcPr fullCalcOnLoad="1"/>
</workbook>
</file>

<file path=xl/sharedStrings.xml><?xml version="1.0" encoding="utf-8"?>
<sst xmlns="http://schemas.openxmlformats.org/spreadsheetml/2006/main" count="463" uniqueCount="313">
  <si>
    <t>difcalc(P_alpha)</t>
  </si>
  <si>
    <t>0.0562*Ip^0.93*R0^1.97*e^0.58*Bt^0.15*kappa*0.78*ane^0.41*2.5^0.19/(P_alpha*(1+5/Q-frad))^0.69</t>
  </si>
  <si>
    <t>Tau_e*HH</t>
  </si>
  <si>
    <t>Hcordy*P_alpha*(1+5/Q-frad)/Wtot*Tau_e</t>
  </si>
  <si>
    <t>P_alpha*5/Q</t>
  </si>
  <si>
    <t>Eta_neo</t>
  </si>
  <si>
    <t>rinner1</t>
  </si>
  <si>
    <t>rinner2</t>
  </si>
  <si>
    <t>router1</t>
  </si>
  <si>
    <t>router2</t>
  </si>
  <si>
    <t>half height</t>
  </si>
  <si>
    <t>height</t>
  </si>
  <si>
    <t>slope</t>
  </si>
  <si>
    <t>mid outer leg</t>
  </si>
  <si>
    <t>Flux</t>
  </si>
  <si>
    <t>weber/amp-turn</t>
  </si>
  <si>
    <t>Coils</t>
  </si>
  <si>
    <t>Turns</t>
  </si>
  <si>
    <t>Gen Elec?</t>
  </si>
  <si>
    <t>No</t>
  </si>
  <si>
    <t>P_net (Menard)</t>
  </si>
  <si>
    <t>P_net (Wong)</t>
  </si>
  <si>
    <t>qcyl/qcyl(A)</t>
  </si>
  <si>
    <t>Zimp</t>
  </si>
  <si>
    <t>fimp</t>
  </si>
  <si>
    <t>xnTotal</t>
  </si>
  <si>
    <t>Temp0</t>
  </si>
  <si>
    <t>Tempavg</t>
  </si>
  <si>
    <t>Zeff</t>
  </si>
  <si>
    <t>P_Brem</t>
  </si>
  <si>
    <t>mu0</t>
  </si>
  <si>
    <t>e</t>
  </si>
  <si>
    <t>nrdiv</t>
  </si>
  <si>
    <t>dr</t>
  </si>
  <si>
    <t>Tikev</t>
  </si>
  <si>
    <t>∆Ztf middle</t>
  </si>
  <si>
    <t>∆Ztf end</t>
  </si>
  <si>
    <t>Rend/Rmiddle</t>
  </si>
  <si>
    <t>Javgtf</t>
  </si>
  <si>
    <t>dens</t>
  </si>
  <si>
    <t>dv</t>
  </si>
  <si>
    <t>rdtcgs</t>
  </si>
  <si>
    <t>exparg</t>
  </si>
  <si>
    <t>svdt</t>
  </si>
  <si>
    <t>power</t>
  </si>
  <si>
    <t>sum</t>
  </si>
  <si>
    <t xml:space="preserve"> Rminor</t>
  </si>
  <si>
    <t>P_alpha</t>
  </si>
  <si>
    <t>fradcalc</t>
  </si>
  <si>
    <t>vol</t>
  </si>
  <si>
    <t>Wtot</t>
  </si>
  <si>
    <t>HH</t>
  </si>
  <si>
    <t>P_fusion</t>
  </si>
  <si>
    <t>P_aux</t>
  </si>
  <si>
    <t xml:space="preserve"> </t>
  </si>
  <si>
    <t>(1+kappa^2*(1+2*delta^2-1.2*delta^3))/(1-e^2)^2</t>
  </si>
  <si>
    <t>fGW*Ip/(PI()*R0^2*e^2*(1+0.5*alpha_N))*1e20</t>
  </si>
  <si>
    <t>fH20</t>
  </si>
  <si>
    <t>(xne*R0*Ip*(1-fBS))/1e20/Eta_CD</t>
  </si>
  <si>
    <t>0.5*(2+alpha_N)*xne/1e20</t>
  </si>
  <si>
    <t>PI()*R0*e^2*Bt*s/qcyl/mu0/1e6</t>
  </si>
  <si>
    <t>1.5*tpote*(Beta_N*Ip*Bt/(R0*e*2*mu0))/(3.52*1.6e-16*(1+(5/Q)-frad))</t>
  </si>
  <si>
    <t>Mass horizon</t>
  </si>
  <si>
    <t>Density Al</t>
  </si>
  <si>
    <t>Mass angled</t>
  </si>
  <si>
    <t>Mass vert</t>
  </si>
  <si>
    <t>kg/m^3</t>
  </si>
  <si>
    <t>∑Mass</t>
  </si>
  <si>
    <t>kBS(A)</t>
  </si>
  <si>
    <t>(xnDT+4*xnHe+Zimp^2*fimp*xne)/xne</t>
  </si>
  <si>
    <t>∆Rfw</t>
  </si>
  <si>
    <t>∆Rtf</t>
  </si>
  <si>
    <t>(Rpf-R0)/a</t>
  </si>
  <si>
    <t>Rpf</t>
  </si>
  <si>
    <t>Ipf/Ip</t>
  </si>
  <si>
    <t>Ipf</t>
  </si>
  <si>
    <t>Jpf</t>
  </si>
  <si>
    <t>Apf</t>
  </si>
  <si>
    <t>P_pf</t>
  </si>
  <si>
    <t>P_aux_input</t>
  </si>
  <si>
    <t>Z/2</t>
  </si>
  <si>
    <t>4.8E-43*Zeff*xne^2*(1+alpha_N)^2*Temp0^0.5*(1+alpha_T)^0.5*(2*PI()^2*R0^3*e^2*kappa)/(1+2*alpha_N+(alpha_T/2))</t>
  </si>
  <si>
    <t>R0*e/nrdiv</t>
  </si>
  <si>
    <t>(B36-0.5)*dr</t>
  </si>
  <si>
    <t>(B37-0.5)*dr</t>
  </si>
  <si>
    <t>(B38-0.5)*dr</t>
  </si>
  <si>
    <t>frad</t>
  </si>
  <si>
    <t>xnDT</t>
  </si>
  <si>
    <t>fN</t>
  </si>
  <si>
    <t>phi_CS</t>
  </si>
  <si>
    <t>theta_CS</t>
  </si>
  <si>
    <t>f_CS</t>
  </si>
  <si>
    <t>Nu_Paux</t>
  </si>
  <si>
    <t>Nu_conversion</t>
  </si>
  <si>
    <t>Nu_TF</t>
  </si>
  <si>
    <t>qcyl(A)</t>
  </si>
  <si>
    <t>difcalc(Eta_CD)</t>
  </si>
  <si>
    <t>Bmax</t>
  </si>
  <si>
    <t>Nu</t>
  </si>
  <si>
    <t>Sigrr</t>
  </si>
  <si>
    <t>Sigtt</t>
  </si>
  <si>
    <t>Sigzz</t>
  </si>
  <si>
    <t>SigVM</t>
  </si>
  <si>
    <t>fStress</t>
  </si>
  <si>
    <t>SigMax</t>
  </si>
  <si>
    <t>MPA</t>
  </si>
  <si>
    <t>T</t>
  </si>
  <si>
    <t>TH20max</t>
  </si>
  <si>
    <t>TCumax</t>
  </si>
  <si>
    <t>Sigmax</t>
  </si>
  <si>
    <t>Res_angled</t>
  </si>
  <si>
    <t>Theta</t>
  </si>
  <si>
    <t>deg</t>
  </si>
  <si>
    <t>rad</t>
  </si>
  <si>
    <t>Res_vert</t>
  </si>
  <si>
    <t>dTheta</t>
  </si>
  <si>
    <t>a</t>
  </si>
  <si>
    <t>k</t>
  </si>
  <si>
    <t>d</t>
  </si>
  <si>
    <t>R</t>
  </si>
  <si>
    <t>Z</t>
  </si>
  <si>
    <t>P_tf_outer/P_tf_inner</t>
  </si>
  <si>
    <t>J_vert</t>
  </si>
  <si>
    <t>J_horizon</t>
  </si>
  <si>
    <t>A_horizon</t>
  </si>
  <si>
    <t>J_angled</t>
  </si>
  <si>
    <t>A_angled</t>
  </si>
  <si>
    <t>pf</t>
  </si>
  <si>
    <t>(B42-0.5)*dr</t>
  </si>
  <si>
    <t>(B43-0.5)*dr</t>
  </si>
  <si>
    <t>(B44-0.5)*dr</t>
  </si>
  <si>
    <t>(B45-0.5)*dr</t>
  </si>
  <si>
    <t>(B46-0.5)*dr</t>
  </si>
  <si>
    <t>(B47-0.5)*dr</t>
  </si>
  <si>
    <t>(B48-0.5)*dr</t>
  </si>
  <si>
    <t>(B49-0.5)*dr</t>
  </si>
  <si>
    <t>(B50-0.5)*dr</t>
  </si>
  <si>
    <t>(B51-0.5)*dr</t>
  </si>
  <si>
    <t>(B52-0.5)*dr</t>
  </si>
  <si>
    <t>(B53-0.5)*dr</t>
  </si>
  <si>
    <t>(B54-0.5)*dr</t>
  </si>
  <si>
    <t>(B55-0.5)*dr</t>
  </si>
  <si>
    <t>peaking factor</t>
  </si>
  <si>
    <t>P_Brem/P_alpha</t>
  </si>
  <si>
    <t>frad-C57</t>
  </si>
  <si>
    <t>2*PI()^2*R0^3*e^2*kappa</t>
  </si>
  <si>
    <t>3/4/mu0*0.000001*((Beta_N*Ip*Bt)/R0/e)*vol</t>
  </si>
  <si>
    <t>kappa(A)</t>
  </si>
  <si>
    <t>Beta_N(A)</t>
  </si>
  <si>
    <t>P_aux/P_CD</t>
  </si>
  <si>
    <t>Eta_CD(&lt;Te&gt;)</t>
  </si>
  <si>
    <t>P_elec gen</t>
  </si>
  <si>
    <t>Beta_N/Beta_N(A)</t>
  </si>
  <si>
    <t>Q_elec</t>
  </si>
  <si>
    <t>Bt(J)</t>
  </si>
  <si>
    <t>Itf</t>
  </si>
  <si>
    <t>P_alpha_target</t>
  </si>
  <si>
    <t>tau_p/tau_E</t>
  </si>
  <si>
    <t>P_bop</t>
  </si>
  <si>
    <t>P_net elec</t>
  </si>
  <si>
    <t>∑P_elec input</t>
  </si>
  <si>
    <t>Tau_E</t>
  </si>
  <si>
    <t>P_loss</t>
  </si>
  <si>
    <t>Tau_E*HH</t>
  </si>
  <si>
    <t>fBS</t>
  </si>
  <si>
    <t>P_CD</t>
  </si>
  <si>
    <t>Eta_CD</t>
  </si>
  <si>
    <t>difcalc (frad)</t>
  </si>
  <si>
    <t>P_CD/P_aux</t>
  </si>
  <si>
    <t>Beta_T</t>
  </si>
  <si>
    <t>(1+kappa^2)</t>
  </si>
  <si>
    <t>qMHD*s/sMHD</t>
  </si>
  <si>
    <t>Ip*Beta_N/R0/e/Bt</t>
  </si>
  <si>
    <t>Beta_N*(mu0*1000000)*10*e*R0*Bt*s/Ip</t>
  </si>
  <si>
    <t>xne*(1-Zimp*fimp)-2*xnHe</t>
  </si>
  <si>
    <t>xnDT*(((1+fimp)/(1-Zimp*fimp))+1)+xnHe*(2*((1+fimp)/(1-Zimp*fimp))+1)</t>
  </si>
  <si>
    <t>f_surface</t>
  </si>
  <si>
    <t>Inductance</t>
  </si>
  <si>
    <t>H</t>
  </si>
  <si>
    <t>Ifraction</t>
  </si>
  <si>
    <t>B'</t>
  </si>
  <si>
    <t>∑B'*A</t>
  </si>
  <si>
    <t>outer half height</t>
  </si>
  <si>
    <t>MJ</t>
  </si>
  <si>
    <t>W_tf</t>
  </si>
  <si>
    <t>e1</t>
  </si>
  <si>
    <t>e2</t>
  </si>
  <si>
    <t>e3</t>
  </si>
  <si>
    <t>e4</t>
  </si>
  <si>
    <t>e5</t>
  </si>
  <si>
    <t>eo2</t>
  </si>
  <si>
    <t>Tau_J</t>
  </si>
  <si>
    <t>a1</t>
  </si>
  <si>
    <t>a2</t>
  </si>
  <si>
    <t>a3</t>
  </si>
  <si>
    <t>a4</t>
  </si>
  <si>
    <t>ls</t>
  </si>
  <si>
    <t>m</t>
  </si>
  <si>
    <t>FluxFactor</t>
  </si>
  <si>
    <t>T_flat</t>
  </si>
  <si>
    <t>Li</t>
  </si>
  <si>
    <t>Lext</t>
  </si>
  <si>
    <t>C_ejima</t>
  </si>
  <si>
    <t>Psi_OH (axial)</t>
  </si>
  <si>
    <t>Psi_OH (Poynting)</t>
  </si>
  <si>
    <t>Xnwall</t>
  </si>
  <si>
    <t>P_LtoH</t>
  </si>
  <si>
    <t>(0.525+0.5*alpha_N)*SQRT(e)*Beta_P</t>
  </si>
  <si>
    <t>Wtot/C63</t>
  </si>
  <si>
    <t>4*PI()*0.0000001</t>
  </si>
  <si>
    <t>1/A</t>
  </si>
  <si>
    <t>(B39-0.5)*dr</t>
  </si>
  <si>
    <t>(B40-0.5)*dr</t>
  </si>
  <si>
    <t>(B41-0.5)*dr</t>
  </si>
  <si>
    <t>P_tf_inner</t>
  </si>
  <si>
    <t>∑P_tf</t>
  </si>
  <si>
    <t>P_tf_outer</t>
  </si>
  <si>
    <t>A/m^2</t>
  </si>
  <si>
    <t>m^2</t>
  </si>
  <si>
    <t>R_horizon_avg</t>
  </si>
  <si>
    <t>Thk_horizon</t>
  </si>
  <si>
    <t>Thk_vert</t>
  </si>
  <si>
    <t>R_vert</t>
  </si>
  <si>
    <t>A_vert</t>
  </si>
  <si>
    <t>Rho_outer</t>
  </si>
  <si>
    <t>Ω-m</t>
  </si>
  <si>
    <t>R_horizon</t>
  </si>
  <si>
    <t>Ω</t>
  </si>
  <si>
    <t>∑R_outer</t>
  </si>
  <si>
    <t>MW</t>
  </si>
  <si>
    <t>Z_vert</t>
  </si>
  <si>
    <t>Res_horizon</t>
  </si>
  <si>
    <t>R_angled_avg</t>
  </si>
  <si>
    <t>BEM</t>
  </si>
  <si>
    <t>Thk_angled</t>
  </si>
  <si>
    <t>Angled</t>
  </si>
  <si>
    <t>((Beta_N*Ip*Bt)/(R0*e*2*mu0)*(1+alpha_N+alpha_T)/((1+alpha_N)*xnTotal*1.6e-16))</t>
  </si>
  <si>
    <t>((Beta_N*Ip*Bt)/(R0*e*2*mu0)/(xnTotal*1.6e-16))</t>
  </si>
  <si>
    <t xml:space="preserve">  </t>
  </si>
  <si>
    <t>P_aux*Q</t>
  </si>
  <si>
    <t>R0</t>
  </si>
  <si>
    <t>A</t>
  </si>
  <si>
    <t>kappa</t>
  </si>
  <si>
    <t>delta</t>
  </si>
  <si>
    <t>sMHD</t>
  </si>
  <si>
    <t>s</t>
  </si>
  <si>
    <t>qMHD</t>
  </si>
  <si>
    <t>qcyl</t>
  </si>
  <si>
    <t>Ip</t>
  </si>
  <si>
    <t>Bt</t>
  </si>
  <si>
    <t>Beta_N</t>
  </si>
  <si>
    <t>Beta_P</t>
  </si>
  <si>
    <t>fGW</t>
  </si>
  <si>
    <t>xne</t>
  </si>
  <si>
    <t>ane</t>
  </si>
  <si>
    <t>xnHe</t>
  </si>
  <si>
    <t>Q</t>
  </si>
  <si>
    <t>N_flux</t>
  </si>
  <si>
    <t>n/s/W</t>
  </si>
  <si>
    <t>Rcenter</t>
  </si>
  <si>
    <t>∆Zcenter</t>
  </si>
  <si>
    <t>Rends</t>
  </si>
  <si>
    <t>∆Zends</t>
  </si>
  <si>
    <t>vH20</t>
  </si>
  <si>
    <t>CSAcenter</t>
  </si>
  <si>
    <t>CSAends</t>
  </si>
  <si>
    <t>Section</t>
  </si>
  <si>
    <t>Region</t>
  </si>
  <si>
    <t>∆Z</t>
  </si>
  <si>
    <t>Pnuc</t>
  </si>
  <si>
    <t>tH20inlet</t>
  </si>
  <si>
    <t>tH20max</t>
  </si>
  <si>
    <t>tH20avg</t>
  </si>
  <si>
    <t>FlowH20</t>
  </si>
  <si>
    <t>SHH20</t>
  </si>
  <si>
    <t>ViscH20</t>
  </si>
  <si>
    <t>DensH20</t>
  </si>
  <si>
    <t>TconH20</t>
  </si>
  <si>
    <t>PrandtLH20</t>
  </si>
  <si>
    <t>CSACu</t>
  </si>
  <si>
    <t>CSAH20</t>
  </si>
  <si>
    <t>MassCu</t>
  </si>
  <si>
    <t>DensCu</t>
  </si>
  <si>
    <t>SHCu</t>
  </si>
  <si>
    <t>CoeffCu</t>
  </si>
  <si>
    <t>ResCu</t>
  </si>
  <si>
    <t>HcapCu</t>
  </si>
  <si>
    <t>Dpassage</t>
  </si>
  <si>
    <t>Npassage</t>
  </si>
  <si>
    <t>WP</t>
  </si>
  <si>
    <t>WPPassage</t>
  </si>
  <si>
    <t>Wet Area</t>
  </si>
  <si>
    <t>Rmassflow</t>
  </si>
  <si>
    <t>Reynolds</t>
  </si>
  <si>
    <t>Rfilm</t>
  </si>
  <si>
    <t>Rthermal</t>
  </si>
  <si>
    <t>Rohmic</t>
  </si>
  <si>
    <t>Pohmic</t>
  </si>
  <si>
    <t>Ptotal</t>
  </si>
  <si>
    <t>∆TH20</t>
  </si>
  <si>
    <t>TH20in</t>
  </si>
  <si>
    <t>∆Tfilm</t>
  </si>
  <si>
    <t>Tcu</t>
  </si>
  <si>
    <t>Massflow</t>
  </si>
  <si>
    <t>∑</t>
  </si>
  <si>
    <t>Max-&gt;</t>
  </si>
  <si>
    <t>Npassage/Area</t>
  </si>
  <si>
    <t>Passage/Area</t>
  </si>
  <si>
    <t>ARIES-ST</t>
  </si>
  <si>
    <t>Culham-CTF</t>
  </si>
  <si>
    <t>VNS</t>
  </si>
  <si>
    <t>alpha_T(A)</t>
  </si>
  <si>
    <t>alpha_n(A)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</si>
</sst>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E+00"/>
    <numFmt numFmtId="168" formatCode="m/d/yyyy"/>
    <numFmt numFmtId="169" formatCode="0.000000"/>
    <numFmt numFmtId="170" formatCode="0.0000"/>
    <numFmt numFmtId="171" formatCode="0.0E+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5.75"/>
      <name val="Geneva"/>
      <family val="0"/>
    </font>
    <font>
      <b/>
      <sz val="8"/>
      <name val="Geneva"/>
      <family val="0"/>
    </font>
    <font>
      <b/>
      <sz val="5.75"/>
      <name val="Geneva"/>
      <family val="0"/>
    </font>
    <font>
      <sz val="9.2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6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70" fontId="0" fillId="4" borderId="0" xfId="0" applyNumberFormat="1" applyFill="1" applyAlignment="1">
      <alignment/>
    </xf>
    <xf numFmtId="11" fontId="0" fillId="0" borderId="0" xfId="0" applyNumberFormat="1" applyFill="1" applyAlignment="1">
      <alignment/>
    </xf>
    <xf numFmtId="166" fontId="0" fillId="2" borderId="0" xfId="0" applyNumberFormat="1" applyFill="1" applyAlignment="1">
      <alignment horizontal="right"/>
    </xf>
    <xf numFmtId="10" fontId="0" fillId="3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7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11" fontId="0" fillId="2" borderId="0" xfId="0" applyNumberFormat="1" applyFill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TF_inductance!$A$18:$A$69</c:f>
              <c:numCache>
                <c:ptCount val="52"/>
                <c:pt idx="0">
                  <c:v>0.001</c:v>
                </c:pt>
                <c:pt idx="1">
                  <c:v>0.14342927920364607</c:v>
                </c:pt>
                <c:pt idx="2">
                  <c:v>0.28585855840729213</c:v>
                </c:pt>
                <c:pt idx="3">
                  <c:v>0.4282878376109382</c:v>
                </c:pt>
                <c:pt idx="4">
                  <c:v>0.5707171168145843</c:v>
                </c:pt>
                <c:pt idx="5">
                  <c:v>0.7131463960182303</c:v>
                </c:pt>
                <c:pt idx="6">
                  <c:v>0.8555756752218764</c:v>
                </c:pt>
                <c:pt idx="7">
                  <c:v>0.9980049544255225</c:v>
                </c:pt>
                <c:pt idx="8">
                  <c:v>1.1404342336291686</c:v>
                </c:pt>
                <c:pt idx="9">
                  <c:v>1.2828635128328147</c:v>
                </c:pt>
                <c:pt idx="10">
                  <c:v>1.4252927920364609</c:v>
                </c:pt>
                <c:pt idx="11">
                  <c:v>1.567722071240107</c:v>
                </c:pt>
                <c:pt idx="12">
                  <c:v>1.710151350443753</c:v>
                </c:pt>
                <c:pt idx="13">
                  <c:v>1.8525806296473992</c:v>
                </c:pt>
                <c:pt idx="14">
                  <c:v>1.9950099088510453</c:v>
                </c:pt>
                <c:pt idx="15">
                  <c:v>2.1374391880546915</c:v>
                </c:pt>
                <c:pt idx="16">
                  <c:v>2.2798684672583374</c:v>
                </c:pt>
                <c:pt idx="17">
                  <c:v>2.4222977464619833</c:v>
                </c:pt>
                <c:pt idx="18">
                  <c:v>2.564727025665629</c:v>
                </c:pt>
                <c:pt idx="19">
                  <c:v>2.707156304869275</c:v>
                </c:pt>
                <c:pt idx="20">
                  <c:v>2.849585584072921</c:v>
                </c:pt>
                <c:pt idx="21">
                  <c:v>2.992014863276567</c:v>
                </c:pt>
                <c:pt idx="22">
                  <c:v>3.1344441424802127</c:v>
                </c:pt>
                <c:pt idx="23">
                  <c:v>3.2768734216838586</c:v>
                </c:pt>
                <c:pt idx="24">
                  <c:v>3.4193027008875045</c:v>
                </c:pt>
                <c:pt idx="25">
                  <c:v>3.5617319800911504</c:v>
                </c:pt>
                <c:pt idx="26">
                  <c:v>3.7041612592947963</c:v>
                </c:pt>
                <c:pt idx="27">
                  <c:v>3.8465905384984422</c:v>
                </c:pt>
                <c:pt idx="28">
                  <c:v>3.989019817702088</c:v>
                </c:pt>
                <c:pt idx="29">
                  <c:v>4.131449096905734</c:v>
                </c:pt>
                <c:pt idx="30">
                  <c:v>4.27387837610938</c:v>
                </c:pt>
                <c:pt idx="31">
                  <c:v>4.416307655313026</c:v>
                </c:pt>
                <c:pt idx="32">
                  <c:v>4.558736934516672</c:v>
                </c:pt>
                <c:pt idx="33">
                  <c:v>4.701166213720318</c:v>
                </c:pt>
                <c:pt idx="34">
                  <c:v>4.8435954929239635</c:v>
                </c:pt>
                <c:pt idx="35">
                  <c:v>4.986024772127609</c:v>
                </c:pt>
                <c:pt idx="36">
                  <c:v>5.128454051331255</c:v>
                </c:pt>
                <c:pt idx="37">
                  <c:v>5.270883330534901</c:v>
                </c:pt>
                <c:pt idx="38">
                  <c:v>5.413312609738547</c:v>
                </c:pt>
                <c:pt idx="39">
                  <c:v>5.555741888942193</c:v>
                </c:pt>
                <c:pt idx="40">
                  <c:v>5.698171168145839</c:v>
                </c:pt>
                <c:pt idx="41">
                  <c:v>5.840600447349485</c:v>
                </c:pt>
                <c:pt idx="42">
                  <c:v>5.983029726553131</c:v>
                </c:pt>
                <c:pt idx="43">
                  <c:v>6.125459005756777</c:v>
                </c:pt>
                <c:pt idx="44">
                  <c:v>6.2678882849604225</c:v>
                </c:pt>
                <c:pt idx="45">
                  <c:v>6.410317564164068</c:v>
                </c:pt>
                <c:pt idx="46">
                  <c:v>6.552746843367714</c:v>
                </c:pt>
                <c:pt idx="47">
                  <c:v>6.69517612257136</c:v>
                </c:pt>
                <c:pt idx="48">
                  <c:v>6.837605401775006</c:v>
                </c:pt>
                <c:pt idx="49">
                  <c:v>6.980034680978652</c:v>
                </c:pt>
                <c:pt idx="50">
                  <c:v>7.122463960182298</c:v>
                </c:pt>
                <c:pt idx="51">
                  <c:v>7.121463960182303</c:v>
                </c:pt>
              </c:numCache>
            </c:numRef>
          </c:xVal>
          <c:yVal>
            <c:numRef>
              <c:f>TF_inductance!$B$18:$B$69</c:f>
              <c:numCache>
                <c:ptCount val="52"/>
                <c:pt idx="0">
                  <c:v>9.814584567901235</c:v>
                </c:pt>
                <c:pt idx="1">
                  <c:v>9.814584567901235</c:v>
                </c:pt>
                <c:pt idx="2">
                  <c:v>9.814584567901235</c:v>
                </c:pt>
                <c:pt idx="3">
                  <c:v>9.814584567901235</c:v>
                </c:pt>
                <c:pt idx="4">
                  <c:v>9.814584567901235</c:v>
                </c:pt>
                <c:pt idx="5">
                  <c:v>9.814584567901235</c:v>
                </c:pt>
                <c:pt idx="6">
                  <c:v>9.814584567901235</c:v>
                </c:pt>
                <c:pt idx="7">
                  <c:v>9.814584567901235</c:v>
                </c:pt>
                <c:pt idx="8">
                  <c:v>9.814584567901235</c:v>
                </c:pt>
                <c:pt idx="9">
                  <c:v>9.814584567901235</c:v>
                </c:pt>
                <c:pt idx="10">
                  <c:v>9.814584567901235</c:v>
                </c:pt>
                <c:pt idx="11">
                  <c:v>9.814584567901235</c:v>
                </c:pt>
                <c:pt idx="12">
                  <c:v>9.814584567901235</c:v>
                </c:pt>
                <c:pt idx="13">
                  <c:v>9.814584567901235</c:v>
                </c:pt>
                <c:pt idx="14">
                  <c:v>9.814584567901235</c:v>
                </c:pt>
                <c:pt idx="15">
                  <c:v>9.814584567901235</c:v>
                </c:pt>
                <c:pt idx="16">
                  <c:v>9.814584567901235</c:v>
                </c:pt>
                <c:pt idx="17">
                  <c:v>9.814584567901235</c:v>
                </c:pt>
                <c:pt idx="18">
                  <c:v>9.814584567901235</c:v>
                </c:pt>
                <c:pt idx="19">
                  <c:v>9.814584567901235</c:v>
                </c:pt>
                <c:pt idx="20">
                  <c:v>9.814584567901235</c:v>
                </c:pt>
                <c:pt idx="21">
                  <c:v>9.814584567901235</c:v>
                </c:pt>
                <c:pt idx="22">
                  <c:v>9.814584567901235</c:v>
                </c:pt>
                <c:pt idx="23">
                  <c:v>9.814584567901235</c:v>
                </c:pt>
                <c:pt idx="24">
                  <c:v>9.814584567901235</c:v>
                </c:pt>
                <c:pt idx="25">
                  <c:v>9.814584567901235</c:v>
                </c:pt>
                <c:pt idx="26">
                  <c:v>9.814584567901235</c:v>
                </c:pt>
                <c:pt idx="27">
                  <c:v>9.814584567901235</c:v>
                </c:pt>
                <c:pt idx="28">
                  <c:v>9.814584567901235</c:v>
                </c:pt>
                <c:pt idx="29">
                  <c:v>9.814584567901235</c:v>
                </c:pt>
                <c:pt idx="30">
                  <c:v>9.657347987073331</c:v>
                </c:pt>
                <c:pt idx="31">
                  <c:v>9.448461355303593</c:v>
                </c:pt>
                <c:pt idx="32">
                  <c:v>9.239574723533854</c:v>
                </c:pt>
                <c:pt idx="33">
                  <c:v>9.030688091764116</c:v>
                </c:pt>
                <c:pt idx="34">
                  <c:v>8.821801459994377</c:v>
                </c:pt>
                <c:pt idx="35">
                  <c:v>8.612914828224639</c:v>
                </c:pt>
                <c:pt idx="36">
                  <c:v>8.4040281964549</c:v>
                </c:pt>
                <c:pt idx="37">
                  <c:v>8.195141564685162</c:v>
                </c:pt>
                <c:pt idx="38">
                  <c:v>7.986254932915423</c:v>
                </c:pt>
                <c:pt idx="39">
                  <c:v>7.7773683011456844</c:v>
                </c:pt>
                <c:pt idx="40">
                  <c:v>7.568481669375945</c:v>
                </c:pt>
                <c:pt idx="41">
                  <c:v>7.359595037606207</c:v>
                </c:pt>
                <c:pt idx="42">
                  <c:v>7.150708405836468</c:v>
                </c:pt>
                <c:pt idx="43">
                  <c:v>6.94182177406673</c:v>
                </c:pt>
                <c:pt idx="44">
                  <c:v>6.732935142296991</c:v>
                </c:pt>
                <c:pt idx="45">
                  <c:v>6.524048510527253</c:v>
                </c:pt>
                <c:pt idx="46">
                  <c:v>6.315161878757515</c:v>
                </c:pt>
                <c:pt idx="47">
                  <c:v>6.106275246987776</c:v>
                </c:pt>
                <c:pt idx="48">
                  <c:v>5.897388615218038</c:v>
                </c:pt>
                <c:pt idx="49">
                  <c:v>5.688501983448298</c:v>
                </c:pt>
                <c:pt idx="50">
                  <c:v>5.47961535167856</c:v>
                </c:pt>
                <c:pt idx="51">
                  <c:v>0</c:v>
                </c:pt>
              </c:numCache>
            </c:numRef>
          </c:yVal>
          <c:smooth val="0"/>
        </c:ser>
        <c:axId val="36110139"/>
        <c:axId val="66778624"/>
      </c:scatterChart>
      <c:valAx>
        <c:axId val="3611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8624"/>
        <c:crosses val="autoZero"/>
        <c:crossBetween val="midCat"/>
        <c:dispUnits/>
      </c:valAx>
      <c:valAx>
        <c:axId val="66778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0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P_net_electric vs.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Base!$G$47</c:f>
              <c:strCache>
                <c:ptCount val="1"/>
                <c:pt idx="0">
                  <c:v>P_net (Menard)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Base!$H$46:$N$46</c:f>
              <c:numCache/>
            </c:numRef>
          </c:xVal>
          <c:yVal>
            <c:numRef>
              <c:f>Base!$H$47:$N$47</c:f>
              <c:numCache/>
            </c:numRef>
          </c:yVal>
          <c:smooth val="1"/>
        </c:ser>
        <c:ser>
          <c:idx val="1"/>
          <c:order val="1"/>
          <c:tx>
            <c:strRef>
              <c:f>Base!$G$48</c:f>
              <c:strCache>
                <c:ptCount val="1"/>
                <c:pt idx="0">
                  <c:v>P_net (Wong)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Base!$H$46:$N$46</c:f>
              <c:numCache/>
            </c:numRef>
          </c:xVal>
          <c:yVal>
            <c:numRef>
              <c:f>Base!$H$48:$N$48</c:f>
              <c:numCache/>
            </c:numRef>
          </c:yVal>
          <c:smooth val="1"/>
        </c:ser>
        <c:axId val="62815745"/>
        <c:axId val="11298318"/>
      </c:scatterChart>
      <c:valAx>
        <c:axId val="62815745"/>
        <c:scaling>
          <c:orientation val="minMax"/>
          <c:max val="2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Geneva"/>
                    <a:ea typeface="Geneva"/>
                    <a:cs typeface="Geneva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8318"/>
        <c:crosses val="autoZero"/>
        <c:crossBetween val="midCat"/>
        <c:dispUnits/>
      </c:valAx>
      <c:valAx>
        <c:axId val="1129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Geneva"/>
                    <a:ea typeface="Geneva"/>
                    <a:cs typeface="Geneva"/>
                  </a:rPr>
                  <a:t>P_net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5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Fraction of Neutrons Intercepted by Center Stack vs. A vs. kappa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k=3.0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Base!$E$132:$E$149</c:f>
              <c:numCache/>
            </c:numRef>
          </c:xVal>
          <c:yVal>
            <c:numRef>
              <c:f>Base!$F$132:$F$149</c:f>
              <c:numCache/>
            </c:numRef>
          </c:yVal>
          <c:smooth val="1"/>
        </c:ser>
        <c:ser>
          <c:idx val="1"/>
          <c:order val="1"/>
          <c:tx>
            <c:v>k=3.2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Base!$E$132:$E$149</c:f>
              <c:numCache/>
            </c:numRef>
          </c:xVal>
          <c:yVal>
            <c:numRef>
              <c:f>Base!$G$132:$G$149</c:f>
              <c:numCache/>
            </c:numRef>
          </c:yVal>
          <c:smooth val="1"/>
        </c:ser>
        <c:ser>
          <c:idx val="2"/>
          <c:order val="2"/>
          <c:tx>
            <c:v>k=3.4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Base!$E$132:$E$149</c:f>
              <c:numCache/>
            </c:numRef>
          </c:xVal>
          <c:yVal>
            <c:numRef>
              <c:f>Base!$H$132:$H$149</c:f>
              <c:numCache/>
            </c:numRef>
          </c:yVal>
          <c:smooth val="1"/>
        </c:ser>
        <c:ser>
          <c:idx val="3"/>
          <c:order val="3"/>
          <c:tx>
            <c:v>k=3.6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Base!$E$132:$E$149</c:f>
              <c:numCache/>
            </c:numRef>
          </c:xVal>
          <c:yVal>
            <c:numRef>
              <c:f>Base!$I$132:$I$149</c:f>
              <c:numCache/>
            </c:numRef>
          </c:yVal>
          <c:smooth val="1"/>
        </c:ser>
        <c:ser>
          <c:idx val="4"/>
          <c:order val="4"/>
          <c:tx>
            <c:v>k=3.8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Base!$E$132:$E$149</c:f>
              <c:numCache/>
            </c:numRef>
          </c:xVal>
          <c:yVal>
            <c:numRef>
              <c:f>Base!$J$132:$J$149</c:f>
              <c:numCache/>
            </c:numRef>
          </c:yVal>
          <c:smooth val="1"/>
        </c:ser>
        <c:ser>
          <c:idx val="5"/>
          <c:order val="5"/>
          <c:tx>
            <c:v>k=4.0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Base!$E$132:$E$149</c:f>
              <c:numCache/>
            </c:numRef>
          </c:xVal>
          <c:yVal>
            <c:numRef>
              <c:f>Base!$K$132:$K$149</c:f>
              <c:numCache/>
            </c:numRef>
          </c:yVal>
          <c:smooth val="1"/>
        </c:ser>
        <c:axId val="12660407"/>
        <c:axId val="30367564"/>
      </c:scatterChart>
      <c:valAx>
        <c:axId val="12660407"/>
        <c:scaling>
          <c:orientation val="minMax"/>
          <c:max val="3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7564"/>
        <c:crosses val="autoZero"/>
        <c:crossBetween val="midCat"/>
        <c:dispUnits/>
      </c:valAx>
      <c:valAx>
        <c:axId val="3036756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fN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0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18</xdr:row>
      <xdr:rowOff>123825</xdr:rowOff>
    </xdr:from>
    <xdr:to>
      <xdr:col>11</xdr:col>
      <xdr:colOff>104775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5581650" y="3028950"/>
        <a:ext cx="38957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55</xdr:row>
      <xdr:rowOff>76200</xdr:rowOff>
    </xdr:from>
    <xdr:to>
      <xdr:col>18</xdr:col>
      <xdr:colOff>447675</xdr:colOff>
      <xdr:row>81</xdr:row>
      <xdr:rowOff>133350</xdr:rowOff>
    </xdr:to>
    <xdr:graphicFrame>
      <xdr:nvGraphicFramePr>
        <xdr:cNvPr id="1" name="Chart 10"/>
        <xdr:cNvGraphicFramePr/>
      </xdr:nvGraphicFramePr>
      <xdr:xfrm>
        <a:off x="7458075" y="8982075"/>
        <a:ext cx="60769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129</xdr:row>
      <xdr:rowOff>123825</xdr:rowOff>
    </xdr:from>
    <xdr:to>
      <xdr:col>18</xdr:col>
      <xdr:colOff>257175</xdr:colOff>
      <xdr:row>153</xdr:row>
      <xdr:rowOff>19050</xdr:rowOff>
    </xdr:to>
    <xdr:graphicFrame>
      <xdr:nvGraphicFramePr>
        <xdr:cNvPr id="2" name="Chart 16"/>
        <xdr:cNvGraphicFramePr/>
      </xdr:nvGraphicFramePr>
      <xdr:xfrm>
        <a:off x="7267575" y="14716125"/>
        <a:ext cx="6076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4" sqref="B14"/>
    </sheetView>
  </sheetViews>
  <sheetFormatPr defaultColWidth="11.00390625" defaultRowHeight="12"/>
  <sheetData>
    <row r="1" spans="1:4" ht="12.75">
      <c r="A1">
        <v>0</v>
      </c>
      <c r="B1">
        <f>(1-A1^2)^alpha_N</f>
        <v>1</v>
      </c>
      <c r="C1">
        <f>(1-A1^2)^alpha_T</f>
        <v>1</v>
      </c>
      <c r="D1">
        <v>0</v>
      </c>
    </row>
    <row r="2" spans="1:4" ht="12.75">
      <c r="A2">
        <f>A1+0.1</f>
        <v>0.1</v>
      </c>
      <c r="B2">
        <f>(1-A2^2)^alpha_N</f>
        <v>0.9974905699336811</v>
      </c>
      <c r="C2">
        <f>(1-A2^2)^alpha_T</f>
        <v>0.9974905699336811</v>
      </c>
      <c r="D2">
        <f>D1+B1*C1*0.1</f>
        <v>0.1</v>
      </c>
    </row>
    <row r="3" spans="1:4" ht="12.75">
      <c r="A3">
        <f aca="true" t="shared" si="0" ref="A3:A10">A2+0.1</f>
        <v>0.2</v>
      </c>
      <c r="B3">
        <f aca="true" t="shared" si="1" ref="B3:B11">(1-A3^2)^alpha_N</f>
        <v>0.989846400767953</v>
      </c>
      <c r="C3">
        <f aca="true" t="shared" si="2" ref="C3:C10">(1-A3^2)^alpha_T</f>
        <v>0.989846400767953</v>
      </c>
      <c r="D3">
        <f aca="true" t="shared" si="3" ref="D3:D11">D2+B2*C2*0.1</f>
        <v>0.199498743710662</v>
      </c>
    </row>
    <row r="4" spans="1:4" ht="12.75">
      <c r="A4">
        <f t="shared" si="0"/>
        <v>0.30000000000000004</v>
      </c>
      <c r="B4">
        <f t="shared" si="1"/>
        <v>0.9766981117095218</v>
      </c>
      <c r="C4">
        <f t="shared" si="2"/>
        <v>0.9766981117095218</v>
      </c>
      <c r="D4">
        <f t="shared" si="3"/>
        <v>0.29747833342198915</v>
      </c>
    </row>
    <row r="5" spans="1:4" ht="12.75">
      <c r="A5">
        <f t="shared" si="0"/>
        <v>0.4</v>
      </c>
      <c r="B5">
        <f t="shared" si="1"/>
        <v>0.9573479717381596</v>
      </c>
      <c r="C5">
        <f t="shared" si="2"/>
        <v>0.9573479717381596</v>
      </c>
      <c r="D5">
        <f t="shared" si="3"/>
        <v>0.3928722535636837</v>
      </c>
    </row>
    <row r="6" spans="1:4" ht="12.75">
      <c r="A6">
        <f t="shared" si="0"/>
        <v>0.5</v>
      </c>
      <c r="B6">
        <f t="shared" si="1"/>
        <v>0.9306048591020996</v>
      </c>
      <c r="C6">
        <f t="shared" si="2"/>
        <v>0.9306048591020996</v>
      </c>
      <c r="D6">
        <f t="shared" si="3"/>
        <v>0.4845237674628005</v>
      </c>
    </row>
    <row r="7" spans="1:4" ht="12.75">
      <c r="A7">
        <f t="shared" si="0"/>
        <v>0.6</v>
      </c>
      <c r="B7">
        <f t="shared" si="1"/>
        <v>0.8944271909999159</v>
      </c>
      <c r="C7">
        <f t="shared" si="2"/>
        <v>0.8944271909999159</v>
      </c>
      <c r="D7">
        <f t="shared" si="3"/>
        <v>0.5711263078412444</v>
      </c>
    </row>
    <row r="8" spans="1:4" ht="12.75">
      <c r="A8">
        <f t="shared" si="0"/>
        <v>0.7</v>
      </c>
      <c r="B8">
        <f t="shared" si="1"/>
        <v>0.845069726622771</v>
      </c>
      <c r="C8">
        <f t="shared" si="2"/>
        <v>0.845069726622771</v>
      </c>
      <c r="D8">
        <f t="shared" si="3"/>
        <v>0.6511263078412444</v>
      </c>
    </row>
    <row r="9" spans="1:4" ht="12.75">
      <c r="A9">
        <f t="shared" si="0"/>
        <v>0.7999999999999999</v>
      </c>
      <c r="B9">
        <f t="shared" si="1"/>
        <v>0.7745966692414834</v>
      </c>
      <c r="C9">
        <f t="shared" si="2"/>
        <v>0.7745966692414834</v>
      </c>
      <c r="D9">
        <f t="shared" si="3"/>
        <v>0.7225405921266729</v>
      </c>
    </row>
    <row r="10" spans="1:4" ht="12.75">
      <c r="A10">
        <f t="shared" si="0"/>
        <v>0.8999999999999999</v>
      </c>
      <c r="B10">
        <f t="shared" si="1"/>
        <v>0.6602195804079636</v>
      </c>
      <c r="C10">
        <f t="shared" si="2"/>
        <v>0.6602195804079636</v>
      </c>
      <c r="D10">
        <f t="shared" si="3"/>
        <v>0.7825405921266729</v>
      </c>
    </row>
    <row r="11" spans="1:4" ht="12.75">
      <c r="A11">
        <f>A10+0.1</f>
        <v>0.9999999999999999</v>
      </c>
      <c r="B11">
        <f t="shared" si="1"/>
        <v>0.00012207031250000008</v>
      </c>
      <c r="C11">
        <f>(1-A11^2)^alpha_T</f>
        <v>0.00012207031250000008</v>
      </c>
      <c r="D11">
        <f t="shared" si="3"/>
        <v>0.8261295815620797</v>
      </c>
    </row>
    <row r="13" spans="1:2" ht="12.75">
      <c r="A13" t="s">
        <v>142</v>
      </c>
      <c r="B13">
        <f>1/D11</f>
        <v>1.210463857388037</v>
      </c>
    </row>
    <row r="14" spans="1:2" ht="12.75">
      <c r="A14" t="s">
        <v>250</v>
      </c>
      <c r="B14">
        <f>(3.09+3.35/A+3.87/A^0.5)*(kappa/3)^0.5/B13^0.5</f>
        <v>8.01461888325346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6" sqref="D6"/>
    </sheetView>
  </sheetViews>
  <sheetFormatPr defaultColWidth="11.00390625" defaultRowHeight="12"/>
  <cols>
    <col min="2" max="2" width="12.125" style="0" bestFit="1" customWidth="1"/>
  </cols>
  <sheetData>
    <row r="1" spans="1:4" ht="12.75">
      <c r="A1" t="s">
        <v>224</v>
      </c>
      <c r="B1" s="16">
        <f>0.000000037</f>
        <v>3.7E-08</v>
      </c>
      <c r="C1" t="s">
        <v>225</v>
      </c>
      <c r="D1" s="16"/>
    </row>
    <row r="2" spans="1:3" ht="12.75">
      <c r="A2" t="s">
        <v>122</v>
      </c>
      <c r="B2" s="47">
        <v>1000000</v>
      </c>
      <c r="C2" t="s">
        <v>217</v>
      </c>
    </row>
    <row r="3" spans="1:3" ht="12.75">
      <c r="A3" t="s">
        <v>223</v>
      </c>
      <c r="B3" s="2">
        <f>Base!B19/B2</f>
        <v>12.783867484731168</v>
      </c>
      <c r="C3" t="s">
        <v>218</v>
      </c>
    </row>
    <row r="4" spans="1:3" ht="12.75">
      <c r="A4" t="s">
        <v>222</v>
      </c>
      <c r="B4" s="2">
        <f>R0+R0/A+2.5</f>
        <v>5.071428571428571</v>
      </c>
      <c r="C4" t="s">
        <v>197</v>
      </c>
    </row>
    <row r="5" spans="1:4" ht="12.75">
      <c r="A5" t="s">
        <v>230</v>
      </c>
      <c r="B5" s="2">
        <f>kappa*R0/A</f>
        <v>3.261581632653061</v>
      </c>
      <c r="C5" t="s">
        <v>197</v>
      </c>
      <c r="D5">
        <f>2*B5</f>
        <v>6.523163265306122</v>
      </c>
    </row>
    <row r="6" spans="1:3" ht="12.75">
      <c r="A6" t="s">
        <v>221</v>
      </c>
      <c r="B6" s="16">
        <f>B3/2/PI()/B4</f>
        <v>0.4011918285686491</v>
      </c>
      <c r="C6" t="s">
        <v>197</v>
      </c>
    </row>
    <row r="7" spans="1:3" ht="12.75">
      <c r="A7" t="s">
        <v>114</v>
      </c>
      <c r="B7" s="16">
        <f>2*B1*B5/B3</f>
        <v>1.887981403942111E-08</v>
      </c>
      <c r="C7" t="s">
        <v>227</v>
      </c>
    </row>
    <row r="8" spans="1:3" ht="12.75">
      <c r="A8" t="s">
        <v>123</v>
      </c>
      <c r="B8" s="47">
        <v>1500000</v>
      </c>
      <c r="C8" t="s">
        <v>217</v>
      </c>
    </row>
    <row r="9" spans="1:3" ht="12.75">
      <c r="A9" t="s">
        <v>124</v>
      </c>
      <c r="B9" s="2">
        <f>B3*B2/B8</f>
        <v>8.522578323154113</v>
      </c>
      <c r="C9" t="s">
        <v>218</v>
      </c>
    </row>
    <row r="10" spans="1:3" ht="12.75">
      <c r="A10" t="s">
        <v>226</v>
      </c>
      <c r="B10" s="2">
        <f>R0+R0/A</f>
        <v>2.571428571428571</v>
      </c>
      <c r="C10" t="s">
        <v>197</v>
      </c>
    </row>
    <row r="11" spans="1:3" ht="12.75">
      <c r="A11" t="s">
        <v>219</v>
      </c>
      <c r="B11" s="16">
        <f>((Base!B15*Base!B25)+B10)/2</f>
        <v>1.6642857142857141</v>
      </c>
      <c r="C11" t="s">
        <v>197</v>
      </c>
    </row>
    <row r="12" spans="1:3" ht="12.75">
      <c r="A12" t="s">
        <v>125</v>
      </c>
      <c r="B12" s="47">
        <v>1250000</v>
      </c>
      <c r="C12" t="s">
        <v>217</v>
      </c>
    </row>
    <row r="13" spans="1:3" ht="12.75">
      <c r="A13" t="s">
        <v>126</v>
      </c>
      <c r="B13" s="2">
        <f>B3*B2/B12</f>
        <v>10.227093987784935</v>
      </c>
      <c r="C13" t="s">
        <v>218</v>
      </c>
    </row>
    <row r="14" spans="1:3" ht="12.75">
      <c r="A14" t="s">
        <v>220</v>
      </c>
      <c r="B14" s="16">
        <f>B9/2/PI()/B11</f>
        <v>0.8150105816416048</v>
      </c>
      <c r="C14" t="s">
        <v>197</v>
      </c>
    </row>
    <row r="15" spans="1:3" ht="12.75">
      <c r="A15" t="s">
        <v>231</v>
      </c>
      <c r="B15" s="16">
        <f>2*B1*(LN(B10)-LN(Base!B15*Base!B25))/2/PI()/TF_outer!B14</f>
        <v>1.766835277360509E-08</v>
      </c>
      <c r="C15" t="s">
        <v>227</v>
      </c>
    </row>
    <row r="16" spans="1:3" ht="12.75">
      <c r="A16" t="s">
        <v>232</v>
      </c>
      <c r="B16" s="16">
        <f>(B4+B10)/2</f>
        <v>3.821428571428571</v>
      </c>
      <c r="C16" t="s">
        <v>197</v>
      </c>
    </row>
    <row r="17" spans="1:3" ht="12.75">
      <c r="A17" t="s">
        <v>234</v>
      </c>
      <c r="B17" s="16">
        <f>B13/2/PI()/B16</f>
        <v>0.4259382404242854</v>
      </c>
      <c r="C17" t="s">
        <v>197</v>
      </c>
    </row>
    <row r="18" spans="1:3" ht="12.75">
      <c r="A18" t="s">
        <v>111</v>
      </c>
      <c r="B18" s="16">
        <f>ATAN((Base!B23/2+Base!B24-B5)/(B4-B10))</f>
        <v>1.0121970114513341</v>
      </c>
      <c r="C18" t="s">
        <v>113</v>
      </c>
    </row>
    <row r="19" spans="2:3" ht="12.75">
      <c r="B19" s="16">
        <f>B18*180/PI()</f>
        <v>57.9946167919165</v>
      </c>
      <c r="C19" t="s">
        <v>112</v>
      </c>
    </row>
    <row r="20" spans="1:3" ht="12.75">
      <c r="A20" t="s">
        <v>110</v>
      </c>
      <c r="B20" s="16">
        <f>2*B1*(LN(B4)-LN(B10))/2/PI()/B17/COS(B18)</f>
        <v>3.5432591535187354E-08</v>
      </c>
      <c r="C20" t="s">
        <v>227</v>
      </c>
    </row>
    <row r="21" spans="1:3" ht="12.75">
      <c r="A21" t="s">
        <v>228</v>
      </c>
      <c r="B21" s="16">
        <f>B15+B20+B7</f>
        <v>7.198075834821355E-08</v>
      </c>
      <c r="C21" t="s">
        <v>227</v>
      </c>
    </row>
    <row r="22" spans="1:3" ht="12.75">
      <c r="A22" t="s">
        <v>216</v>
      </c>
      <c r="B22" s="2">
        <f>Base!B19^2*B21/1000000</f>
        <v>11.763618675855298</v>
      </c>
      <c r="C22" t="s">
        <v>229</v>
      </c>
    </row>
    <row r="24" spans="1:2" ht="12.75">
      <c r="A24" t="s">
        <v>121</v>
      </c>
      <c r="B24" s="4">
        <f>B22/Base!B27</f>
        <v>0.12107486293002731</v>
      </c>
    </row>
    <row r="26" spans="1:3" ht="12.75">
      <c r="A26" t="s">
        <v>63</v>
      </c>
      <c r="B26">
        <v>2670</v>
      </c>
      <c r="C26" t="s">
        <v>66</v>
      </c>
    </row>
    <row r="27" spans="1:2" ht="12.75">
      <c r="A27" t="s">
        <v>62</v>
      </c>
      <c r="B27" s="16">
        <f>2*PI()*(B10^2-(drtf*Base!B25)^2)*B14*B26</f>
        <v>82569.17381709506</v>
      </c>
    </row>
    <row r="28" spans="1:2" ht="12.75">
      <c r="A28" t="s">
        <v>64</v>
      </c>
      <c r="B28" s="16">
        <f>2*(B4-B10)/COS(B18)*2*PI()*B16*B17*B26</f>
        <v>257607.50528314206</v>
      </c>
    </row>
    <row r="29" spans="1:2" ht="12.75">
      <c r="A29" t="s">
        <v>65</v>
      </c>
      <c r="B29" s="16">
        <f>2*2*PI()*B4*B5*B6*B26</f>
        <v>222654.6502223891</v>
      </c>
    </row>
    <row r="30" spans="1:2" ht="12.75">
      <c r="A30" t="s">
        <v>67</v>
      </c>
      <c r="B30" s="16">
        <f>SUM(B26:B29)</f>
        <v>565501.3293226261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4">
      <selection activeCell="C11" sqref="C11"/>
    </sheetView>
  </sheetViews>
  <sheetFormatPr defaultColWidth="11.00390625" defaultRowHeight="12"/>
  <sheetData>
    <row r="1" spans="1:3" ht="12.75">
      <c r="A1" s="24" t="s">
        <v>115</v>
      </c>
      <c r="B1" s="24">
        <v>10</v>
      </c>
      <c r="C1" s="24"/>
    </row>
    <row r="2" spans="1:3" ht="12.75">
      <c r="A2" s="24" t="s">
        <v>240</v>
      </c>
      <c r="B2" s="25">
        <f>R0</f>
        <v>1.5</v>
      </c>
      <c r="C2" s="25"/>
    </row>
    <row r="3" spans="1:3" ht="12.75">
      <c r="A3" s="24" t="s">
        <v>241</v>
      </c>
      <c r="B3" s="25">
        <f>A</f>
        <v>1.4</v>
      </c>
      <c r="C3" s="25"/>
    </row>
    <row r="4" spans="1:3" ht="12.75">
      <c r="A4" s="24" t="s">
        <v>116</v>
      </c>
      <c r="B4" s="25">
        <f>B2/B3</f>
        <v>1.0714285714285714</v>
      </c>
      <c r="C4" s="25"/>
    </row>
    <row r="5" spans="1:3" ht="12.75">
      <c r="A5" s="24" t="s">
        <v>117</v>
      </c>
      <c r="B5" s="25">
        <f>kappa</f>
        <v>3.044142857142857</v>
      </c>
      <c r="C5" s="25"/>
    </row>
    <row r="6" spans="1:3" ht="12.75">
      <c r="A6" s="24" t="s">
        <v>118</v>
      </c>
      <c r="B6" s="25">
        <f>delta</f>
        <v>0.6</v>
      </c>
      <c r="C6" s="25"/>
    </row>
    <row r="7" spans="1:3" ht="12.75">
      <c r="A7" t="s">
        <v>111</v>
      </c>
      <c r="B7" t="s">
        <v>119</v>
      </c>
      <c r="C7" t="s">
        <v>120</v>
      </c>
    </row>
    <row r="8" spans="1:3" ht="12.75">
      <c r="A8">
        <v>0</v>
      </c>
      <c r="B8">
        <f>R0+A*COS(A8+d*SIN(A8))</f>
        <v>2.9</v>
      </c>
      <c r="C8">
        <f>k*A*SIN(A8)</f>
        <v>0</v>
      </c>
    </row>
    <row r="9" spans="1:3" ht="12.75">
      <c r="A9">
        <f>A8+dTheta*PI()/180</f>
        <v>0.17453292519943295</v>
      </c>
      <c r="B9">
        <f>R0+A*COS(A9+d*SIN(A9))</f>
        <v>2.845971035040603</v>
      </c>
      <c r="C9">
        <f>k*A*SIN(A9)</f>
        <v>0.7400538035809237</v>
      </c>
    </row>
    <row r="10" spans="1:3" ht="12.75">
      <c r="A10">
        <f aca="true" t="shared" si="0" ref="A10:A44">A9+dTheta*PI()/180</f>
        <v>0.3490658503988659</v>
      </c>
      <c r="B10">
        <f aca="true" t="shared" si="1" ref="B10:B44">R0+A*COS(A10+d*SIN(A10))</f>
        <v>2.6903929873603003</v>
      </c>
      <c r="C10">
        <f aca="true" t="shared" si="2" ref="C10:C44">k*A*SIN(A10)</f>
        <v>1.4576214468253346</v>
      </c>
    </row>
    <row r="11" spans="1:3" ht="12.75">
      <c r="A11">
        <f t="shared" si="0"/>
        <v>0.5235987755982988</v>
      </c>
      <c r="B11">
        <f t="shared" si="1"/>
        <v>2.4514197915800775</v>
      </c>
      <c r="C11">
        <f t="shared" si="2"/>
        <v>2.1308999999999996</v>
      </c>
    </row>
    <row r="12" spans="1:3" ht="12.75">
      <c r="A12">
        <f t="shared" si="0"/>
        <v>0.6981317007977318</v>
      </c>
      <c r="B12">
        <f t="shared" si="1"/>
        <v>2.155157662597489</v>
      </c>
      <c r="C12">
        <f t="shared" si="2"/>
        <v>2.7394322349620928</v>
      </c>
    </row>
    <row r="13" spans="1:3" ht="12.75">
      <c r="A13">
        <f t="shared" si="0"/>
        <v>0.8726646259971648</v>
      </c>
      <c r="B13">
        <f t="shared" si="1"/>
        <v>1.8307503429968006</v>
      </c>
      <c r="C13">
        <f t="shared" si="2"/>
        <v>3.2647282076844597</v>
      </c>
    </row>
    <row r="14" spans="1:3" ht="12.75">
      <c r="A14">
        <f t="shared" si="0"/>
        <v>1.0471975511965976</v>
      </c>
      <c r="B14">
        <f t="shared" si="1"/>
        <v>1.5055769319090369</v>
      </c>
      <c r="C14">
        <f t="shared" si="2"/>
        <v>3.6908270658485196</v>
      </c>
    </row>
    <row r="15" spans="1:3" ht="12.75">
      <c r="A15">
        <f t="shared" si="0"/>
        <v>1.2217304763960306</v>
      </c>
      <c r="B15">
        <f t="shared" si="1"/>
        <v>1.2016559316078228</v>
      </c>
      <c r="C15">
        <f t="shared" si="2"/>
        <v>4.004782011265383</v>
      </c>
    </row>
    <row r="16" spans="1:3" ht="12.75">
      <c r="A16">
        <f t="shared" si="0"/>
        <v>1.3962634015954636</v>
      </c>
      <c r="B16">
        <f t="shared" si="1"/>
        <v>0.9338028317619197</v>
      </c>
      <c r="C16">
        <f t="shared" si="2"/>
        <v>4.197053681787427</v>
      </c>
    </row>
    <row r="17" spans="1:3" ht="12.75">
      <c r="A17">
        <f t="shared" si="0"/>
        <v>1.5707963267948966</v>
      </c>
      <c r="B17">
        <f t="shared" si="1"/>
        <v>0.7095005372469505</v>
      </c>
      <c r="C17">
        <f t="shared" si="2"/>
        <v>4.261799999999999</v>
      </c>
    </row>
    <row r="18" spans="1:3" ht="12.75">
      <c r="A18">
        <f t="shared" si="0"/>
        <v>1.7453292519943295</v>
      </c>
      <c r="B18">
        <f t="shared" si="1"/>
        <v>0.5300265607943718</v>
      </c>
      <c r="C18">
        <f t="shared" si="2"/>
        <v>4.197053681787427</v>
      </c>
    </row>
    <row r="19" spans="1:3" ht="12.75">
      <c r="A19">
        <f t="shared" si="0"/>
        <v>1.9198621771937625</v>
      </c>
      <c r="B19">
        <f t="shared" si="1"/>
        <v>0.39222351085439766</v>
      </c>
      <c r="C19">
        <f t="shared" si="2"/>
        <v>4.004782011265384</v>
      </c>
    </row>
    <row r="20" spans="1:3" ht="12.75">
      <c r="A20">
        <f t="shared" si="0"/>
        <v>2.0943951023931953</v>
      </c>
      <c r="B20">
        <f t="shared" si="1"/>
        <v>0.29036252043336575</v>
      </c>
      <c r="C20">
        <f t="shared" si="2"/>
        <v>3.69082706584852</v>
      </c>
    </row>
    <row r="21" spans="1:3" ht="12.75">
      <c r="A21">
        <f t="shared" si="0"/>
        <v>2.268928027592628</v>
      </c>
      <c r="B21">
        <f t="shared" si="1"/>
        <v>0.21773211339142873</v>
      </c>
      <c r="C21">
        <f t="shared" si="2"/>
        <v>3.2647282076844606</v>
      </c>
    </row>
    <row r="22" spans="1:3" ht="12.75">
      <c r="A22">
        <f t="shared" si="0"/>
        <v>2.4434609527920608</v>
      </c>
      <c r="B22">
        <f t="shared" si="1"/>
        <v>0.16778728497394724</v>
      </c>
      <c r="C22">
        <f t="shared" si="2"/>
        <v>2.739432234962095</v>
      </c>
    </row>
    <row r="23" spans="1:3" ht="12.75">
      <c r="A23">
        <f t="shared" si="0"/>
        <v>2.6179938779914935</v>
      </c>
      <c r="B23">
        <f t="shared" si="1"/>
        <v>0.13485191909404715</v>
      </c>
      <c r="C23">
        <f t="shared" si="2"/>
        <v>2.1309000000000027</v>
      </c>
    </row>
    <row r="24" spans="1:3" ht="12.75">
      <c r="A24">
        <f t="shared" si="0"/>
        <v>2.7925268031909263</v>
      </c>
      <c r="B24">
        <f t="shared" si="1"/>
        <v>0.11446077056423198</v>
      </c>
      <c r="C24">
        <f t="shared" si="2"/>
        <v>1.4576214468253388</v>
      </c>
    </row>
    <row r="25" spans="1:3" ht="12.75">
      <c r="A25">
        <f t="shared" si="0"/>
        <v>2.967059728390359</v>
      </c>
      <c r="B25">
        <f t="shared" si="1"/>
        <v>0.10346236858253421</v>
      </c>
      <c r="C25">
        <f t="shared" si="2"/>
        <v>0.7400538035809289</v>
      </c>
    </row>
    <row r="26" spans="1:3" ht="12.75">
      <c r="A26">
        <f t="shared" si="0"/>
        <v>3.141592653589792</v>
      </c>
      <c r="B26">
        <f t="shared" si="1"/>
        <v>0.10000000000000009</v>
      </c>
      <c r="C26">
        <f t="shared" si="2"/>
        <v>6.1997781564776085E-15</v>
      </c>
    </row>
    <row r="27" spans="1:3" ht="12.75">
      <c r="A27">
        <f t="shared" si="0"/>
        <v>3.3161255787892245</v>
      </c>
      <c r="B27">
        <f t="shared" si="1"/>
        <v>0.10346236858253399</v>
      </c>
      <c r="C27">
        <f t="shared" si="2"/>
        <v>-0.7400538035809167</v>
      </c>
    </row>
    <row r="28" spans="1:3" ht="12.75">
      <c r="A28">
        <f t="shared" si="0"/>
        <v>3.4906585039886573</v>
      </c>
      <c r="B28">
        <f t="shared" si="1"/>
        <v>0.11446077056423176</v>
      </c>
      <c r="C28">
        <f t="shared" si="2"/>
        <v>-1.4576214468253272</v>
      </c>
    </row>
    <row r="29" spans="1:3" ht="12.75">
      <c r="A29">
        <f t="shared" si="0"/>
        <v>3.66519142918809</v>
      </c>
      <c r="B29">
        <f t="shared" si="1"/>
        <v>0.1348519190940467</v>
      </c>
      <c r="C29">
        <f t="shared" si="2"/>
        <v>-2.130899999999992</v>
      </c>
    </row>
    <row r="30" spans="1:3" ht="12.75">
      <c r="A30">
        <f t="shared" si="0"/>
        <v>3.839724354387523</v>
      </c>
      <c r="B30">
        <f t="shared" si="1"/>
        <v>0.16778728497394657</v>
      </c>
      <c r="C30">
        <f t="shared" si="2"/>
        <v>-2.739432234962085</v>
      </c>
    </row>
    <row r="31" spans="1:3" ht="12.75">
      <c r="A31">
        <f t="shared" si="0"/>
        <v>4.014257279586956</v>
      </c>
      <c r="B31">
        <f t="shared" si="1"/>
        <v>0.21773211339142784</v>
      </c>
      <c r="C31">
        <f t="shared" si="2"/>
        <v>-3.2647282076844544</v>
      </c>
    </row>
    <row r="32" spans="1:3" ht="12.75">
      <c r="A32">
        <f t="shared" si="0"/>
        <v>4.188790204786389</v>
      </c>
      <c r="B32">
        <f t="shared" si="1"/>
        <v>0.29036252043336463</v>
      </c>
      <c r="C32">
        <f t="shared" si="2"/>
        <v>-3.6908270658485147</v>
      </c>
    </row>
    <row r="33" spans="1:3" ht="12.75">
      <c r="A33">
        <f t="shared" si="0"/>
        <v>4.3633231299858215</v>
      </c>
      <c r="B33">
        <f t="shared" si="1"/>
        <v>0.39222351085439633</v>
      </c>
      <c r="C33">
        <f t="shared" si="2"/>
        <v>-4.00478201126538</v>
      </c>
    </row>
    <row r="34" spans="1:3" ht="12.75">
      <c r="A34">
        <f t="shared" si="0"/>
        <v>4.537856055185254</v>
      </c>
      <c r="B34">
        <f t="shared" si="1"/>
        <v>0.5300265607943693</v>
      </c>
      <c r="C34">
        <f t="shared" si="2"/>
        <v>-4.197053681787425</v>
      </c>
    </row>
    <row r="35" spans="1:3" ht="12.75">
      <c r="A35">
        <f t="shared" si="0"/>
        <v>4.712388980384687</v>
      </c>
      <c r="B35">
        <f t="shared" si="1"/>
        <v>0.7095005372469476</v>
      </c>
      <c r="C35">
        <f t="shared" si="2"/>
        <v>-4.261799999999999</v>
      </c>
    </row>
    <row r="36" spans="1:3" ht="12.75">
      <c r="A36">
        <f t="shared" si="0"/>
        <v>4.88692190558412</v>
      </c>
      <c r="B36">
        <f t="shared" si="1"/>
        <v>0.9338028317619148</v>
      </c>
      <c r="C36">
        <f t="shared" si="2"/>
        <v>-4.1970536817874295</v>
      </c>
    </row>
    <row r="37" spans="1:3" ht="12.75">
      <c r="A37">
        <f t="shared" si="0"/>
        <v>5.0614548307835525</v>
      </c>
      <c r="B37">
        <f t="shared" si="1"/>
        <v>1.2016559316078173</v>
      </c>
      <c r="C37">
        <f t="shared" si="2"/>
        <v>-4.004782011265388</v>
      </c>
    </row>
    <row r="38" spans="1:3" ht="12.75">
      <c r="A38">
        <f t="shared" si="0"/>
        <v>5.235987755982985</v>
      </c>
      <c r="B38">
        <f t="shared" si="1"/>
        <v>1.505576931909031</v>
      </c>
      <c r="C38">
        <f t="shared" si="2"/>
        <v>-3.690827065848527</v>
      </c>
    </row>
    <row r="39" spans="1:3" ht="12.75">
      <c r="A39">
        <f t="shared" si="0"/>
        <v>5.410520681182418</v>
      </c>
      <c r="B39">
        <f t="shared" si="1"/>
        <v>1.8307503429967935</v>
      </c>
      <c r="C39">
        <f t="shared" si="2"/>
        <v>-3.26472820768447</v>
      </c>
    </row>
    <row r="40" spans="1:3" ht="12.75">
      <c r="A40">
        <f t="shared" si="0"/>
        <v>5.585053606381851</v>
      </c>
      <c r="B40">
        <f t="shared" si="1"/>
        <v>2.1551576625974813</v>
      </c>
      <c r="C40">
        <f t="shared" si="2"/>
        <v>-2.7394322349621056</v>
      </c>
    </row>
    <row r="41" spans="1:3" ht="12.75">
      <c r="A41">
        <f t="shared" si="0"/>
        <v>5.7595865315812835</v>
      </c>
      <c r="B41">
        <f t="shared" si="1"/>
        <v>2.451419791580071</v>
      </c>
      <c r="C41">
        <f t="shared" si="2"/>
        <v>-2.1309000000000147</v>
      </c>
    </row>
    <row r="42" spans="1:3" ht="12.75">
      <c r="A42">
        <f t="shared" si="0"/>
        <v>5.934119456780716</v>
      </c>
      <c r="B42">
        <f t="shared" si="1"/>
        <v>2.690392987360295</v>
      </c>
      <c r="C42">
        <f t="shared" si="2"/>
        <v>-1.4576214468253519</v>
      </c>
    </row>
    <row r="43" spans="1:3" ht="12.75">
      <c r="A43">
        <f t="shared" si="0"/>
        <v>6.108652381980149</v>
      </c>
      <c r="B43">
        <f t="shared" si="1"/>
        <v>2.8459710350406002</v>
      </c>
      <c r="C43">
        <f t="shared" si="2"/>
        <v>-0.7400538035809424</v>
      </c>
    </row>
    <row r="44" spans="1:3" ht="12.75">
      <c r="A44">
        <f t="shared" si="0"/>
        <v>6.283185307179582</v>
      </c>
      <c r="B44">
        <f t="shared" si="1"/>
        <v>2.9</v>
      </c>
      <c r="C44">
        <f t="shared" si="2"/>
        <v>-1.99700338911112E-14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H5" sqref="H5"/>
    </sheetView>
  </sheetViews>
  <sheetFormatPr defaultColWidth="11.00390625" defaultRowHeight="12"/>
  <cols>
    <col min="2" max="2" width="12.00390625" style="0" bestFit="1" customWidth="1"/>
    <col min="5" max="5" width="12.00390625" style="0" bestFit="1" customWidth="1"/>
  </cols>
  <sheetData>
    <row r="1" spans="1:3" ht="12.75">
      <c r="A1" t="s">
        <v>6</v>
      </c>
      <c r="B1">
        <v>0.001</v>
      </c>
      <c r="C1" t="s">
        <v>197</v>
      </c>
    </row>
    <row r="2" spans="1:3" ht="12.75">
      <c r="A2" t="s">
        <v>7</v>
      </c>
      <c r="B2">
        <f>TF_outer!B10</f>
        <v>2.571428571428571</v>
      </c>
      <c r="C2" t="s">
        <v>197</v>
      </c>
    </row>
    <row r="3" spans="1:3" ht="12.75">
      <c r="A3" t="s">
        <v>8</v>
      </c>
      <c r="B3">
        <f>TF_outer!B4</f>
        <v>5.071428571428571</v>
      </c>
      <c r="C3" t="s">
        <v>197</v>
      </c>
    </row>
    <row r="4" spans="1:3" ht="12.75">
      <c r="A4" t="s">
        <v>9</v>
      </c>
      <c r="B4" s="16">
        <f>router1+TF_outer!B6</f>
        <v>5.47262039999722</v>
      </c>
      <c r="C4" t="s">
        <v>197</v>
      </c>
    </row>
    <row r="5" spans="1:3" ht="12.75">
      <c r="A5" t="s">
        <v>10</v>
      </c>
      <c r="B5">
        <f>Base!B23/2+Base!B24</f>
        <v>7.261581632653061</v>
      </c>
      <c r="C5" t="s">
        <v>197</v>
      </c>
    </row>
    <row r="6" spans="1:3" ht="12.75">
      <c r="A6" t="s">
        <v>11</v>
      </c>
      <c r="B6">
        <f>2*B5</f>
        <v>14.523163265306122</v>
      </c>
      <c r="C6" t="s">
        <v>197</v>
      </c>
    </row>
    <row r="7" spans="1:3" ht="12.75">
      <c r="A7" t="s">
        <v>182</v>
      </c>
      <c r="B7">
        <f>TF_outer!B5</f>
        <v>3.261581632653061</v>
      </c>
      <c r="C7" t="s">
        <v>197</v>
      </c>
    </row>
    <row r="8" spans="1:5" ht="12.75">
      <c r="A8" t="s">
        <v>12</v>
      </c>
      <c r="B8">
        <f>-(halfht-B7)/(router1+(router2-router1)/2-rinner2)</f>
        <v>-1.4811545773444694</v>
      </c>
      <c r="E8" t="s">
        <v>54</v>
      </c>
    </row>
    <row r="9" spans="1:3" ht="12.75">
      <c r="A9" t="s">
        <v>13</v>
      </c>
      <c r="B9">
        <f>router1+(router2-router1)/2</f>
        <v>5.272024485712896</v>
      </c>
      <c r="C9" t="s">
        <v>197</v>
      </c>
    </row>
    <row r="10" spans="1:3" ht="12.75">
      <c r="A10" t="s">
        <v>14</v>
      </c>
      <c r="B10">
        <f>F69</f>
        <v>4.415634534736407E-06</v>
      </c>
      <c r="C10" t="s">
        <v>15</v>
      </c>
    </row>
    <row r="11" spans="1:2" ht="12.75">
      <c r="A11" t="s">
        <v>16</v>
      </c>
      <c r="B11">
        <v>1</v>
      </c>
    </row>
    <row r="12" spans="1:2" ht="12.75">
      <c r="A12" t="s">
        <v>17</v>
      </c>
      <c r="B12">
        <v>1</v>
      </c>
    </row>
    <row r="13" spans="1:3" ht="12.75">
      <c r="A13" t="s">
        <v>177</v>
      </c>
      <c r="B13" s="48">
        <f>(B11*B12)^2*B10</f>
        <v>4.415634534736407E-06</v>
      </c>
      <c r="C13" t="s">
        <v>178</v>
      </c>
    </row>
    <row r="14" spans="1:3" ht="12.75">
      <c r="A14" t="s">
        <v>184</v>
      </c>
      <c r="B14" s="2">
        <f>1/2*B13*Base!B19^2/1000000</f>
        <v>360.8175439559396</v>
      </c>
      <c r="C14" t="s">
        <v>183</v>
      </c>
    </row>
    <row r="16" spans="1:2" ht="12.75">
      <c r="A16" t="s">
        <v>33</v>
      </c>
      <c r="B16">
        <f>router2/50</f>
        <v>0.1094524079999444</v>
      </c>
    </row>
    <row r="17" spans="1:6" ht="12.75">
      <c r="A17" t="s">
        <v>119</v>
      </c>
      <c r="B17" t="s">
        <v>80</v>
      </c>
      <c r="C17" t="s">
        <v>120</v>
      </c>
      <c r="D17" t="s">
        <v>179</v>
      </c>
      <c r="E17" t="s">
        <v>180</v>
      </c>
      <c r="F17" t="s">
        <v>181</v>
      </c>
    </row>
    <row r="18" spans="1:6" ht="12.75">
      <c r="A18">
        <f>rinner1</f>
        <v>0.001</v>
      </c>
      <c r="B18">
        <f>C18/2</f>
        <v>7.261581632653061</v>
      </c>
      <c r="C18">
        <f aca="true" t="shared" si="0" ref="C18:C49">IF(A18&lt;rinner2,height,2*(slope*(A18-rinner2)+halfht))</f>
        <v>14.523163265306122</v>
      </c>
      <c r="D18">
        <f aca="true" t="shared" si="1" ref="D18:D49">IF(A18&lt;rinner2,(A18-rinner1)/(rinner2-rinner1),IF(A18&lt;router1,1,(1-(A18-router1)/(router2-router1))))</f>
        <v>0</v>
      </c>
      <c r="E18">
        <f aca="true" t="shared" si="2" ref="E18:E49">D18*4*PI()*0.0000001/2/PI()/A18</f>
        <v>0</v>
      </c>
      <c r="F18">
        <v>0</v>
      </c>
    </row>
    <row r="19" spans="1:6" ht="12.75">
      <c r="A19">
        <f aca="true" t="shared" si="3" ref="A19:A50">A18+deltaR</f>
        <v>0.11045240799994441</v>
      </c>
      <c r="B19">
        <f aca="true" t="shared" si="4" ref="B19:B69">C19/2</f>
        <v>7.261581632653061</v>
      </c>
      <c r="C19">
        <f t="shared" si="0"/>
        <v>14.523163265306122</v>
      </c>
      <c r="D19">
        <f t="shared" si="1"/>
        <v>0.04258138476071866</v>
      </c>
      <c r="E19">
        <f t="shared" si="2"/>
        <v>7.710358792854944E-08</v>
      </c>
      <c r="F19">
        <f aca="true" t="shared" si="5" ref="F19:F50">F18+deltaR*C18*E18</f>
        <v>0</v>
      </c>
    </row>
    <row r="20" spans="1:6" ht="12.75">
      <c r="A20">
        <f t="shared" si="3"/>
        <v>0.21990481599988881</v>
      </c>
      <c r="B20">
        <f t="shared" si="4"/>
        <v>7.261581632653061</v>
      </c>
      <c r="C20">
        <f t="shared" si="0"/>
        <v>14.523163265306122</v>
      </c>
      <c r="D20">
        <f t="shared" si="1"/>
        <v>0.08516276952143732</v>
      </c>
      <c r="E20">
        <f t="shared" si="2"/>
        <v>7.745421048121144E-08</v>
      </c>
      <c r="F20">
        <f t="shared" si="5"/>
        <v>1.2256349259271982E-07</v>
      </c>
    </row>
    <row r="21" spans="1:6" ht="12.75">
      <c r="A21">
        <f t="shared" si="3"/>
        <v>0.32935722399983325</v>
      </c>
      <c r="B21">
        <f t="shared" si="4"/>
        <v>7.261581632653061</v>
      </c>
      <c r="C21">
        <f t="shared" si="0"/>
        <v>14.523163265306122</v>
      </c>
      <c r="D21">
        <f t="shared" si="1"/>
        <v>0.127744154282156</v>
      </c>
      <c r="E21">
        <f t="shared" si="2"/>
        <v>7.757179437620026E-08</v>
      </c>
      <c r="F21">
        <f t="shared" si="5"/>
        <v>2.4568433310906487E-07</v>
      </c>
    </row>
    <row r="22" spans="1:6" ht="12.75">
      <c r="A22">
        <f t="shared" si="3"/>
        <v>0.4388096319997776</v>
      </c>
      <c r="B22">
        <f t="shared" si="4"/>
        <v>7.261581632653061</v>
      </c>
      <c r="C22">
        <f t="shared" si="0"/>
        <v>14.523163265306122</v>
      </c>
      <c r="D22">
        <f t="shared" si="1"/>
        <v>0.17032553904287465</v>
      </c>
      <c r="E22">
        <f t="shared" si="2"/>
        <v>7.763072030422565E-08</v>
      </c>
      <c r="F22">
        <f t="shared" si="5"/>
        <v>3.689920844194424E-07</v>
      </c>
    </row>
    <row r="23" spans="1:6" ht="12.75">
      <c r="A23">
        <f t="shared" si="3"/>
        <v>0.548262039999722</v>
      </c>
      <c r="B23">
        <f t="shared" si="4"/>
        <v>7.261581632653061</v>
      </c>
      <c r="C23">
        <f t="shared" si="0"/>
        <v>14.523163265306122</v>
      </c>
      <c r="D23">
        <f t="shared" si="1"/>
        <v>0.2129069238035933</v>
      </c>
      <c r="E23">
        <f t="shared" si="2"/>
        <v>7.766611885210994E-08</v>
      </c>
      <c r="F23">
        <f t="shared" si="5"/>
        <v>4.92393504101644E-07</v>
      </c>
    </row>
    <row r="24" spans="1:6" ht="12.75">
      <c r="A24">
        <f t="shared" si="3"/>
        <v>0.6577144479996664</v>
      </c>
      <c r="B24">
        <f t="shared" si="4"/>
        <v>7.261581632653061</v>
      </c>
      <c r="C24">
        <f t="shared" si="0"/>
        <v>14.523163265306122</v>
      </c>
      <c r="D24">
        <f t="shared" si="1"/>
        <v>0.25548830856431193</v>
      </c>
      <c r="E24">
        <f t="shared" si="2"/>
        <v>7.768973582421334E-08</v>
      </c>
      <c r="F24">
        <f t="shared" si="5"/>
        <v>6.158511931453368E-07</v>
      </c>
    </row>
    <row r="25" spans="1:6" ht="12.75">
      <c r="A25">
        <f t="shared" si="3"/>
        <v>0.7671668559996108</v>
      </c>
      <c r="B25">
        <f t="shared" si="4"/>
        <v>7.261581632653061</v>
      </c>
      <c r="C25">
        <f t="shared" si="0"/>
        <v>14.523163265306122</v>
      </c>
      <c r="D25">
        <f t="shared" si="1"/>
        <v>0.2980696933250306</v>
      </c>
      <c r="E25">
        <f t="shared" si="2"/>
        <v>7.770661388561912E-08</v>
      </c>
      <c r="F25">
        <f t="shared" si="5"/>
        <v>7.393464236143149E-07</v>
      </c>
    </row>
    <row r="26" spans="1:6" ht="12.75">
      <c r="A26">
        <f t="shared" si="3"/>
        <v>0.8766192639995551</v>
      </c>
      <c r="B26">
        <f t="shared" si="4"/>
        <v>7.261581632653061</v>
      </c>
      <c r="C26">
        <f t="shared" si="0"/>
        <v>14.523163265306122</v>
      </c>
      <c r="D26">
        <f t="shared" si="1"/>
        <v>0.34065107808574924</v>
      </c>
      <c r="E26">
        <f t="shared" si="2"/>
        <v>7.77192772450691E-08</v>
      </c>
      <c r="F26">
        <f t="shared" si="5"/>
        <v>8.628684833685397E-07</v>
      </c>
    </row>
    <row r="27" spans="1:6" ht="12.75">
      <c r="A27">
        <f t="shared" si="3"/>
        <v>0.9860716719994995</v>
      </c>
      <c r="B27">
        <f t="shared" si="4"/>
        <v>7.261581632653061</v>
      </c>
      <c r="C27">
        <f t="shared" si="0"/>
        <v>14.523163265306122</v>
      </c>
      <c r="D27">
        <f t="shared" si="1"/>
        <v>0.3832324628464679</v>
      </c>
      <c r="E27">
        <f t="shared" si="2"/>
        <v>7.772912937847024E-08</v>
      </c>
      <c r="F27">
        <f t="shared" si="5"/>
        <v>9.864106727380503E-07</v>
      </c>
    </row>
    <row r="28" spans="1:6" ht="12.75">
      <c r="A28">
        <f t="shared" si="3"/>
        <v>1.095524079999444</v>
      </c>
      <c r="B28">
        <f t="shared" si="4"/>
        <v>7.261581632653061</v>
      </c>
      <c r="C28">
        <f t="shared" si="0"/>
        <v>14.523163265306122</v>
      </c>
      <c r="D28">
        <f t="shared" si="1"/>
        <v>0.4258138476071866</v>
      </c>
      <c r="E28">
        <f t="shared" si="2"/>
        <v>7.773701288380677E-08</v>
      </c>
      <c r="F28">
        <f t="shared" si="5"/>
        <v>1.109968523011438E-06</v>
      </c>
    </row>
    <row r="29" spans="1:6" ht="12.75">
      <c r="A29">
        <f t="shared" si="3"/>
        <v>1.2049764879993883</v>
      </c>
      <c r="B29">
        <f t="shared" si="4"/>
        <v>7.261581632653061</v>
      </c>
      <c r="C29">
        <f t="shared" si="0"/>
        <v>14.523163265306122</v>
      </c>
      <c r="D29">
        <f t="shared" si="1"/>
        <v>0.46839523236790526</v>
      </c>
      <c r="E29">
        <f t="shared" si="2"/>
        <v>7.774346421407404E-08</v>
      </c>
      <c r="F29">
        <f t="shared" si="5"/>
        <v>1.2335389048669982E-06</v>
      </c>
    </row>
    <row r="30" spans="1:6" ht="12.75">
      <c r="A30">
        <f t="shared" si="3"/>
        <v>1.3144288959993327</v>
      </c>
      <c r="B30">
        <f t="shared" si="4"/>
        <v>7.261581632653061</v>
      </c>
      <c r="C30">
        <f t="shared" si="0"/>
        <v>14.523163265306122</v>
      </c>
      <c r="D30">
        <f t="shared" si="1"/>
        <v>0.5109766171286239</v>
      </c>
      <c r="E30">
        <f t="shared" si="2"/>
        <v>7.774884114064444E-08</v>
      </c>
      <c r="F30">
        <f t="shared" si="5"/>
        <v>1.3571195417261278E-06</v>
      </c>
    </row>
    <row r="31" spans="1:6" ht="12.75">
      <c r="A31">
        <f t="shared" si="3"/>
        <v>1.423881303999277</v>
      </c>
      <c r="B31">
        <f t="shared" si="4"/>
        <v>7.261581632653061</v>
      </c>
      <c r="C31">
        <f t="shared" si="0"/>
        <v>14.523163265306122</v>
      </c>
      <c r="D31">
        <f t="shared" si="1"/>
        <v>0.5535580018893426</v>
      </c>
      <c r="E31">
        <f t="shared" si="2"/>
        <v>7.775339142870346E-08</v>
      </c>
      <c r="F31">
        <f t="shared" si="5"/>
        <v>1.4807087257218771E-06</v>
      </c>
    </row>
    <row r="32" spans="1:6" ht="12.75">
      <c r="A32">
        <f t="shared" si="3"/>
        <v>1.5333337119992214</v>
      </c>
      <c r="B32">
        <f t="shared" si="4"/>
        <v>7.261581632653061</v>
      </c>
      <c r="C32">
        <f t="shared" si="0"/>
        <v>14.523163265306122</v>
      </c>
      <c r="D32">
        <f t="shared" si="1"/>
        <v>0.5961393866500612</v>
      </c>
      <c r="E32">
        <f t="shared" si="2"/>
        <v>7.775729209955097E-08</v>
      </c>
      <c r="F32">
        <f t="shared" si="5"/>
        <v>1.6043051428336433E-06</v>
      </c>
    </row>
    <row r="33" spans="1:6" ht="12.75">
      <c r="A33">
        <f t="shared" si="3"/>
        <v>1.6427861199991658</v>
      </c>
      <c r="B33">
        <f t="shared" si="4"/>
        <v>7.261581632653061</v>
      </c>
      <c r="C33">
        <f t="shared" si="0"/>
        <v>14.523163265306122</v>
      </c>
      <c r="D33">
        <f t="shared" si="1"/>
        <v>0.6387207714107799</v>
      </c>
      <c r="E33">
        <f t="shared" si="2"/>
        <v>7.776067299754204E-08</v>
      </c>
      <c r="F33">
        <f t="shared" si="5"/>
        <v>1.727907760433031E-06</v>
      </c>
    </row>
    <row r="34" spans="1:6" ht="12.75">
      <c r="A34">
        <f t="shared" si="3"/>
        <v>1.7522385279991102</v>
      </c>
      <c r="B34">
        <f t="shared" si="4"/>
        <v>7.261581632653061</v>
      </c>
      <c r="C34">
        <f t="shared" si="0"/>
        <v>14.523163265306122</v>
      </c>
      <c r="D34">
        <f t="shared" si="1"/>
        <v>0.6813021561714985</v>
      </c>
      <c r="E34">
        <f t="shared" si="2"/>
        <v>7.77636315244684E-08</v>
      </c>
      <c r="F34">
        <f t="shared" si="5"/>
        <v>1.8515157522916071E-06</v>
      </c>
    </row>
    <row r="35" spans="1:6" ht="12.75">
      <c r="A35">
        <f t="shared" si="3"/>
        <v>1.8616909359990546</v>
      </c>
      <c r="B35">
        <f t="shared" si="4"/>
        <v>7.261581632653061</v>
      </c>
      <c r="C35">
        <f t="shared" si="0"/>
        <v>14.523163265306122</v>
      </c>
      <c r="D35">
        <f t="shared" si="1"/>
        <v>0.7238835409322172</v>
      </c>
      <c r="E35">
        <f t="shared" si="2"/>
        <v>7.776624217636355E-08</v>
      </c>
      <c r="F35">
        <f t="shared" si="5"/>
        <v>1.9751284470103583E-06</v>
      </c>
    </row>
    <row r="36" spans="1:6" ht="12.75">
      <c r="A36">
        <f t="shared" si="3"/>
        <v>1.971143343998999</v>
      </c>
      <c r="B36">
        <f t="shared" si="4"/>
        <v>7.261581632653061</v>
      </c>
      <c r="C36">
        <f t="shared" si="0"/>
        <v>14.523163265306122</v>
      </c>
      <c r="D36">
        <f t="shared" si="1"/>
        <v>0.7664649256929358</v>
      </c>
      <c r="E36">
        <f t="shared" si="2"/>
        <v>7.77685629029854E-08</v>
      </c>
      <c r="F36">
        <f t="shared" si="5"/>
        <v>2.098745291608808E-06</v>
      </c>
    </row>
    <row r="37" spans="1:6" ht="12.75">
      <c r="A37">
        <f t="shared" si="3"/>
        <v>2.0805957519989433</v>
      </c>
      <c r="B37">
        <f t="shared" si="4"/>
        <v>7.261581632653061</v>
      </c>
      <c r="C37">
        <f t="shared" si="0"/>
        <v>14.523163265306122</v>
      </c>
      <c r="D37">
        <f t="shared" si="1"/>
        <v>0.8090463104536545</v>
      </c>
      <c r="E37">
        <f t="shared" si="2"/>
        <v>7.77706394600065E-08</v>
      </c>
      <c r="F37">
        <f t="shared" si="5"/>
        <v>2.2223658252231357E-06</v>
      </c>
    </row>
    <row r="38" spans="1:6" ht="12.75">
      <c r="A38">
        <f t="shared" si="3"/>
        <v>2.190048159998888</v>
      </c>
      <c r="B38">
        <f t="shared" si="4"/>
        <v>7.261581632653061</v>
      </c>
      <c r="C38">
        <f t="shared" si="0"/>
        <v>14.523163265306122</v>
      </c>
      <c r="D38">
        <f t="shared" si="1"/>
        <v>0.8516276952143732</v>
      </c>
      <c r="E38">
        <f t="shared" si="2"/>
        <v>7.777250845614333E-08</v>
      </c>
      <c r="F38">
        <f t="shared" si="5"/>
        <v>2.345989659722518E-06</v>
      </c>
    </row>
    <row r="39" spans="1:6" ht="12.75">
      <c r="A39">
        <f t="shared" si="3"/>
        <v>2.2995005679988325</v>
      </c>
      <c r="B39">
        <f t="shared" si="4"/>
        <v>7.261581632653061</v>
      </c>
      <c r="C39">
        <f t="shared" si="0"/>
        <v>14.523163265306122</v>
      </c>
      <c r="D39">
        <f t="shared" si="1"/>
        <v>0.8942090799750919</v>
      </c>
      <c r="E39">
        <f t="shared" si="2"/>
        <v>7.777419953005603E-08</v>
      </c>
      <c r="F39">
        <f t="shared" si="5"/>
        <v>2.4696164651691723E-06</v>
      </c>
    </row>
    <row r="40" spans="1:6" ht="12.75">
      <c r="A40">
        <f t="shared" si="3"/>
        <v>2.408952975998777</v>
      </c>
      <c r="B40">
        <f t="shared" si="4"/>
        <v>7.261581632653061</v>
      </c>
      <c r="C40">
        <f t="shared" si="0"/>
        <v>14.523163265306122</v>
      </c>
      <c r="D40">
        <f t="shared" si="1"/>
        <v>0.9367904647358106</v>
      </c>
      <c r="E40">
        <f t="shared" si="2"/>
        <v>7.777573693379444E-08</v>
      </c>
      <c r="F40">
        <f t="shared" si="5"/>
        <v>2.593245958738786E-06</v>
      </c>
    </row>
    <row r="41" spans="1:6" ht="12.75">
      <c r="A41">
        <f t="shared" si="3"/>
        <v>2.5184053839987217</v>
      </c>
      <c r="B41">
        <f t="shared" si="4"/>
        <v>7.261581632653061</v>
      </c>
      <c r="C41">
        <f t="shared" si="0"/>
        <v>14.523163265306122</v>
      </c>
      <c r="D41">
        <f t="shared" si="1"/>
        <v>0.9793718494965294</v>
      </c>
      <c r="E41">
        <f t="shared" si="2"/>
        <v>7.777714070333536E-08</v>
      </c>
      <c r="F41">
        <f t="shared" si="5"/>
        <v>2.716877896157989E-06</v>
      </c>
    </row>
    <row r="42" spans="1:6" ht="12.75">
      <c r="A42">
        <f t="shared" si="3"/>
        <v>2.6278577919986663</v>
      </c>
      <c r="B42">
        <f t="shared" si="4"/>
        <v>7.178001234309684</v>
      </c>
      <c r="C42">
        <f t="shared" si="0"/>
        <v>14.356002468619367</v>
      </c>
      <c r="D42">
        <f t="shared" si="1"/>
        <v>1</v>
      </c>
      <c r="E42">
        <f t="shared" si="2"/>
        <v>7.610761914475071E-08</v>
      </c>
      <c r="F42">
        <f t="shared" si="5"/>
        <v>2.840512065002504E-06</v>
      </c>
    </row>
    <row r="43" spans="1:6" ht="12.75">
      <c r="A43">
        <f t="shared" si="3"/>
        <v>2.737310199998611</v>
      </c>
      <c r="B43">
        <f t="shared" si="4"/>
        <v>7.015885299199192</v>
      </c>
      <c r="C43">
        <f t="shared" si="0"/>
        <v>14.031770598398383</v>
      </c>
      <c r="D43">
        <f t="shared" si="1"/>
        <v>1</v>
      </c>
      <c r="E43">
        <f t="shared" si="2"/>
        <v>7.306442653087017E-08</v>
      </c>
      <c r="F43">
        <f t="shared" si="5"/>
        <v>2.960099893858985E-06</v>
      </c>
    </row>
    <row r="44" spans="1:6" ht="12.75">
      <c r="A44">
        <f t="shared" si="3"/>
        <v>2.8467626079985555</v>
      </c>
      <c r="B44">
        <f t="shared" si="4"/>
        <v>6.853769364088699</v>
      </c>
      <c r="C44">
        <f t="shared" si="0"/>
        <v>13.707538728177399</v>
      </c>
      <c r="D44">
        <f t="shared" si="1"/>
        <v>1</v>
      </c>
      <c r="E44">
        <f t="shared" si="2"/>
        <v>7.025524342565817E-08</v>
      </c>
      <c r="F44">
        <f t="shared" si="5"/>
        <v>3.0723130497152927E-06</v>
      </c>
    </row>
    <row r="45" spans="1:6" ht="12.75">
      <c r="A45">
        <f t="shared" si="3"/>
        <v>2.9562150159985</v>
      </c>
      <c r="B45">
        <f t="shared" si="4"/>
        <v>6.691653428978207</v>
      </c>
      <c r="C45">
        <f t="shared" si="0"/>
        <v>13.383306857956415</v>
      </c>
      <c r="D45">
        <f t="shared" si="1"/>
        <v>1</v>
      </c>
      <c r="E45">
        <f t="shared" si="2"/>
        <v>6.765407756798347E-08</v>
      </c>
      <c r="F45">
        <f t="shared" si="5"/>
        <v>3.1777186158370375E-06</v>
      </c>
    </row>
    <row r="46" spans="1:6" ht="12.75">
      <c r="A46">
        <f t="shared" si="3"/>
        <v>3.0656674239984447</v>
      </c>
      <c r="B46">
        <f t="shared" si="4"/>
        <v>6.529537493867714</v>
      </c>
      <c r="C46">
        <f t="shared" si="0"/>
        <v>13.059074987735428</v>
      </c>
      <c r="D46">
        <f t="shared" si="1"/>
        <v>1</v>
      </c>
      <c r="E46">
        <f t="shared" si="2"/>
        <v>6.523864866566214E-08</v>
      </c>
      <c r="F46">
        <f t="shared" si="5"/>
        <v>3.2768206875522594E-06</v>
      </c>
    </row>
    <row r="47" spans="1:6" ht="12.75">
      <c r="A47">
        <f t="shared" si="3"/>
        <v>3.1751198319983893</v>
      </c>
      <c r="B47">
        <f t="shared" si="4"/>
        <v>6.367421558757222</v>
      </c>
      <c r="C47">
        <f t="shared" si="0"/>
        <v>12.734843117514444</v>
      </c>
      <c r="D47">
        <f t="shared" si="1"/>
        <v>1</v>
      </c>
      <c r="E47">
        <f t="shared" si="2"/>
        <v>6.298974860237699E-08</v>
      </c>
      <c r="F47">
        <f t="shared" si="5"/>
        <v>3.3700693675930472E-06</v>
      </c>
    </row>
    <row r="48" spans="1:6" ht="12.75">
      <c r="A48">
        <f t="shared" si="3"/>
        <v>3.284572239998334</v>
      </c>
      <c r="B48">
        <f t="shared" si="4"/>
        <v>6.20530562364673</v>
      </c>
      <c r="C48">
        <f t="shared" si="0"/>
        <v>12.41061124729346</v>
      </c>
      <c r="D48">
        <f t="shared" si="1"/>
        <v>1</v>
      </c>
      <c r="E48">
        <f t="shared" si="2"/>
        <v>6.089072956425567E-08</v>
      </c>
      <c r="F48">
        <f t="shared" si="5"/>
        <v>3.457868211004648E-06</v>
      </c>
    </row>
    <row r="49" spans="1:6" ht="12.75">
      <c r="A49">
        <f t="shared" si="3"/>
        <v>3.3940246479982785</v>
      </c>
      <c r="B49">
        <f t="shared" si="4"/>
        <v>6.043189688536238</v>
      </c>
      <c r="C49">
        <f t="shared" si="0"/>
        <v>12.086379377072475</v>
      </c>
      <c r="D49">
        <f t="shared" si="1"/>
        <v>1</v>
      </c>
      <c r="E49">
        <f t="shared" si="2"/>
        <v>5.8927091209533685E-08</v>
      </c>
      <c r="F49">
        <f t="shared" si="5"/>
        <v>3.540580429614165E-06</v>
      </c>
    </row>
    <row r="50" spans="1:6" ht="12.75">
      <c r="A50">
        <f t="shared" si="3"/>
        <v>3.503477055998223</v>
      </c>
      <c r="B50">
        <f t="shared" si="4"/>
        <v>5.881073753425746</v>
      </c>
      <c r="C50">
        <f aca="true" t="shared" si="6" ref="C50:C68">IF(A50&lt;rinner2,height,2*(slope*(A50-rinner2)+halfht))</f>
        <v>11.762147506851491</v>
      </c>
      <c r="D50">
        <f aca="true" t="shared" si="7" ref="D50:D68">IF(A50&lt;rinner2,(A50-rinner1)/(rinner2-rinner1),IF(A50&lt;router1,1,(1-(A50-router1)/(router2-router1))))</f>
        <v>1</v>
      </c>
      <c r="E50">
        <f aca="true" t="shared" si="8" ref="E50:E68">D50*4*PI()*0.0000001/2/PI()/A50</f>
        <v>5.708614522181174E-08</v>
      </c>
      <c r="F50">
        <f t="shared" si="5"/>
        <v>3.618534096073344E-06</v>
      </c>
    </row>
    <row r="51" spans="1:6" ht="12.75">
      <c r="A51">
        <f aca="true" t="shared" si="9" ref="A51:A68">A50+deltaR</f>
        <v>3.6129294639981677</v>
      </c>
      <c r="B51">
        <f t="shared" si="4"/>
        <v>5.7189578183152525</v>
      </c>
      <c r="C51">
        <f t="shared" si="6"/>
        <v>11.437915636630505</v>
      </c>
      <c r="D51">
        <f t="shared" si="7"/>
        <v>1</v>
      </c>
      <c r="E51">
        <f t="shared" si="8"/>
        <v>5.535674083674872E-08</v>
      </c>
      <c r="F51">
        <f aca="true" t="shared" si="10" ref="F51:F68">F50+deltaR*C50*E50</f>
        <v>3.692026535001769E-06</v>
      </c>
    </row>
    <row r="52" spans="1:6" ht="12.75">
      <c r="A52">
        <f t="shared" si="9"/>
        <v>3.7223818719981123</v>
      </c>
      <c r="B52">
        <f t="shared" si="4"/>
        <v>5.55684188320476</v>
      </c>
      <c r="C52">
        <f t="shared" si="6"/>
        <v>11.11368376640952</v>
      </c>
      <c r="D52">
        <f t="shared" si="7"/>
        <v>1</v>
      </c>
      <c r="E52">
        <f t="shared" si="8"/>
        <v>5.372903879220843E-08</v>
      </c>
      <c r="F52">
        <f t="shared" si="10"/>
        <v>3.7613280489894806E-06</v>
      </c>
    </row>
    <row r="53" spans="1:6" ht="12.75">
      <c r="A53">
        <f t="shared" si="9"/>
        <v>3.831834279998057</v>
      </c>
      <c r="B53">
        <f t="shared" si="4"/>
        <v>5.394725948094268</v>
      </c>
      <c r="C53">
        <f t="shared" si="6"/>
        <v>10.789451896188536</v>
      </c>
      <c r="D53">
        <f t="shared" si="7"/>
        <v>1</v>
      </c>
      <c r="E53">
        <f t="shared" si="8"/>
        <v>5.219432401969676E-08</v>
      </c>
      <c r="F53">
        <f t="shared" si="10"/>
        <v>3.826685096805236E-06</v>
      </c>
    </row>
    <row r="54" spans="1:6" ht="12.75">
      <c r="A54">
        <f t="shared" si="9"/>
        <v>3.9412866879980015</v>
      </c>
      <c r="B54">
        <f t="shared" si="4"/>
        <v>5.232610012983775</v>
      </c>
      <c r="C54">
        <f t="shared" si="6"/>
        <v>10.46522002596755</v>
      </c>
      <c r="D54">
        <f t="shared" si="7"/>
        <v>1</v>
      </c>
      <c r="E54">
        <f t="shared" si="8"/>
        <v>5.0744849545971786E-08</v>
      </c>
      <c r="F54">
        <f t="shared" si="10"/>
        <v>3.888323017693506E-06</v>
      </c>
    </row>
    <row r="55" spans="1:6" ht="12.75">
      <c r="A55">
        <f t="shared" si="9"/>
        <v>4.050739095997946</v>
      </c>
      <c r="B55">
        <f t="shared" si="4"/>
        <v>5.070494077873284</v>
      </c>
      <c r="C55">
        <f t="shared" si="6"/>
        <v>10.140988155746568</v>
      </c>
      <c r="D55">
        <f t="shared" si="7"/>
        <v>1</v>
      </c>
      <c r="E55">
        <f t="shared" si="8"/>
        <v>4.937370570165733E-08</v>
      </c>
      <c r="F55">
        <f t="shared" si="10"/>
        <v>3.94644837739289E-06</v>
      </c>
    </row>
    <row r="56" spans="1:6" ht="12.75">
      <c r="A56">
        <f t="shared" si="9"/>
        <v>4.16019150399789</v>
      </c>
      <c r="B56">
        <f t="shared" si="4"/>
        <v>4.908378142762793</v>
      </c>
      <c r="C56">
        <f t="shared" si="6"/>
        <v>9.816756285525585</v>
      </c>
      <c r="D56">
        <f t="shared" si="7"/>
        <v>1</v>
      </c>
      <c r="E56">
        <f t="shared" si="8"/>
        <v>4.807470997616399E-08</v>
      </c>
      <c r="F56">
        <f t="shared" si="10"/>
        <v>4.001250997203284E-06</v>
      </c>
    </row>
    <row r="57" spans="1:6" ht="12.75">
      <c r="A57">
        <f t="shared" si="9"/>
        <v>4.269643911997834</v>
      </c>
      <c r="B57">
        <f t="shared" si="4"/>
        <v>4.7462622076523004</v>
      </c>
      <c r="C57">
        <f t="shared" si="6"/>
        <v>9.492524415304601</v>
      </c>
      <c r="D57">
        <f t="shared" si="7"/>
        <v>1</v>
      </c>
      <c r="E57">
        <f t="shared" si="8"/>
        <v>4.684231381403815E-08</v>
      </c>
      <c r="F57">
        <f t="shared" si="10"/>
        <v>4.052905716134699E-06</v>
      </c>
    </row>
    <row r="58" spans="1:6" ht="12.75">
      <c r="A58">
        <f t="shared" si="9"/>
        <v>4.379096319997778</v>
      </c>
      <c r="B58">
        <f t="shared" si="4"/>
        <v>4.584146272541808</v>
      </c>
      <c r="C58">
        <f t="shared" si="6"/>
        <v>9.168292545083617</v>
      </c>
      <c r="D58">
        <f t="shared" si="7"/>
        <v>1</v>
      </c>
      <c r="E58">
        <f t="shared" si="8"/>
        <v>4.567152338866607E-08</v>
      </c>
      <c r="F58">
        <f t="shared" si="10"/>
        <v>4.101573927192478E-06</v>
      </c>
    </row>
    <row r="59" spans="1:6" ht="12.75">
      <c r="A59">
        <f t="shared" si="9"/>
        <v>4.488548727997722</v>
      </c>
      <c r="B59">
        <f t="shared" si="4"/>
        <v>4.422030337431317</v>
      </c>
      <c r="C59">
        <f t="shared" si="6"/>
        <v>8.844060674862634</v>
      </c>
      <c r="D59">
        <f t="shared" si="7"/>
        <v>1</v>
      </c>
      <c r="E59">
        <f t="shared" si="8"/>
        <v>4.4557831967487E-08</v>
      </c>
      <c r="F59">
        <f t="shared" si="10"/>
        <v>4.147404921670711E-06</v>
      </c>
    </row>
    <row r="60" spans="1:6" ht="12.75">
      <c r="A60">
        <f t="shared" si="9"/>
        <v>4.5980011359976665</v>
      </c>
      <c r="B60">
        <f t="shared" si="4"/>
        <v>4.259914402320826</v>
      </c>
      <c r="C60">
        <f t="shared" si="6"/>
        <v>8.519828804641651</v>
      </c>
      <c r="D60">
        <f t="shared" si="7"/>
        <v>1</v>
      </c>
      <c r="E60">
        <f t="shared" si="8"/>
        <v>4.349716193721739E-08</v>
      </c>
      <c r="F60">
        <f t="shared" si="10"/>
        <v>4.1905370695439566E-06</v>
      </c>
    </row>
    <row r="61" spans="1:6" ht="12.75">
      <c r="A61">
        <f t="shared" si="9"/>
        <v>4.707453543997611</v>
      </c>
      <c r="B61">
        <f t="shared" si="4"/>
        <v>4.097798467210334</v>
      </c>
      <c r="C61">
        <f t="shared" si="6"/>
        <v>8.195596934420667</v>
      </c>
      <c r="D61">
        <f t="shared" si="7"/>
        <v>1</v>
      </c>
      <c r="E61">
        <f t="shared" si="8"/>
        <v>4.248581491686018E-08</v>
      </c>
      <c r="F61">
        <f t="shared" si="10"/>
        <v>4.231098859366698E-06</v>
      </c>
    </row>
    <row r="62" spans="1:6" ht="12.75">
      <c r="A62">
        <f t="shared" si="9"/>
        <v>4.816905951997555</v>
      </c>
      <c r="B62">
        <f t="shared" si="4"/>
        <v>3.935682532099842</v>
      </c>
      <c r="C62">
        <f t="shared" si="6"/>
        <v>7.871365064199684</v>
      </c>
      <c r="D62">
        <f t="shared" si="7"/>
        <v>1</v>
      </c>
      <c r="E62">
        <f t="shared" si="8"/>
        <v>4.1520428672073343E-08</v>
      </c>
      <c r="F62">
        <f t="shared" si="10"/>
        <v>4.269209817279945E-06</v>
      </c>
    </row>
    <row r="63" spans="1:6" ht="12.75">
      <c r="A63">
        <f t="shared" si="9"/>
        <v>4.926358359997499</v>
      </c>
      <c r="B63">
        <f t="shared" si="4"/>
        <v>3.77356659698935</v>
      </c>
      <c r="C63">
        <f t="shared" si="6"/>
        <v>7.5471331939787</v>
      </c>
      <c r="D63">
        <f t="shared" si="7"/>
        <v>1</v>
      </c>
      <c r="E63">
        <f t="shared" si="8"/>
        <v>4.0597939773123116E-08</v>
      </c>
      <c r="F63">
        <f t="shared" si="10"/>
        <v>4.3049813216069505E-06</v>
      </c>
    </row>
    <row r="64" spans="1:6" ht="12.75">
      <c r="A64">
        <f t="shared" si="9"/>
        <v>5.035810767997443</v>
      </c>
      <c r="B64">
        <f t="shared" si="4"/>
        <v>3.6114506618788584</v>
      </c>
      <c r="C64">
        <f t="shared" si="6"/>
        <v>7.222901323757717</v>
      </c>
      <c r="D64">
        <f t="shared" si="7"/>
        <v>1</v>
      </c>
      <c r="E64">
        <f t="shared" si="8"/>
        <v>3.9715551122571804E-08</v>
      </c>
      <c r="F64">
        <f t="shared" si="10"/>
        <v>4.338517326956659E-06</v>
      </c>
    </row>
    <row r="65" spans="1:6" ht="12.75">
      <c r="A65">
        <f t="shared" si="9"/>
        <v>5.145263175997387</v>
      </c>
      <c r="B65">
        <f t="shared" si="4"/>
        <v>3.4493347267683667</v>
      </c>
      <c r="C65">
        <f t="shared" si="6"/>
        <v>6.898669453536733</v>
      </c>
      <c r="D65">
        <f t="shared" si="7"/>
        <v>0.815961843409824</v>
      </c>
      <c r="E65">
        <f t="shared" si="8"/>
        <v>3.171701098658197E-08</v>
      </c>
      <c r="F65">
        <f t="shared" si="10"/>
        <v>4.369915009635893E-06</v>
      </c>
    </row>
    <row r="66" spans="1:6" ht="12.75">
      <c r="A66">
        <f t="shared" si="9"/>
        <v>5.254715583997331</v>
      </c>
      <c r="B66">
        <f t="shared" si="4"/>
        <v>3.287218791657875</v>
      </c>
      <c r="C66">
        <f t="shared" si="6"/>
        <v>6.57443758331575</v>
      </c>
      <c r="D66">
        <f t="shared" si="7"/>
        <v>0.543143704539841</v>
      </c>
      <c r="E66">
        <f t="shared" si="8"/>
        <v>2.0672620462805882E-08</v>
      </c>
      <c r="F66">
        <f t="shared" si="10"/>
        <v>4.393863762906142E-06</v>
      </c>
    </row>
    <row r="67" spans="1:6" ht="12.75">
      <c r="A67">
        <f t="shared" si="9"/>
        <v>5.364167991997276</v>
      </c>
      <c r="B67">
        <f t="shared" si="4"/>
        <v>3.1251028565473833</v>
      </c>
      <c r="C67">
        <f t="shared" si="6"/>
        <v>6.250205713094767</v>
      </c>
      <c r="D67">
        <f t="shared" si="7"/>
        <v>0.2703255656698579</v>
      </c>
      <c r="E67">
        <f t="shared" si="8"/>
        <v>1.007893735144584E-08</v>
      </c>
      <c r="F67">
        <f t="shared" si="10"/>
        <v>4.408739533031157E-06</v>
      </c>
    </row>
    <row r="68" spans="1:6" ht="12.75">
      <c r="A68">
        <f t="shared" si="9"/>
        <v>5.47362039999722</v>
      </c>
      <c r="B68">
        <f t="shared" si="4"/>
        <v>2.962986921436892</v>
      </c>
      <c r="C68">
        <f t="shared" si="6"/>
        <v>5.925973842873784</v>
      </c>
      <c r="D68">
        <f t="shared" si="7"/>
        <v>-0.002492573200125303</v>
      </c>
      <c r="E68">
        <f t="shared" si="8"/>
        <v>-9.107585173888087E-11</v>
      </c>
      <c r="F68">
        <f t="shared" si="10"/>
        <v>4.415634534736407E-06</v>
      </c>
    </row>
    <row r="69" spans="1:6" ht="12.75">
      <c r="A69">
        <f>router2</f>
        <v>5.47262039999722</v>
      </c>
      <c r="B69">
        <f t="shared" si="4"/>
        <v>0</v>
      </c>
      <c r="C69">
        <v>0</v>
      </c>
      <c r="D69">
        <v>0</v>
      </c>
      <c r="E69">
        <v>0</v>
      </c>
      <c r="F69">
        <f>F68</f>
        <v>4.415634534736407E-06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2">
      <selection activeCell="D46" sqref="D46"/>
    </sheetView>
  </sheetViews>
  <sheetFormatPr defaultColWidth="11.00390625" defaultRowHeight="12"/>
  <cols>
    <col min="2" max="2" width="12.00390625" style="0" bestFit="1" customWidth="1"/>
    <col min="10" max="11" width="12.00390625" style="0" bestFit="1" customWidth="1"/>
    <col min="13" max="13" width="12.00390625" style="0" bestFit="1" customWidth="1"/>
  </cols>
  <sheetData>
    <row r="1" spans="1:2" ht="12.75">
      <c r="A1" t="s">
        <v>155</v>
      </c>
      <c r="B1" s="16">
        <f>Itf</f>
        <v>12783867.484731168</v>
      </c>
    </row>
    <row r="2" spans="1:4" ht="12.75">
      <c r="A2" t="s">
        <v>259</v>
      </c>
      <c r="B2" s="8">
        <f>drtf</f>
        <v>0.3285714285714286</v>
      </c>
      <c r="D2">
        <f>2*B2</f>
        <v>0.6571428571428573</v>
      </c>
    </row>
    <row r="3" spans="1:2" ht="12.75">
      <c r="A3" t="s">
        <v>260</v>
      </c>
      <c r="B3" s="8">
        <f>Base!B23</f>
        <v>5.870846938775511</v>
      </c>
    </row>
    <row r="4" spans="1:4" ht="12.75">
      <c r="A4" t="s">
        <v>261</v>
      </c>
      <c r="B4" s="8">
        <f>Base!B25*TF_Heating!B2</f>
        <v>0.7571428571428572</v>
      </c>
      <c r="D4">
        <f>2*B4</f>
        <v>1.5142857142857145</v>
      </c>
    </row>
    <row r="5" spans="1:4" ht="12.75">
      <c r="A5" t="s">
        <v>262</v>
      </c>
      <c r="B5" s="8">
        <f>Base!B24</f>
        <v>4.326158163265306</v>
      </c>
      <c r="D5" t="s">
        <v>54</v>
      </c>
    </row>
    <row r="6" spans="1:2" ht="12.75">
      <c r="A6" t="s">
        <v>57</v>
      </c>
      <c r="B6" s="8">
        <f>Base!B16</f>
        <v>0.11503513263770881</v>
      </c>
    </row>
    <row r="7" spans="1:2" ht="12.75">
      <c r="A7" t="s">
        <v>270</v>
      </c>
      <c r="B7" s="8">
        <v>35</v>
      </c>
    </row>
    <row r="8" spans="1:2" ht="12.75">
      <c r="A8" t="s">
        <v>271</v>
      </c>
      <c r="B8" s="8">
        <v>100</v>
      </c>
    </row>
    <row r="9" spans="1:2" ht="12.75">
      <c r="A9" t="s">
        <v>272</v>
      </c>
      <c r="B9" s="8">
        <f>B7+(B8-B7)/2</f>
        <v>67.5</v>
      </c>
    </row>
    <row r="10" spans="1:2" ht="12.75">
      <c r="A10" t="s">
        <v>263</v>
      </c>
      <c r="B10" s="8">
        <v>10</v>
      </c>
    </row>
    <row r="11" spans="1:6" ht="12.75">
      <c r="A11" t="s">
        <v>264</v>
      </c>
      <c r="B11" s="8">
        <f>PI()*B2^2</f>
        <v>0.33916377831612265</v>
      </c>
      <c r="F11" t="s">
        <v>307</v>
      </c>
    </row>
    <row r="12" spans="1:7" ht="12.75">
      <c r="A12" t="s">
        <v>265</v>
      </c>
      <c r="B12" s="8">
        <f>PI()*B4^2</f>
        <v>1.8009660742721898</v>
      </c>
      <c r="F12" t="s">
        <v>308</v>
      </c>
      <c r="G12" s="51">
        <f>400/PI()*1.6^2</f>
        <v>325.9493234522017</v>
      </c>
    </row>
    <row r="13" spans="1:7" ht="12.75">
      <c r="A13" t="s">
        <v>280</v>
      </c>
      <c r="B13" s="8">
        <f>B11*B6</f>
        <v>0.03901575022450164</v>
      </c>
      <c r="F13" t="s">
        <v>309</v>
      </c>
      <c r="G13" s="51">
        <f>265/(6800000/10800/(1-0.33)*0.0001)</f>
        <v>2819.911764705882</v>
      </c>
    </row>
    <row r="14" spans="1:7" ht="12.75">
      <c r="A14" t="s">
        <v>306</v>
      </c>
      <c r="B14" s="8">
        <v>500</v>
      </c>
      <c r="F14" t="s">
        <v>310</v>
      </c>
      <c r="G14" s="51">
        <f>432/PI()/0.275^2</f>
        <v>1818.3123415721989</v>
      </c>
    </row>
    <row r="15" spans="1:7" ht="12.75">
      <c r="A15" t="s">
        <v>288</v>
      </c>
      <c r="B15" s="8">
        <f>B14*CSAcenter</f>
        <v>169.58188915806133</v>
      </c>
      <c r="G15" s="51"/>
    </row>
    <row r="16" spans="1:7" ht="12.75">
      <c r="A16" t="s">
        <v>287</v>
      </c>
      <c r="B16" s="7">
        <f>SQRT(4*CSAH20/B15/PI())</f>
        <v>0.01711533113370498</v>
      </c>
      <c r="G16" s="51"/>
    </row>
    <row r="17" spans="1:7" ht="12.75">
      <c r="A17" t="s">
        <v>290</v>
      </c>
      <c r="B17" s="8">
        <f>PI()*B16</f>
        <v>0.05376939855340423</v>
      </c>
      <c r="G17" s="51"/>
    </row>
    <row r="18" spans="1:2" ht="12.75">
      <c r="A18" t="s">
        <v>289</v>
      </c>
      <c r="B18" s="8">
        <f>B17*B15</f>
        <v>9.118316185579019</v>
      </c>
    </row>
    <row r="19" spans="1:2" ht="12.75">
      <c r="A19" t="s">
        <v>273</v>
      </c>
      <c r="B19" s="8">
        <f>B6*B11*B10</f>
        <v>0.39015750224501644</v>
      </c>
    </row>
    <row r="20" spans="1:2" ht="12.75">
      <c r="A20" t="s">
        <v>205</v>
      </c>
      <c r="B20" s="8">
        <f>Xnwall</f>
        <v>1.4999999438575806</v>
      </c>
    </row>
    <row r="21" spans="1:2" ht="12.75">
      <c r="A21" t="s">
        <v>274</v>
      </c>
      <c r="B21" s="8">
        <f>4229.2-3.857*B9+0.06786*B9^2-0.0003745*B9^3+0.000000819*B9^4</f>
        <v>4179.865280429687</v>
      </c>
    </row>
    <row r="22" spans="1:2" ht="12.75">
      <c r="A22" t="s">
        <v>275</v>
      </c>
      <c r="B22" s="16">
        <v>0.000524</v>
      </c>
    </row>
    <row r="23" spans="1:2" ht="12.75">
      <c r="A23" t="s">
        <v>276</v>
      </c>
      <c r="B23" s="8">
        <f>1005.4-0.539*B9+0.0026713*B9^2</f>
        <v>981.1886106249999</v>
      </c>
    </row>
    <row r="24" spans="1:2" ht="12.75">
      <c r="A24" t="s">
        <v>277</v>
      </c>
      <c r="B24" s="8">
        <f>0.55183+0.0025297*B9-0.0000172*B9^2+0.0000000531*B9^3-0.0000000000813*B9^4</f>
        <v>0.6588602486992188</v>
      </c>
    </row>
    <row r="25" spans="1:2" ht="12.75">
      <c r="A25" t="s">
        <v>278</v>
      </c>
      <c r="B25" s="8">
        <f>13.527-0.43243*B9+0.00704*B9^2-0.0000618*B9^3+0.000000294*B9^4-0.000000000711*B9^5+0.000000000000682*B9^6</f>
        <v>2.579056704760255</v>
      </c>
    </row>
    <row r="26" spans="1:2" ht="12.75">
      <c r="A26" t="s">
        <v>293</v>
      </c>
      <c r="B26" s="8">
        <f>B23*B10*B16/B22</f>
        <v>320484.1216692136</v>
      </c>
    </row>
    <row r="27" spans="1:2" ht="12.75">
      <c r="A27" t="s">
        <v>303</v>
      </c>
      <c r="B27">
        <f>FlowH20*DensH20</f>
        <v>382.81809755270797</v>
      </c>
    </row>
    <row r="28" spans="1:2" ht="12.75">
      <c r="A28" t="s">
        <v>292</v>
      </c>
      <c r="B28">
        <f>1/B27/SHH20</f>
        <v>6.249499748321964E-07</v>
      </c>
    </row>
    <row r="29" spans="1:2" ht="12.75">
      <c r="A29" t="s">
        <v>282</v>
      </c>
      <c r="B29" s="8">
        <v>8940</v>
      </c>
    </row>
    <row r="30" spans="1:2" ht="12.75">
      <c r="A30" t="s">
        <v>283</v>
      </c>
      <c r="B30" s="8">
        <v>386</v>
      </c>
    </row>
    <row r="31" spans="1:2" ht="12.75">
      <c r="A31" t="s">
        <v>284</v>
      </c>
      <c r="B31" s="49">
        <v>0.0041</v>
      </c>
    </row>
    <row r="32" spans="1:2" ht="12.75">
      <c r="A32" t="s">
        <v>285</v>
      </c>
      <c r="B32" s="16">
        <f>0.0000000172/0.87</f>
        <v>1.9770114942528733E-08</v>
      </c>
    </row>
    <row r="33" ht="12.75">
      <c r="B33" s="8"/>
    </row>
    <row r="34" spans="1:18" ht="12.75">
      <c r="A34" t="s">
        <v>266</v>
      </c>
      <c r="B34" t="s">
        <v>267</v>
      </c>
      <c r="C34" t="s">
        <v>119</v>
      </c>
      <c r="D34" t="s">
        <v>268</v>
      </c>
      <c r="E34" t="s">
        <v>269</v>
      </c>
      <c r="F34" t="s">
        <v>279</v>
      </c>
      <c r="G34" t="s">
        <v>281</v>
      </c>
      <c r="H34" t="s">
        <v>286</v>
      </c>
      <c r="I34" t="s">
        <v>291</v>
      </c>
      <c r="J34" t="s">
        <v>294</v>
      </c>
      <c r="K34" t="s">
        <v>295</v>
      </c>
      <c r="L34" t="s">
        <v>300</v>
      </c>
      <c r="M34" t="s">
        <v>296</v>
      </c>
      <c r="N34" t="s">
        <v>297</v>
      </c>
      <c r="O34" t="s">
        <v>298</v>
      </c>
      <c r="P34" t="s">
        <v>299</v>
      </c>
      <c r="Q34" t="s">
        <v>301</v>
      </c>
      <c r="R34" t="s">
        <v>302</v>
      </c>
    </row>
    <row r="35" spans="1:18" ht="12.75">
      <c r="A35">
        <v>1</v>
      </c>
      <c r="B35" t="str">
        <f>IF(OR(A35=1,A35=8),"End","Center")</f>
        <v>End</v>
      </c>
      <c r="C35" s="8">
        <f>B4</f>
        <v>0.7571428571428572</v>
      </c>
      <c r="D35" s="8">
        <f>B5-D36</f>
        <v>3.5838506743072154</v>
      </c>
      <c r="E35" s="16">
        <v>0</v>
      </c>
      <c r="F35" s="8">
        <f>PI()*C35^2-CSAH20</f>
        <v>1.7619503240476881</v>
      </c>
      <c r="G35" s="16">
        <f>F35*D35*DensCu</f>
        <v>56452.22770099107</v>
      </c>
      <c r="H35" s="16">
        <f>G35*SHCu</f>
        <v>21790559.89258255</v>
      </c>
      <c r="I35" s="16">
        <f>WP*D35</f>
        <v>32.67868361023376</v>
      </c>
      <c r="J35" s="16">
        <f>1/(0.023*Reynolds^0.8*PrandtLH20^0.4*TconH20*PI()*D35)/Npassage</f>
        <v>9.319015631627762E-07</v>
      </c>
      <c r="K35" s="16">
        <f>Rmassflow+J35</f>
        <v>1.5568515379949725E-06</v>
      </c>
      <c r="L35" s="8">
        <f>B7</f>
        <v>35</v>
      </c>
      <c r="M35" s="16">
        <f aca="true" t="shared" si="0" ref="M35:M42">ResCu*D35/F35*(1+CoeffCu*(L35-20))</f>
        <v>4.268599791784129E-08</v>
      </c>
      <c r="N35" s="16">
        <f>Itf^2*M35</f>
        <v>6976056.015896372</v>
      </c>
      <c r="O35" s="16">
        <f aca="true" t="shared" si="1" ref="O35:O42">E35+N35</f>
        <v>6976056.015896372</v>
      </c>
      <c r="P35" s="8">
        <f>Rmassflow*O35</f>
        <v>4.35968603156243</v>
      </c>
      <c r="Q35" s="8">
        <f>J35*O35</f>
        <v>6.500997505924918</v>
      </c>
      <c r="R35" s="8">
        <f>L35+(P35/2)+Q35</f>
        <v>43.68084052170613</v>
      </c>
    </row>
    <row r="36" spans="1:18" ht="12.75">
      <c r="A36">
        <v>2</v>
      </c>
      <c r="B36" t="s">
        <v>235</v>
      </c>
      <c r="C36" s="8">
        <f>(B2+B4)/2</f>
        <v>0.5428571428571429</v>
      </c>
      <c r="D36" s="8">
        <f>(B4-B2)*TAN(60*PI()/180)</f>
        <v>0.7423074889580901</v>
      </c>
      <c r="E36" s="16">
        <f aca="true" t="shared" si="2" ref="E36:E41">Xnwall*2*PI()*C36*D36*1000000</f>
        <v>3797873.6286772355</v>
      </c>
      <c r="F36" s="8">
        <f aca="true" t="shared" si="3" ref="F36:F42">PI()*C36^2-CSAH20</f>
        <v>0.8867923705476743</v>
      </c>
      <c r="G36" s="16">
        <f aca="true" t="shared" si="4" ref="G36:G42">F36*D36*DensCu</f>
        <v>5884.95720320742</v>
      </c>
      <c r="H36" s="16">
        <f aca="true" t="shared" si="5" ref="H36:H42">G36*SHCu</f>
        <v>2271593.4804380643</v>
      </c>
      <c r="I36" s="16">
        <f aca="true" t="shared" si="6" ref="I36:I42">WP*D36</f>
        <v>6.768594391243072</v>
      </c>
      <c r="J36" s="16">
        <f aca="true" t="shared" si="7" ref="J36:J42">1/(0.023*Reynolds^0.8*PrandtLH20^0.4*TconH20*PI()*D36)/Npassage</f>
        <v>4.499208340490587E-06</v>
      </c>
      <c r="K36" s="16">
        <f aca="true" t="shared" si="8" ref="K36:K42">Rmassflow+J36</f>
        <v>5.124158315322784E-06</v>
      </c>
      <c r="L36" s="8">
        <f>L35+P35</f>
        <v>39.35968603156243</v>
      </c>
      <c r="M36" s="16">
        <f t="shared" si="0"/>
        <v>1.786254466069953E-08</v>
      </c>
      <c r="N36" s="16">
        <f>Itf^2*M36</f>
        <v>2919226.8710533716</v>
      </c>
      <c r="O36" s="16">
        <f t="shared" si="1"/>
        <v>6717100.4997306075</v>
      </c>
      <c r="P36" s="8">
        <f aca="true" t="shared" si="9" ref="P36:P42">Rmassflow*O36</f>
        <v>4.197851788251977</v>
      </c>
      <c r="Q36" s="8">
        <f>J36*O36</f>
        <v>30.22163459230144</v>
      </c>
      <c r="R36" s="8">
        <f>L36+(P36/2)+Q36</f>
        <v>71.68024651798987</v>
      </c>
    </row>
    <row r="37" spans="1:18" ht="12.75">
      <c r="A37">
        <v>3</v>
      </c>
      <c r="B37" t="str">
        <f aca="true" t="shared" si="10" ref="B37:B42">IF(OR(A37=1,A37=8),"End","Center")</f>
        <v>Center</v>
      </c>
      <c r="C37" s="8">
        <f>B2</f>
        <v>0.3285714285714286</v>
      </c>
      <c r="D37" s="8">
        <f>B3/4</f>
        <v>1.4677117346938777</v>
      </c>
      <c r="E37" s="16">
        <f t="shared" si="2"/>
        <v>4545081.484568635</v>
      </c>
      <c r="F37" s="8">
        <f t="shared" si="3"/>
        <v>0.300148028091621</v>
      </c>
      <c r="G37" s="16">
        <f t="shared" si="4"/>
        <v>3938.34519979918</v>
      </c>
      <c r="H37" s="16">
        <f t="shared" si="5"/>
        <v>1520201.2471224836</v>
      </c>
      <c r="I37" s="16">
        <f t="shared" si="6"/>
        <v>13.383059666223444</v>
      </c>
      <c r="J37" s="16">
        <f t="shared" si="7"/>
        <v>2.275512259377996E-06</v>
      </c>
      <c r="K37" s="16">
        <f t="shared" si="8"/>
        <v>2.900462234210192E-06</v>
      </c>
      <c r="L37" s="8">
        <f aca="true" t="shared" si="11" ref="L37:L42">L36+P36</f>
        <v>43.55753781981441</v>
      </c>
      <c r="M37" s="16">
        <f t="shared" si="0"/>
        <v>1.0601251208624991E-07</v>
      </c>
      <c r="N37" s="16">
        <f aca="true" t="shared" si="12" ref="N37:N42">Itf^2*M37</f>
        <v>17325335.20999082</v>
      </c>
      <c r="O37" s="16">
        <f t="shared" si="1"/>
        <v>21870416.694559455</v>
      </c>
      <c r="P37" s="8">
        <f t="shared" si="9"/>
        <v>13.667916362834578</v>
      </c>
      <c r="Q37" s="8">
        <f aca="true" t="shared" si="13" ref="Q37:Q42">J37*O37</f>
        <v>49.766401306175226</v>
      </c>
      <c r="R37" s="8">
        <f aca="true" t="shared" si="14" ref="R37:R42">L37+(P37/2)+Q37</f>
        <v>100.15789730740693</v>
      </c>
    </row>
    <row r="38" spans="1:18" ht="12.75">
      <c r="A38">
        <v>4</v>
      </c>
      <c r="B38" t="str">
        <f t="shared" si="10"/>
        <v>Center</v>
      </c>
      <c r="C38" s="8">
        <f aca="true" t="shared" si="15" ref="C38:D40">C37</f>
        <v>0.3285714285714286</v>
      </c>
      <c r="D38" s="8">
        <f t="shared" si="15"/>
        <v>1.4677117346938777</v>
      </c>
      <c r="E38" s="16">
        <f t="shared" si="2"/>
        <v>4545081.484568635</v>
      </c>
      <c r="F38" s="8">
        <f t="shared" si="3"/>
        <v>0.300148028091621</v>
      </c>
      <c r="G38" s="16">
        <f t="shared" si="4"/>
        <v>3938.34519979918</v>
      </c>
      <c r="H38" s="16">
        <f t="shared" si="5"/>
        <v>1520201.2471224836</v>
      </c>
      <c r="I38" s="16">
        <f t="shared" si="6"/>
        <v>13.383059666223444</v>
      </c>
      <c r="J38" s="16">
        <f t="shared" si="7"/>
        <v>2.275512259377996E-06</v>
      </c>
      <c r="K38" s="16">
        <f t="shared" si="8"/>
        <v>2.900462234210192E-06</v>
      </c>
      <c r="L38" s="8">
        <f t="shared" si="11"/>
        <v>57.22545418264899</v>
      </c>
      <c r="M38" s="16">
        <f t="shared" si="0"/>
        <v>1.1143003348778985E-07</v>
      </c>
      <c r="N38" s="16">
        <f t="shared" si="12"/>
        <v>18210705.931256395</v>
      </c>
      <c r="O38" s="16">
        <f t="shared" si="1"/>
        <v>22755787.41582503</v>
      </c>
      <c r="P38" s="8">
        <f t="shared" si="9"/>
        <v>14.221228772806665</v>
      </c>
      <c r="Q38" s="8">
        <f t="shared" si="13"/>
        <v>51.781073236509386</v>
      </c>
      <c r="R38" s="8">
        <f t="shared" si="14"/>
        <v>116.1171418055617</v>
      </c>
    </row>
    <row r="39" spans="1:18" ht="12.75">
      <c r="A39">
        <v>5</v>
      </c>
      <c r="B39" t="str">
        <f t="shared" si="10"/>
        <v>Center</v>
      </c>
      <c r="C39" s="8">
        <f t="shared" si="15"/>
        <v>0.3285714285714286</v>
      </c>
      <c r="D39" s="8">
        <f t="shared" si="15"/>
        <v>1.4677117346938777</v>
      </c>
      <c r="E39" s="16">
        <f t="shared" si="2"/>
        <v>4545081.484568635</v>
      </c>
      <c r="F39" s="8">
        <f t="shared" si="3"/>
        <v>0.300148028091621</v>
      </c>
      <c r="G39" s="16">
        <f t="shared" si="4"/>
        <v>3938.34519979918</v>
      </c>
      <c r="H39" s="16">
        <f t="shared" si="5"/>
        <v>1520201.2471224836</v>
      </c>
      <c r="I39" s="16">
        <f t="shared" si="6"/>
        <v>13.383059666223444</v>
      </c>
      <c r="J39" s="16">
        <f t="shared" si="7"/>
        <v>2.275512259377996E-06</v>
      </c>
      <c r="K39" s="16">
        <f t="shared" si="8"/>
        <v>2.900462234210192E-06</v>
      </c>
      <c r="L39" s="8">
        <f t="shared" si="11"/>
        <v>71.44668295545566</v>
      </c>
      <c r="M39" s="16">
        <f t="shared" si="0"/>
        <v>1.1706687009021237E-07</v>
      </c>
      <c r="N39" s="16">
        <f t="shared" si="12"/>
        <v>19131918.736603953</v>
      </c>
      <c r="O39" s="16">
        <f t="shared" si="1"/>
        <v>23677000.221172586</v>
      </c>
      <c r="P39" s="8">
        <f t="shared" si="9"/>
        <v>14.796940692323716</v>
      </c>
      <c r="Q39" s="8">
        <f t="shared" si="13"/>
        <v>53.87730426857374</v>
      </c>
      <c r="R39" s="8">
        <f t="shared" si="14"/>
        <v>132.72245757019124</v>
      </c>
    </row>
    <row r="40" spans="1:18" ht="12.75">
      <c r="A40">
        <v>6</v>
      </c>
      <c r="B40" t="str">
        <f t="shared" si="10"/>
        <v>Center</v>
      </c>
      <c r="C40" s="8">
        <f t="shared" si="15"/>
        <v>0.3285714285714286</v>
      </c>
      <c r="D40" s="8">
        <f t="shared" si="15"/>
        <v>1.4677117346938777</v>
      </c>
      <c r="E40" s="16">
        <f t="shared" si="2"/>
        <v>4545081.484568635</v>
      </c>
      <c r="F40" s="8">
        <f t="shared" si="3"/>
        <v>0.300148028091621</v>
      </c>
      <c r="G40" s="16">
        <f t="shared" si="4"/>
        <v>3938.34519979918</v>
      </c>
      <c r="H40" s="16">
        <f t="shared" si="5"/>
        <v>1520201.2471224836</v>
      </c>
      <c r="I40" s="16">
        <f t="shared" si="6"/>
        <v>13.383059666223444</v>
      </c>
      <c r="J40" s="16">
        <f t="shared" si="7"/>
        <v>2.275512259377996E-06</v>
      </c>
      <c r="K40" s="16">
        <f t="shared" si="8"/>
        <v>2.900462234210192E-06</v>
      </c>
      <c r="L40" s="8">
        <f t="shared" si="11"/>
        <v>86.24362364777937</v>
      </c>
      <c r="M40" s="16">
        <f t="shared" si="0"/>
        <v>1.2293190033695557E-07</v>
      </c>
      <c r="N40" s="16">
        <f t="shared" si="12"/>
        <v>20090424.60578749</v>
      </c>
      <c r="O40" s="16">
        <f t="shared" si="1"/>
        <v>24635506.090356126</v>
      </c>
      <c r="P40" s="8">
        <f t="shared" si="9"/>
        <v>15.395958911146481</v>
      </c>
      <c r="Q40" s="8">
        <f t="shared" si="13"/>
        <v>56.05839612458664</v>
      </c>
      <c r="R40" s="8">
        <f t="shared" si="14"/>
        <v>149.99999922793927</v>
      </c>
    </row>
    <row r="41" spans="1:18" ht="12.75">
      <c r="A41">
        <v>7</v>
      </c>
      <c r="B41" t="s">
        <v>235</v>
      </c>
      <c r="C41" s="8">
        <f>C36</f>
        <v>0.5428571428571429</v>
      </c>
      <c r="D41" s="8">
        <f>D36</f>
        <v>0.7423074889580901</v>
      </c>
      <c r="E41" s="16">
        <f t="shared" si="2"/>
        <v>3797873.6286772355</v>
      </c>
      <c r="F41" s="8">
        <f t="shared" si="3"/>
        <v>0.8867923705476743</v>
      </c>
      <c r="G41" s="16">
        <f t="shared" si="4"/>
        <v>5884.95720320742</v>
      </c>
      <c r="H41" s="16">
        <f t="shared" si="5"/>
        <v>2271593.4804380643</v>
      </c>
      <c r="I41" s="16">
        <f t="shared" si="6"/>
        <v>6.768594391243072</v>
      </c>
      <c r="J41" s="16">
        <f t="shared" si="7"/>
        <v>4.499208340490587E-06</v>
      </c>
      <c r="K41" s="16">
        <f t="shared" si="8"/>
        <v>5.124158315322784E-06</v>
      </c>
      <c r="L41" s="8">
        <f t="shared" si="11"/>
        <v>101.63958255892585</v>
      </c>
      <c r="M41" s="16">
        <f t="shared" si="0"/>
        <v>2.2088285195716992E-08</v>
      </c>
      <c r="N41" s="16">
        <f t="shared" si="12"/>
        <v>3609828.1014068155</v>
      </c>
      <c r="O41" s="16">
        <f t="shared" si="1"/>
        <v>7407701.73008405</v>
      </c>
      <c r="P41" s="8">
        <f t="shared" si="9"/>
        <v>4.629443009780445</v>
      </c>
      <c r="Q41" s="8">
        <f t="shared" si="13"/>
        <v>33.328793407860715</v>
      </c>
      <c r="R41" s="8">
        <f t="shared" si="14"/>
        <v>137.2830974716768</v>
      </c>
    </row>
    <row r="42" spans="1:18" ht="12.75">
      <c r="A42">
        <v>8</v>
      </c>
      <c r="B42" t="str">
        <f t="shared" si="10"/>
        <v>End</v>
      </c>
      <c r="C42" s="8">
        <f>C35</f>
        <v>0.7571428571428572</v>
      </c>
      <c r="D42" s="8">
        <f>D35</f>
        <v>3.5838506743072154</v>
      </c>
      <c r="E42" s="16">
        <v>0</v>
      </c>
      <c r="F42" s="8">
        <f t="shared" si="3"/>
        <v>1.7619503240476881</v>
      </c>
      <c r="G42" s="16">
        <f t="shared" si="4"/>
        <v>56452.22770099107</v>
      </c>
      <c r="H42" s="16">
        <f t="shared" si="5"/>
        <v>21790559.89258255</v>
      </c>
      <c r="I42" s="16">
        <f t="shared" si="6"/>
        <v>32.67868361023376</v>
      </c>
      <c r="J42" s="16">
        <f t="shared" si="7"/>
        <v>9.319015631627762E-07</v>
      </c>
      <c r="K42" s="16">
        <f t="shared" si="8"/>
        <v>1.5568515379949725E-06</v>
      </c>
      <c r="L42" s="8">
        <f t="shared" si="11"/>
        <v>106.2690255687063</v>
      </c>
      <c r="M42" s="16">
        <f t="shared" si="0"/>
        <v>5.4436329388244236E-08</v>
      </c>
      <c r="N42" s="16">
        <f t="shared" si="12"/>
        <v>8896380.584637914</v>
      </c>
      <c r="O42" s="16">
        <f t="shared" si="1"/>
        <v>8896380.584637914</v>
      </c>
      <c r="P42" s="8">
        <f t="shared" si="9"/>
        <v>5.559792822467105</v>
      </c>
      <c r="Q42" s="8">
        <f t="shared" si="13"/>
        <v>8.290550973315044</v>
      </c>
      <c r="R42" s="8">
        <f t="shared" si="14"/>
        <v>117.3394729532549</v>
      </c>
    </row>
    <row r="43" spans="4:7" ht="12.75">
      <c r="D43" s="8">
        <f>SUM(D35:D42)</f>
        <v>14.52316326530612</v>
      </c>
      <c r="F43" s="50" t="s">
        <v>304</v>
      </c>
      <c r="G43" s="16">
        <f>SUM(G35:G42)</f>
        <v>140427.7506075937</v>
      </c>
    </row>
    <row r="44" spans="11:18" ht="12.75">
      <c r="K44" s="50" t="s">
        <v>305</v>
      </c>
      <c r="L44" s="8">
        <f>L42+P42</f>
        <v>111.8288183911734</v>
      </c>
      <c r="M44" s="50" t="s">
        <v>304</v>
      </c>
      <c r="N44" s="16">
        <f>SUM(N35:N43)</f>
        <v>97159876.05663313</v>
      </c>
      <c r="Q44" s="50" t="s">
        <v>305</v>
      </c>
      <c r="R44" s="8">
        <f>MAX(R35:R42)</f>
        <v>149.99999922793927</v>
      </c>
    </row>
    <row r="45" ht="12.75">
      <c r="D45">
        <f>D43/2</f>
        <v>7.26158163265306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F35" sqref="F35:F36"/>
    </sheetView>
  </sheetViews>
  <sheetFormatPr defaultColWidth="11.00390625" defaultRowHeight="12"/>
  <sheetData>
    <row r="1" spans="1:3" ht="12.75">
      <c r="A1" t="s">
        <v>97</v>
      </c>
      <c r="B1">
        <f>mu0*Itf/2/PI()/drtf</f>
        <v>7.781484555923317</v>
      </c>
      <c r="C1" t="s">
        <v>106</v>
      </c>
    </row>
    <row r="2" spans="1:2" ht="12.75">
      <c r="A2" t="s">
        <v>98</v>
      </c>
      <c r="B2">
        <v>0.34</v>
      </c>
    </row>
    <row r="3" spans="1:2" ht="12.75">
      <c r="A3" t="s">
        <v>99</v>
      </c>
      <c r="B3">
        <f>-1*Bmax^2/2/mu0*(3-2*Nu)/2/(1-Nu)</f>
        <v>-42344705.19762424</v>
      </c>
    </row>
    <row r="4" spans="1:2" ht="12.75">
      <c r="A4" t="s">
        <v>100</v>
      </c>
      <c r="B4">
        <f>-1*Bmax^2/2/mu0*((3-2*Nu)/2/(1-Nu)-(1+2*Nu)/2/(1-Nu))</f>
        <v>-11681297.985551508</v>
      </c>
    </row>
    <row r="5" spans="1:2" ht="12.75">
      <c r="A5" t="s">
        <v>101</v>
      </c>
      <c r="B5">
        <f>-1*Bmax^2/2/mu0*Nu/(1-Nu)</f>
        <v>-12411379.109648485</v>
      </c>
    </row>
    <row r="6" spans="1:2" ht="12.75">
      <c r="A6" t="s">
        <v>102</v>
      </c>
      <c r="B6">
        <f>SQRT(((B3-B4)^2+(B4-B5)^2+(B5-B3)^2)/2)</f>
        <v>30304963.05054872</v>
      </c>
    </row>
    <row r="7" spans="1:2" ht="12.75">
      <c r="A7" t="s">
        <v>103</v>
      </c>
      <c r="B7">
        <v>2</v>
      </c>
    </row>
    <row r="8" spans="1:3" ht="12.75">
      <c r="A8" t="s">
        <v>104</v>
      </c>
      <c r="B8">
        <f>B7*B6/1000000</f>
        <v>60.60992610109744</v>
      </c>
      <c r="C8" t="s">
        <v>105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9"/>
  <sheetViews>
    <sheetView tabSelected="1" workbookViewId="0" topLeftCell="A9">
      <pane xSplit="8480" topLeftCell="W1" activePane="topRight" state="split"/>
      <selection pane="topLeft" activeCell="E2" sqref="E2:E44"/>
      <selection pane="topRight" activeCell="V40" sqref="V40:AB40"/>
    </sheetView>
  </sheetViews>
  <sheetFormatPr defaultColWidth="11.00390625" defaultRowHeight="12"/>
  <cols>
    <col min="1" max="1" width="13.375" style="0" bestFit="1" customWidth="1"/>
    <col min="2" max="2" width="12.125" style="0" bestFit="1" customWidth="1"/>
    <col min="3" max="3" width="97.375" style="13" hidden="1" customWidth="1"/>
    <col min="4" max="4" width="12.00390625" style="0" bestFit="1" customWidth="1"/>
    <col min="5" max="5" width="14.625" style="0" bestFit="1" customWidth="1"/>
    <col min="6" max="6" width="6.625" style="7" bestFit="1" customWidth="1"/>
    <col min="7" max="7" width="15.375" style="7" bestFit="1" customWidth="1"/>
    <col min="8" max="19" width="8.875" style="0" customWidth="1"/>
  </cols>
  <sheetData>
    <row r="1" spans="1:9" ht="12.75">
      <c r="A1" t="s">
        <v>30</v>
      </c>
      <c r="B1" s="9">
        <f>4*PI()*0.0000001</f>
        <v>1.2566370614359173E-06</v>
      </c>
      <c r="C1" s="11" t="s">
        <v>209</v>
      </c>
      <c r="H1" t="s">
        <v>54</v>
      </c>
      <c r="I1" t="s">
        <v>54</v>
      </c>
    </row>
    <row r="2" spans="1:33" ht="12.75">
      <c r="A2" t="s">
        <v>240</v>
      </c>
      <c r="B2" s="6">
        <v>1.5</v>
      </c>
      <c r="C2" s="12" t="s">
        <v>238</v>
      </c>
      <c r="E2" s="7">
        <f>B2</f>
        <v>1.5</v>
      </c>
      <c r="G2" s="24" t="str">
        <f>A2</f>
        <v>R0</v>
      </c>
      <c r="H2" s="25">
        <v>2.5</v>
      </c>
      <c r="I2" s="25">
        <v>2.5</v>
      </c>
      <c r="J2" s="25">
        <v>2.5</v>
      </c>
      <c r="K2" s="25">
        <v>2.5</v>
      </c>
      <c r="L2" s="25">
        <v>2.5</v>
      </c>
      <c r="M2" s="25">
        <v>2.5</v>
      </c>
      <c r="N2" s="25">
        <v>2.5</v>
      </c>
      <c r="P2" s="24" t="s">
        <v>240</v>
      </c>
      <c r="Q2" s="25">
        <v>2.5</v>
      </c>
      <c r="R2" s="25">
        <v>2.5</v>
      </c>
      <c r="S2" s="25">
        <v>2.5</v>
      </c>
      <c r="U2" s="24" t="s">
        <v>240</v>
      </c>
      <c r="V2" s="25">
        <v>1.5</v>
      </c>
      <c r="W2" s="25">
        <v>1.5</v>
      </c>
      <c r="X2" s="25">
        <v>1.5</v>
      </c>
      <c r="Y2" s="25">
        <v>1.5</v>
      </c>
      <c r="Z2" s="25">
        <v>1.5</v>
      </c>
      <c r="AA2" s="25">
        <v>1.5</v>
      </c>
      <c r="AB2" s="25">
        <v>1.5</v>
      </c>
      <c r="AD2" s="24" t="str">
        <f>U2</f>
        <v>R0</v>
      </c>
      <c r="AE2" s="25">
        <v>1.5</v>
      </c>
      <c r="AF2" s="25">
        <v>1.5</v>
      </c>
      <c r="AG2" s="25">
        <v>1.5</v>
      </c>
    </row>
    <row r="3" spans="1:33" ht="12.75">
      <c r="A3" t="s">
        <v>241</v>
      </c>
      <c r="B3" s="39">
        <v>1.4</v>
      </c>
      <c r="C3" s="12" t="s">
        <v>54</v>
      </c>
      <c r="E3" s="7">
        <f>A</f>
        <v>1.4</v>
      </c>
      <c r="G3" s="24" t="str">
        <f>A3</f>
        <v>A</v>
      </c>
      <c r="H3" s="25">
        <v>1.4</v>
      </c>
      <c r="I3" s="25">
        <v>1.5</v>
      </c>
      <c r="J3" s="25">
        <v>1.6</v>
      </c>
      <c r="K3" s="25">
        <v>1.7</v>
      </c>
      <c r="L3" s="25">
        <v>1.8</v>
      </c>
      <c r="M3" s="25">
        <v>1.9</v>
      </c>
      <c r="N3" s="25">
        <v>2</v>
      </c>
      <c r="P3" s="24" t="s">
        <v>241</v>
      </c>
      <c r="Q3" s="25">
        <v>1.5</v>
      </c>
      <c r="R3" s="25">
        <v>1.5</v>
      </c>
      <c r="S3" s="25">
        <v>1.5</v>
      </c>
      <c r="U3" s="24" t="s">
        <v>241</v>
      </c>
      <c r="V3" s="25">
        <v>1.4</v>
      </c>
      <c r="W3" s="25">
        <v>1.5</v>
      </c>
      <c r="X3" s="25">
        <v>1.6</v>
      </c>
      <c r="Y3" s="25">
        <v>1.7</v>
      </c>
      <c r="Z3" s="25">
        <v>1.8</v>
      </c>
      <c r="AA3" s="25">
        <v>1.9</v>
      </c>
      <c r="AB3" s="25">
        <v>2</v>
      </c>
      <c r="AD3" s="24" t="str">
        <f aca="true" t="shared" si="0" ref="AD3:AD44">U3</f>
        <v>A</v>
      </c>
      <c r="AE3" s="25">
        <v>1.5</v>
      </c>
      <c r="AF3" s="25">
        <v>1.5</v>
      </c>
      <c r="AG3" s="25">
        <v>2</v>
      </c>
    </row>
    <row r="4" spans="1:33" ht="12.75">
      <c r="A4" t="s">
        <v>31</v>
      </c>
      <c r="B4" s="8">
        <f>1/A</f>
        <v>0.7142857142857143</v>
      </c>
      <c r="C4" s="13" t="s">
        <v>210</v>
      </c>
      <c r="E4" s="7">
        <f>B6</f>
        <v>3.044142857142857</v>
      </c>
      <c r="G4" s="24" t="str">
        <f>A6</f>
        <v>kappa</v>
      </c>
      <c r="H4" s="25">
        <v>3.044142857142857</v>
      </c>
      <c r="I4" s="25">
        <v>2.913333333333333</v>
      </c>
      <c r="J4" s="25">
        <v>2.798875</v>
      </c>
      <c r="K4" s="25">
        <v>2.6978823529411766</v>
      </c>
      <c r="L4" s="25">
        <v>2.608111111111111</v>
      </c>
      <c r="M4" s="25">
        <v>2.5277894736842104</v>
      </c>
      <c r="N4" s="25">
        <v>2.4555</v>
      </c>
      <c r="P4" s="24" t="s">
        <v>242</v>
      </c>
      <c r="Q4" s="25">
        <v>2.913333333333333</v>
      </c>
      <c r="R4" s="25">
        <v>2.913333333333333</v>
      </c>
      <c r="S4" s="25">
        <v>2.913333333333333</v>
      </c>
      <c r="U4" s="24" t="s">
        <v>242</v>
      </c>
      <c r="V4" s="25">
        <v>3.044142857142857</v>
      </c>
      <c r="W4" s="25">
        <v>2.913333333333333</v>
      </c>
      <c r="X4" s="25">
        <v>2.798875</v>
      </c>
      <c r="Y4" s="25">
        <v>2.6978823529411766</v>
      </c>
      <c r="Z4" s="25">
        <v>2.608111111111111</v>
      </c>
      <c r="AA4" s="25">
        <v>2.5277894736842104</v>
      </c>
      <c r="AB4" s="25">
        <v>2.4555</v>
      </c>
      <c r="AD4" s="24" t="str">
        <f t="shared" si="0"/>
        <v>kappa</v>
      </c>
      <c r="AE4" s="25">
        <v>2.913333333333333</v>
      </c>
      <c r="AF4" s="25">
        <v>2.913333333333333</v>
      </c>
      <c r="AG4" s="25">
        <v>2.4555</v>
      </c>
    </row>
    <row r="5" spans="1:33" ht="12.75">
      <c r="A5" t="s">
        <v>147</v>
      </c>
      <c r="B5" s="8">
        <f>1.082+2.747/A</f>
        <v>3.044142857142857</v>
      </c>
      <c r="C5" s="14" t="s">
        <v>54</v>
      </c>
      <c r="E5" s="7">
        <f>delta</f>
        <v>0.6</v>
      </c>
      <c r="G5" s="24" t="str">
        <f>A7</f>
        <v>delta</v>
      </c>
      <c r="H5" s="25">
        <v>0.6</v>
      </c>
      <c r="I5" s="25">
        <v>0.6</v>
      </c>
      <c r="J5" s="25">
        <v>0.6</v>
      </c>
      <c r="K5" s="25">
        <v>0.6</v>
      </c>
      <c r="L5" s="25">
        <v>0.6</v>
      </c>
      <c r="M5" s="25">
        <v>0.6</v>
      </c>
      <c r="N5" s="25">
        <v>0.6</v>
      </c>
      <c r="P5" s="24" t="s">
        <v>243</v>
      </c>
      <c r="Q5" s="25">
        <v>0.6</v>
      </c>
      <c r="R5" s="25">
        <v>0.6</v>
      </c>
      <c r="S5" s="25">
        <v>0.6</v>
      </c>
      <c r="U5" s="24" t="s">
        <v>243</v>
      </c>
      <c r="V5" s="25">
        <v>0.6</v>
      </c>
      <c r="W5" s="25">
        <v>0.6</v>
      </c>
      <c r="X5" s="25">
        <v>0.6</v>
      </c>
      <c r="Y5" s="25">
        <v>0.6</v>
      </c>
      <c r="Z5" s="25">
        <v>0.6</v>
      </c>
      <c r="AA5" s="25">
        <v>0.6</v>
      </c>
      <c r="AB5" s="25">
        <v>0.6</v>
      </c>
      <c r="AD5" s="24" t="str">
        <f t="shared" si="0"/>
        <v>delta</v>
      </c>
      <c r="AE5" s="25">
        <v>0.6</v>
      </c>
      <c r="AF5" s="25">
        <v>0.6</v>
      </c>
      <c r="AG5" s="25">
        <v>0.6</v>
      </c>
    </row>
    <row r="6" spans="1:33" ht="12.75">
      <c r="A6" t="s">
        <v>242</v>
      </c>
      <c r="B6" s="5">
        <f>B5</f>
        <v>3.044142857142857</v>
      </c>
      <c r="C6" s="14" t="s">
        <v>54</v>
      </c>
      <c r="E6" s="7">
        <f>B12</f>
        <v>10.579624383133956</v>
      </c>
      <c r="G6" s="24" t="str">
        <f>A12</f>
        <v>qMHD</v>
      </c>
      <c r="H6" s="25">
        <v>10.579624383133956</v>
      </c>
      <c r="I6" s="25">
        <v>8.755426188641618</v>
      </c>
      <c r="J6" s="25">
        <v>7.67762075867076</v>
      </c>
      <c r="K6" s="25">
        <v>6.980462994872743</v>
      </c>
      <c r="L6" s="25">
        <v>6.499813611841476</v>
      </c>
      <c r="M6" s="25">
        <v>6.151873253913263</v>
      </c>
      <c r="N6" s="25">
        <v>5.889680760454942</v>
      </c>
      <c r="P6" s="24" t="s">
        <v>246</v>
      </c>
      <c r="Q6" s="25">
        <v>8.755426188641618</v>
      </c>
      <c r="R6" s="25">
        <v>8.755426188641618</v>
      </c>
      <c r="S6" s="25">
        <v>8.755426188641618</v>
      </c>
      <c r="U6" s="24" t="s">
        <v>246</v>
      </c>
      <c r="V6" s="25">
        <v>10.579624383133956</v>
      </c>
      <c r="W6" s="25">
        <v>8.755426188641618</v>
      </c>
      <c r="X6" s="25">
        <v>7.67762075867076</v>
      </c>
      <c r="Y6" s="25">
        <v>6.980462994872743</v>
      </c>
      <c r="Z6" s="25">
        <v>6.499813611841476</v>
      </c>
      <c r="AA6" s="25">
        <v>6.151873253913263</v>
      </c>
      <c r="AB6" s="25">
        <v>5.889680760454942</v>
      </c>
      <c r="AD6" s="24" t="str">
        <f t="shared" si="0"/>
        <v>qMHD</v>
      </c>
      <c r="AE6" s="25">
        <v>8.755426188641618</v>
      </c>
      <c r="AF6" s="25">
        <v>8.755426188641618</v>
      </c>
      <c r="AG6" s="25">
        <v>5.889680760454942</v>
      </c>
    </row>
    <row r="7" spans="1:33" ht="12.75">
      <c r="A7" t="s">
        <v>243</v>
      </c>
      <c r="B7" s="5">
        <v>0.6</v>
      </c>
      <c r="C7" s="15" t="s">
        <v>55</v>
      </c>
      <c r="E7" s="8">
        <f>qcyl</f>
        <v>2.54</v>
      </c>
      <c r="F7" s="8"/>
      <c r="G7" s="29" t="str">
        <f>A9</f>
        <v>qcyl</v>
      </c>
      <c r="H7" s="29">
        <v>2.54</v>
      </c>
      <c r="I7" s="29">
        <v>2.5975</v>
      </c>
      <c r="J7" s="29">
        <v>2.65</v>
      </c>
      <c r="K7" s="29">
        <v>2.6975</v>
      </c>
      <c r="L7" s="29">
        <v>2.74</v>
      </c>
      <c r="M7" s="29">
        <v>2.7775</v>
      </c>
      <c r="N7" s="29">
        <v>2.81</v>
      </c>
      <c r="P7" s="29" t="s">
        <v>247</v>
      </c>
      <c r="Q7" s="29">
        <v>2.5975</v>
      </c>
      <c r="R7" s="29">
        <v>2.5975</v>
      </c>
      <c r="S7" s="29">
        <v>2.5975</v>
      </c>
      <c r="U7" s="29" t="s">
        <v>247</v>
      </c>
      <c r="V7" s="29">
        <v>2.54</v>
      </c>
      <c r="W7" s="29">
        <v>2.5975</v>
      </c>
      <c r="X7" s="29">
        <v>2.65</v>
      </c>
      <c r="Y7" s="29">
        <v>2.6975</v>
      </c>
      <c r="Z7" s="29">
        <v>2.74</v>
      </c>
      <c r="AA7" s="29">
        <v>2.7775</v>
      </c>
      <c r="AB7" s="29">
        <v>2.81</v>
      </c>
      <c r="AD7" s="29" t="str">
        <f t="shared" si="0"/>
        <v>qcyl</v>
      </c>
      <c r="AE7" s="29">
        <v>2.5975</v>
      </c>
      <c r="AF7" s="29">
        <v>2.5975</v>
      </c>
      <c r="AG7" s="29">
        <v>2.81</v>
      </c>
    </row>
    <row r="8" spans="1:33" ht="12.75">
      <c r="A8" t="s">
        <v>95</v>
      </c>
      <c r="B8" s="8">
        <f>1.21+1.3*A-0.25*A^2</f>
        <v>2.54</v>
      </c>
      <c r="C8" s="15" t="s">
        <v>170</v>
      </c>
      <c r="E8" s="4">
        <f>qcyl/B8</f>
        <v>1</v>
      </c>
      <c r="F8" s="4"/>
      <c r="G8" s="26" t="s">
        <v>22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P8" s="26" t="s">
        <v>22</v>
      </c>
      <c r="Q8" s="26">
        <v>1</v>
      </c>
      <c r="R8" s="26">
        <v>1</v>
      </c>
      <c r="S8" s="26">
        <v>1</v>
      </c>
      <c r="U8" s="26" t="s">
        <v>22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D8" s="26" t="str">
        <f t="shared" si="0"/>
        <v>qcyl/qcyl(A)</v>
      </c>
      <c r="AE8" s="26">
        <v>1</v>
      </c>
      <c r="AF8" s="26">
        <v>1</v>
      </c>
      <c r="AG8" s="26">
        <v>1</v>
      </c>
    </row>
    <row r="9" spans="1:33" ht="12.75">
      <c r="A9" t="s">
        <v>247</v>
      </c>
      <c r="B9" s="44">
        <v>2.54</v>
      </c>
      <c r="C9" s="13" t="s">
        <v>54</v>
      </c>
      <c r="E9" s="7">
        <f>B18</f>
        <v>1.7045156646308222</v>
      </c>
      <c r="G9" s="24" t="str">
        <f>A18</f>
        <v>Bt</v>
      </c>
      <c r="H9" s="25">
        <v>1.5899549965674242</v>
      </c>
      <c r="I9" s="25">
        <v>1.83235131385429</v>
      </c>
      <c r="J9" s="25">
        <v>2.0875451097611712</v>
      </c>
      <c r="K9" s="25">
        <v>2.3539810828453076</v>
      </c>
      <c r="L9" s="25">
        <v>2.630057788596475</v>
      </c>
      <c r="M9" s="25">
        <v>2.91413830115794</v>
      </c>
      <c r="N9" s="25">
        <v>3.2045593004689357</v>
      </c>
      <c r="P9" s="24" t="s">
        <v>249</v>
      </c>
      <c r="Q9" s="25">
        <v>1.83235131385429</v>
      </c>
      <c r="R9" s="25">
        <v>1.8933912875576726</v>
      </c>
      <c r="S9" s="25">
        <v>1.975473455872366</v>
      </c>
      <c r="U9" s="24" t="s">
        <v>249</v>
      </c>
      <c r="V9" s="25">
        <v>1.7045156646308222</v>
      </c>
      <c r="W9" s="25">
        <v>1.9719317934758438</v>
      </c>
      <c r="X9" s="25">
        <v>2.24941145936616</v>
      </c>
      <c r="Y9" s="25">
        <v>2.532801304762716</v>
      </c>
      <c r="Z9" s="25">
        <v>2.8203957499970165</v>
      </c>
      <c r="AA9" s="25">
        <v>3.111638194402685</v>
      </c>
      <c r="AB9" s="25">
        <v>3.4066415663240774</v>
      </c>
      <c r="AD9" s="24" t="str">
        <f t="shared" si="0"/>
        <v>Bt</v>
      </c>
      <c r="AE9" s="25">
        <v>1.9719317934758438</v>
      </c>
      <c r="AF9" s="25">
        <v>2.010619298297468</v>
      </c>
      <c r="AG9" s="25">
        <v>4.002430006211605</v>
      </c>
    </row>
    <row r="10" spans="1:33" ht="12.75">
      <c r="A10" t="s">
        <v>244</v>
      </c>
      <c r="B10" s="2">
        <f>(1+kappa^2*(1+2*delta^2-1.2*delta^3))*(1.17-0.65*e)/(1-e^2)^2</f>
        <v>42.76336546758538</v>
      </c>
      <c r="C10" s="12" t="s">
        <v>171</v>
      </c>
      <c r="E10" s="4">
        <f>fracwater</f>
        <v>0.11503513263770881</v>
      </c>
      <c r="F10" s="4"/>
      <c r="G10" s="26" t="str">
        <f>A16</f>
        <v>fH20</v>
      </c>
      <c r="H10" s="26">
        <v>0.08540098755624453</v>
      </c>
      <c r="I10" s="26">
        <v>0.07337555143616231</v>
      </c>
      <c r="J10" s="26">
        <v>0.06569913883641085</v>
      </c>
      <c r="K10" s="26">
        <v>0.06028559146667947</v>
      </c>
      <c r="L10" s="26">
        <v>0.05622526710491217</v>
      </c>
      <c r="M10" s="26">
        <v>0.05305301312554947</v>
      </c>
      <c r="N10" s="26">
        <v>0.05050321716824179</v>
      </c>
      <c r="P10" s="26" t="s">
        <v>57</v>
      </c>
      <c r="Q10" s="26">
        <v>0.07337555143616231</v>
      </c>
      <c r="R10" s="26">
        <v>0.07422453804250614</v>
      </c>
      <c r="S10" s="26">
        <v>0.07539260619438716</v>
      </c>
      <c r="U10" s="26" t="s">
        <v>57</v>
      </c>
      <c r="V10" s="26">
        <v>0.11503513263770881</v>
      </c>
      <c r="W10" s="26">
        <v>0.09398289525425242</v>
      </c>
      <c r="X10" s="26">
        <v>0.08290986378359552</v>
      </c>
      <c r="Y10" s="26">
        <v>0.07573483252967728</v>
      </c>
      <c r="Z10" s="26">
        <v>0.0706389725193912</v>
      </c>
      <c r="AA10" s="26">
        <v>0.06669226604569554</v>
      </c>
      <c r="AB10" s="26">
        <v>0.0639424726470436</v>
      </c>
      <c r="AD10" s="26" t="str">
        <f t="shared" si="0"/>
        <v>fH20</v>
      </c>
      <c r="AE10" s="26">
        <v>0.09398289525425242</v>
      </c>
      <c r="AF10" s="26">
        <v>0.09522367197295725</v>
      </c>
      <c r="AG10" s="26">
        <v>0.07193726249876053</v>
      </c>
    </row>
    <row r="11" spans="1:33" ht="12.75">
      <c r="A11" t="s">
        <v>245</v>
      </c>
      <c r="B11" s="2">
        <f>(1+kappa^2)</f>
        <v>10.266805734693877</v>
      </c>
      <c r="C11" s="13" t="s">
        <v>54</v>
      </c>
      <c r="E11" s="2">
        <f>TH20max</f>
        <v>111.8288183911734</v>
      </c>
      <c r="F11" s="2"/>
      <c r="G11" s="27" t="str">
        <f>A20</f>
        <v>TH20max</v>
      </c>
      <c r="H11" s="27">
        <v>90.9709548345434</v>
      </c>
      <c r="I11" s="27">
        <v>79.48754725479718</v>
      </c>
      <c r="J11" s="27">
        <v>72.78703112967119</v>
      </c>
      <c r="K11" s="27">
        <v>68.389249085823</v>
      </c>
      <c r="L11" s="27">
        <v>65.29630844999059</v>
      </c>
      <c r="M11" s="27">
        <v>63.02383065551845</v>
      </c>
      <c r="N11" s="27">
        <v>61.30499939743784</v>
      </c>
      <c r="P11" s="27" t="s">
        <v>107</v>
      </c>
      <c r="Q11" s="27">
        <v>79.48754725479718</v>
      </c>
      <c r="R11" s="27">
        <v>80.15289443189131</v>
      </c>
      <c r="S11" s="27">
        <v>81.07354089082551</v>
      </c>
      <c r="U11" s="27" t="s">
        <v>107</v>
      </c>
      <c r="V11" s="27">
        <v>111.8288183911734</v>
      </c>
      <c r="W11" s="27">
        <v>91.7864194147764</v>
      </c>
      <c r="X11" s="27">
        <v>81.3592812722452</v>
      </c>
      <c r="Y11" s="27">
        <v>75.31975795822646</v>
      </c>
      <c r="Z11" s="27">
        <v>71.54042702823568</v>
      </c>
      <c r="AA11" s="27">
        <v>69.14285408516062</v>
      </c>
      <c r="AB11" s="27">
        <v>67.41524402929718</v>
      </c>
      <c r="AD11" s="27" t="str">
        <f t="shared" si="0"/>
        <v>TH20max</v>
      </c>
      <c r="AE11" s="27">
        <v>91.7864194147764</v>
      </c>
      <c r="AF11" s="27">
        <v>92.81968230602659</v>
      </c>
      <c r="AG11" s="27">
        <v>72.44233227955462</v>
      </c>
    </row>
    <row r="12" spans="1:33" ht="12.75">
      <c r="A12" t="s">
        <v>246</v>
      </c>
      <c r="B12" s="34">
        <f>sMHD/s*qcyl</f>
        <v>10.579624383133956</v>
      </c>
      <c r="C12" s="12" t="s">
        <v>60</v>
      </c>
      <c r="E12" s="2">
        <f>TCumax</f>
        <v>149.99999922793927</v>
      </c>
      <c r="F12" s="2"/>
      <c r="G12" s="27" t="str">
        <f>A21</f>
        <v>TCumax</v>
      </c>
      <c r="H12" s="27">
        <v>106.84756532208615</v>
      </c>
      <c r="I12" s="27">
        <v>92.1628024813174</v>
      </c>
      <c r="J12" s="27">
        <v>83.57067325889432</v>
      </c>
      <c r="K12" s="27">
        <v>77.92853501584109</v>
      </c>
      <c r="L12" s="27">
        <v>73.95344944147352</v>
      </c>
      <c r="M12" s="27">
        <v>71.01944898625791</v>
      </c>
      <c r="N12" s="27">
        <v>68.78198370334462</v>
      </c>
      <c r="P12" s="27" t="s">
        <v>108</v>
      </c>
      <c r="Q12" s="27">
        <v>92.1628024813174</v>
      </c>
      <c r="R12" s="27">
        <v>92.87561240901135</v>
      </c>
      <c r="S12" s="27">
        <v>93.8657999678391</v>
      </c>
      <c r="U12" s="27" t="s">
        <v>108</v>
      </c>
      <c r="V12" s="27">
        <v>149.99999922793927</v>
      </c>
      <c r="W12" s="27">
        <v>114.97998119567202</v>
      </c>
      <c r="X12" s="27">
        <v>98.23455890975617</v>
      </c>
      <c r="Y12" s="27">
        <v>88.86302548546466</v>
      </c>
      <c r="Z12" s="27">
        <v>83.14846112811277</v>
      </c>
      <c r="AA12" s="27">
        <v>79.62266165798741</v>
      </c>
      <c r="AB12" s="27">
        <v>77.02708093584863</v>
      </c>
      <c r="AD12" s="27" t="str">
        <f t="shared" si="0"/>
        <v>TCumax</v>
      </c>
      <c r="AE12" s="27">
        <v>114.97998119567202</v>
      </c>
      <c r="AF12" s="27">
        <v>116.75419264422318</v>
      </c>
      <c r="AG12" s="27">
        <v>83.87738708770154</v>
      </c>
    </row>
    <row r="13" spans="1:33" ht="12.75">
      <c r="A13" t="s">
        <v>38</v>
      </c>
      <c r="B13" s="43">
        <v>37692313.57251768</v>
      </c>
      <c r="C13" s="3" t="s">
        <v>54</v>
      </c>
      <c r="D13" s="16" t="s">
        <v>54</v>
      </c>
      <c r="E13" s="2">
        <f>Sigmax</f>
        <v>60.60992610109744</v>
      </c>
      <c r="F13" s="2"/>
      <c r="G13" s="27" t="str">
        <f>A22</f>
        <v>Sigmax</v>
      </c>
      <c r="H13" s="27">
        <v>41.91096733239568</v>
      </c>
      <c r="I13" s="27">
        <v>39.05831357688599</v>
      </c>
      <c r="J13" s="27">
        <v>38.86878440733087</v>
      </c>
      <c r="K13" s="27">
        <v>40.13178324028642</v>
      </c>
      <c r="L13" s="27">
        <v>42.328382062414754</v>
      </c>
      <c r="M13" s="27">
        <v>45.19516031693647</v>
      </c>
      <c r="N13" s="27">
        <v>48.578018587291105</v>
      </c>
      <c r="P13" s="27" t="s">
        <v>109</v>
      </c>
      <c r="Q13" s="27">
        <v>39.05831357688599</v>
      </c>
      <c r="R13" s="27">
        <v>41.70390750715546</v>
      </c>
      <c r="S13" s="27">
        <v>45.398175245557745</v>
      </c>
      <c r="U13" s="27" t="s">
        <v>109</v>
      </c>
      <c r="V13" s="27">
        <v>60.60992610109744</v>
      </c>
      <c r="W13" s="27">
        <v>54.73500330715086</v>
      </c>
      <c r="X13" s="27">
        <v>53.274046486354685</v>
      </c>
      <c r="Y13" s="27">
        <v>53.918287967984426</v>
      </c>
      <c r="Z13" s="27">
        <v>55.791253970060836</v>
      </c>
      <c r="AA13" s="27">
        <v>58.502006768464064</v>
      </c>
      <c r="AB13" s="27">
        <v>61.862507862280076</v>
      </c>
      <c r="AD13" s="27" t="str">
        <f t="shared" si="0"/>
        <v>Sigmax</v>
      </c>
      <c r="AE13" s="27">
        <v>54.73500330715086</v>
      </c>
      <c r="AF13" s="27">
        <v>56.903773055784676</v>
      </c>
      <c r="AG13" s="27">
        <v>85.39297245550263</v>
      </c>
    </row>
    <row r="14" spans="1:33" ht="12.75">
      <c r="A14" t="s">
        <v>70</v>
      </c>
      <c r="B14" s="7">
        <v>0.1</v>
      </c>
      <c r="C14" s="3" t="s">
        <v>172</v>
      </c>
      <c r="E14" s="16">
        <f>Javgtf</f>
        <v>37692313.57251768</v>
      </c>
      <c r="F14" s="16"/>
      <c r="G14" s="28" t="str">
        <f>A13</f>
        <v>Javgtf</v>
      </c>
      <c r="H14" s="28">
        <v>16765022.516050285</v>
      </c>
      <c r="I14" s="28">
        <v>13557076.041981163</v>
      </c>
      <c r="J14" s="28">
        <v>11842036.022127107</v>
      </c>
      <c r="K14" s="28">
        <v>10842933.084222969</v>
      </c>
      <c r="L14" s="28">
        <v>10235938.44688743</v>
      </c>
      <c r="M14" s="28">
        <v>9863772.804296847</v>
      </c>
      <c r="N14" s="28">
        <v>9641237.29869069</v>
      </c>
      <c r="P14" s="28" t="s">
        <v>38</v>
      </c>
      <c r="Q14" s="28">
        <v>13557076.041981163</v>
      </c>
      <c r="R14" s="28">
        <v>14008694.440069148</v>
      </c>
      <c r="S14" s="28">
        <v>14615998.393802926</v>
      </c>
      <c r="U14" s="28" t="s">
        <v>38</v>
      </c>
      <c r="V14" s="28">
        <v>37692313.57251768</v>
      </c>
      <c r="W14" s="28">
        <v>29422752.40985128</v>
      </c>
      <c r="X14" s="28">
        <v>25104803.11858665</v>
      </c>
      <c r="Y14" s="28">
        <v>22565502.56986596</v>
      </c>
      <c r="Z14" s="28">
        <v>20968439.407196812</v>
      </c>
      <c r="AA14" s="28">
        <v>19929284.539692465</v>
      </c>
      <c r="AB14" s="28">
        <v>19249130.578324035</v>
      </c>
      <c r="AD14" s="28" t="str">
        <f t="shared" si="0"/>
        <v>Javgtf</v>
      </c>
      <c r="AE14" s="28">
        <v>29422752.40985128</v>
      </c>
      <c r="AF14" s="28">
        <v>30000000</v>
      </c>
      <c r="AG14" s="28">
        <v>22615616.089984693</v>
      </c>
    </row>
    <row r="15" spans="1:33" ht="12.75">
      <c r="A15" t="s">
        <v>71</v>
      </c>
      <c r="B15" s="7">
        <f>R0-R0/A-B14</f>
        <v>0.3285714285714286</v>
      </c>
      <c r="C15" s="3"/>
      <c r="E15" s="2">
        <f>TF_inductance!B14</f>
        <v>360.8175439559396</v>
      </c>
      <c r="F15" s="2"/>
      <c r="G15" s="27" t="str">
        <f>TF_inductance!A14</f>
        <v>W_tf</v>
      </c>
      <c r="H15" s="27">
        <v>1027.791722874641</v>
      </c>
      <c r="I15" s="27">
        <v>1287.6889149545684</v>
      </c>
      <c r="J15" s="27">
        <v>1587.6265287815659</v>
      </c>
      <c r="K15" s="27">
        <v>1929.9338355658444</v>
      </c>
      <c r="L15" s="27">
        <v>2314.997490345382</v>
      </c>
      <c r="M15" s="27">
        <v>2742.759695663726</v>
      </c>
      <c r="N15" s="27">
        <v>3214.345354482386</v>
      </c>
      <c r="P15" s="27" t="s">
        <v>184</v>
      </c>
      <c r="Q15" s="27">
        <v>1287.6889149545684</v>
      </c>
      <c r="R15" s="27">
        <v>1375.9880946653373</v>
      </c>
      <c r="S15" s="27">
        <v>1499.2901496246702</v>
      </c>
      <c r="U15" s="27" t="s">
        <v>184</v>
      </c>
      <c r="V15" s="27">
        <v>360.8175439559396</v>
      </c>
      <c r="W15" s="27">
        <v>461.9264761669638</v>
      </c>
      <c r="X15" s="27">
        <v>578.5015091252234</v>
      </c>
      <c r="Y15" s="27">
        <v>709.3375820842023</v>
      </c>
      <c r="Z15" s="27">
        <v>854.6457182641319</v>
      </c>
      <c r="AA15" s="27">
        <v>1014.2052835823534</v>
      </c>
      <c r="AB15" s="27">
        <v>1189.1610260945943</v>
      </c>
      <c r="AD15" s="27" t="str">
        <f t="shared" si="0"/>
        <v>W_tf</v>
      </c>
      <c r="AE15" s="27">
        <v>461.9264761669638</v>
      </c>
      <c r="AF15" s="27">
        <v>480.40983431064285</v>
      </c>
      <c r="AG15" s="27">
        <v>1651.1789903648964</v>
      </c>
    </row>
    <row r="16" spans="1:33" ht="12.75">
      <c r="A16" t="s">
        <v>57</v>
      </c>
      <c r="B16" s="7">
        <v>0.11503513263770881</v>
      </c>
      <c r="C16" s="3" t="s">
        <v>173</v>
      </c>
      <c r="E16" s="7">
        <f>B30</f>
        <v>13.181894183252101</v>
      </c>
      <c r="G16" s="24" t="str">
        <f>A30</f>
        <v>Ip</v>
      </c>
      <c r="H16" s="25">
        <v>20.493229597691546</v>
      </c>
      <c r="I16" s="25">
        <v>18.591009998558025</v>
      </c>
      <c r="J16" s="25">
        <v>16.98919321026177</v>
      </c>
      <c r="K16" s="25">
        <v>15.623523051764481</v>
      </c>
      <c r="L16" s="25">
        <v>14.446719457036103</v>
      </c>
      <c r="M16" s="25">
        <v>13.423224933357016</v>
      </c>
      <c r="N16" s="25">
        <v>12.525793100867546</v>
      </c>
      <c r="P16" s="24" t="s">
        <v>248</v>
      </c>
      <c r="Q16" s="25">
        <v>18.591009998558025</v>
      </c>
      <c r="R16" s="25">
        <v>19.210320691246267</v>
      </c>
      <c r="S16" s="25">
        <v>20.043125186925597</v>
      </c>
      <c r="U16" s="24" t="s">
        <v>248</v>
      </c>
      <c r="V16" s="25">
        <v>13.181894183252101</v>
      </c>
      <c r="W16" s="25">
        <v>12.004314918803543</v>
      </c>
      <c r="X16" s="25">
        <v>10.98391188210176</v>
      </c>
      <c r="Y16" s="25">
        <v>10.086218583201727</v>
      </c>
      <c r="Z16" s="25">
        <v>9.295339365094534</v>
      </c>
      <c r="AA16" s="25">
        <v>8.599774288974983</v>
      </c>
      <c r="AB16" s="25">
        <v>7.989408232641514</v>
      </c>
      <c r="AD16" s="24" t="str">
        <f t="shared" si="0"/>
        <v>Ip</v>
      </c>
      <c r="AE16" s="25">
        <v>12.004314918803543</v>
      </c>
      <c r="AF16" s="25">
        <v>12.239828638313538</v>
      </c>
      <c r="AG16" s="25">
        <v>9.386677940615607</v>
      </c>
    </row>
    <row r="17" spans="1:33" ht="12.75">
      <c r="A17" t="s">
        <v>154</v>
      </c>
      <c r="B17" s="7">
        <f>mu0*B13*PI()*B15^2/2/PI()/R0</f>
        <v>1.7045156646308222</v>
      </c>
      <c r="C17" s="14" t="s">
        <v>54</v>
      </c>
      <c r="E17" s="23">
        <f>B42</f>
        <v>0.06763139980851329</v>
      </c>
      <c r="G17" s="30" t="str">
        <f>A42</f>
        <v>Beta_N</v>
      </c>
      <c r="H17" s="30">
        <v>0.07859154563081762</v>
      </c>
      <c r="I17" s="30">
        <v>0.07325764842216446</v>
      </c>
      <c r="J17" s="30">
        <v>0.06870323355304746</v>
      </c>
      <c r="K17" s="30">
        <v>0.0647916978448485</v>
      </c>
      <c r="L17" s="30">
        <v>0.06141510373240649</v>
      </c>
      <c r="M17" s="30">
        <v>0.058487717685692366</v>
      </c>
      <c r="N17" s="30">
        <v>0.05594101679435631</v>
      </c>
      <c r="P17" s="30" t="s">
        <v>250</v>
      </c>
      <c r="Q17" s="30">
        <v>0.07325764842216446</v>
      </c>
      <c r="R17" s="30">
        <v>0.06771254531714559</v>
      </c>
      <c r="S17" s="30">
        <v>0.06174105342016523</v>
      </c>
      <c r="U17" s="30" t="s">
        <v>250</v>
      </c>
      <c r="V17" s="30">
        <v>0.06763139980851329</v>
      </c>
      <c r="W17" s="30">
        <v>0.06228969369594769</v>
      </c>
      <c r="X17" s="30">
        <v>0.058287872267783314</v>
      </c>
      <c r="Y17" s="30">
        <v>0.05533815734157215</v>
      </c>
      <c r="Z17" s="30">
        <v>0.053130041367287634</v>
      </c>
      <c r="AA17" s="30">
        <v>0.05142613841101927</v>
      </c>
      <c r="AB17" s="30">
        <v>0.05004103414381628</v>
      </c>
      <c r="AD17" s="30" t="str">
        <f t="shared" si="0"/>
        <v>Beta_N</v>
      </c>
      <c r="AE17" s="30">
        <v>0.06228969369594769</v>
      </c>
      <c r="AF17" s="30">
        <v>0.06240437942853037</v>
      </c>
      <c r="AG17" s="30">
        <v>0.03445809465511975</v>
      </c>
    </row>
    <row r="18" spans="1:33" ht="12.75">
      <c r="A18" t="s">
        <v>249</v>
      </c>
      <c r="B18" s="6">
        <f>B17</f>
        <v>1.7045156646308222</v>
      </c>
      <c r="C18" s="14" t="s">
        <v>54</v>
      </c>
      <c r="E18" s="4">
        <f>Beta_N/B41</f>
        <v>0.8438504786525663</v>
      </c>
      <c r="G18" s="26" t="s">
        <v>152</v>
      </c>
      <c r="H18" s="26">
        <v>0.9806024063731164</v>
      </c>
      <c r="I18" s="26">
        <v>0.9641308820866433</v>
      </c>
      <c r="J18" s="26">
        <v>0.9493433316467895</v>
      </c>
      <c r="K18" s="26">
        <v>0.9362608317854297</v>
      </c>
      <c r="L18" s="26">
        <v>0.9248563388852894</v>
      </c>
      <c r="M18" s="26">
        <v>0.9150807494495214</v>
      </c>
      <c r="N18" s="26">
        <v>0.906877497861042</v>
      </c>
      <c r="P18" s="26" t="s">
        <v>152</v>
      </c>
      <c r="Q18" s="26">
        <v>0.9641308820866433</v>
      </c>
      <c r="R18" s="26">
        <v>0.8911527663123767</v>
      </c>
      <c r="S18" s="26">
        <v>0.8125630234799135</v>
      </c>
      <c r="U18" s="26" t="s">
        <v>152</v>
      </c>
      <c r="V18" s="26">
        <v>0.8438504786525663</v>
      </c>
      <c r="W18" s="26">
        <v>0.8197835805743773</v>
      </c>
      <c r="X18" s="26">
        <v>0.8054235585661954</v>
      </c>
      <c r="Y18" s="26">
        <v>0.7996541369568808</v>
      </c>
      <c r="Z18" s="26">
        <v>0.8000907359510896</v>
      </c>
      <c r="AA18" s="26">
        <v>0.8045974632031542</v>
      </c>
      <c r="AB18" s="26">
        <v>0.8112310150090338</v>
      </c>
      <c r="AD18" s="26" t="str">
        <f t="shared" si="0"/>
        <v>Beta_N/Beta_N(A)</v>
      </c>
      <c r="AE18" s="26">
        <v>0.8197835805743773</v>
      </c>
      <c r="AF18" s="26">
        <v>0.8212929391041583</v>
      </c>
      <c r="AG18" s="26">
        <v>0.5586110595159324</v>
      </c>
    </row>
    <row r="19" spans="1:33" ht="12.75">
      <c r="A19" t="s">
        <v>155</v>
      </c>
      <c r="B19" s="38">
        <f>Bt*2*PI()*R0/mu0</f>
        <v>12783867.484731168</v>
      </c>
      <c r="C19" s="14"/>
      <c r="D19" s="9"/>
      <c r="E19" s="4">
        <f>B43</f>
        <v>0.4881597605451481</v>
      </c>
      <c r="G19" s="24" t="str">
        <f>A43</f>
        <v>Beta_T</v>
      </c>
      <c r="H19" s="26">
        <v>0.5672694961901953</v>
      </c>
      <c r="I19" s="26">
        <v>0.44596262648646545</v>
      </c>
      <c r="J19" s="26">
        <v>0.3578442459847201</v>
      </c>
      <c r="K19" s="26">
        <v>0.29241811784676974</v>
      </c>
      <c r="L19" s="26">
        <v>0.24289111824217133</v>
      </c>
      <c r="M19" s="26">
        <v>0.2047505022038753</v>
      </c>
      <c r="N19" s="26">
        <v>0.17492716758044746</v>
      </c>
      <c r="P19" s="24" t="s">
        <v>169</v>
      </c>
      <c r="Q19" s="26">
        <v>0.44596262648646545</v>
      </c>
      <c r="R19" s="26">
        <v>0.41220630481747395</v>
      </c>
      <c r="S19" s="26">
        <v>0.37585430242895224</v>
      </c>
      <c r="U19" s="24" t="s">
        <v>169</v>
      </c>
      <c r="V19" s="26">
        <v>0.4881597605451481</v>
      </c>
      <c r="W19" s="26">
        <v>0.3791942002232988</v>
      </c>
      <c r="X19" s="26">
        <v>0.3035953131028925</v>
      </c>
      <c r="Y19" s="26">
        <v>0.24975236570710616</v>
      </c>
      <c r="Z19" s="26">
        <v>0.21012445433913543</v>
      </c>
      <c r="AA19" s="26">
        <v>0.1800297238925772</v>
      </c>
      <c r="AB19" s="26">
        <v>0.15647796316883103</v>
      </c>
      <c r="AD19" s="24" t="str">
        <f t="shared" si="0"/>
        <v>Beta_T</v>
      </c>
      <c r="AE19" s="26">
        <v>0.3791942002232988</v>
      </c>
      <c r="AF19" s="26">
        <v>0.3798923600963589</v>
      </c>
      <c r="AG19" s="26">
        <v>0.10775022056530018</v>
      </c>
    </row>
    <row r="20" spans="1:33" ht="12.75">
      <c r="A20" t="s">
        <v>107</v>
      </c>
      <c r="B20" s="2">
        <f>TF_Heating!L44</f>
        <v>111.8288183911734</v>
      </c>
      <c r="C20" s="11" t="s">
        <v>56</v>
      </c>
      <c r="E20" s="4">
        <f>B44</f>
        <v>1.2024862885953662</v>
      </c>
      <c r="G20" s="24" t="str">
        <f>A44</f>
        <v>Beta_P</v>
      </c>
      <c r="H20" s="26">
        <v>1.397357681315937</v>
      </c>
      <c r="I20" s="26">
        <v>1.4271505633242914</v>
      </c>
      <c r="J20" s="26">
        <v>1.4565085513246065</v>
      </c>
      <c r="K20" s="26">
        <v>1.4855926419600702</v>
      </c>
      <c r="L20" s="26">
        <v>1.5144964580411442</v>
      </c>
      <c r="M20" s="26">
        <v>1.5432715407840996</v>
      </c>
      <c r="N20" s="26">
        <v>1.5719425719214124</v>
      </c>
      <c r="P20" s="24" t="s">
        <v>251</v>
      </c>
      <c r="Q20" s="26">
        <v>1.4271505633242914</v>
      </c>
      <c r="R20" s="26">
        <v>1.3191250234596423</v>
      </c>
      <c r="S20" s="26">
        <v>1.2027928969415937</v>
      </c>
      <c r="U20" s="24" t="s">
        <v>251</v>
      </c>
      <c r="V20" s="26">
        <v>1.2024862885953662</v>
      </c>
      <c r="W20" s="26">
        <v>1.2134810953141808</v>
      </c>
      <c r="X20" s="26">
        <v>1.2357028920770063</v>
      </c>
      <c r="Y20" s="26">
        <v>1.268834775145572</v>
      </c>
      <c r="Z20" s="26">
        <v>1.3101868201173132</v>
      </c>
      <c r="AA20" s="26">
        <v>1.3569429446477572</v>
      </c>
      <c r="AB20" s="26">
        <v>1.4061530594412377</v>
      </c>
      <c r="AD20" s="24" t="str">
        <f t="shared" si="0"/>
        <v>Beta_P</v>
      </c>
      <c r="AE20" s="26">
        <v>1.2134810953141808</v>
      </c>
      <c r="AF20" s="26">
        <v>1.2157153167420571</v>
      </c>
      <c r="AG20" s="26">
        <v>0.968272459808865</v>
      </c>
    </row>
    <row r="21" spans="1:33" ht="12.75">
      <c r="A21" t="s">
        <v>108</v>
      </c>
      <c r="B21" s="2">
        <f>TF_Heating!R44</f>
        <v>149.99999922793927</v>
      </c>
      <c r="C21" s="11"/>
      <c r="E21" s="16">
        <f>xne</f>
        <v>2.2652729564467898E+20</v>
      </c>
      <c r="F21" s="16"/>
      <c r="G21" s="28" t="str">
        <f>A56</f>
        <v>xne</v>
      </c>
      <c r="H21" s="28">
        <v>1.8183775656288417E+20</v>
      </c>
      <c r="I21" s="28">
        <v>1.89366472853847E+20</v>
      </c>
      <c r="J21" s="28">
        <v>1.9689301450252665E+20</v>
      </c>
      <c r="K21" s="28">
        <v>2.0440635918659237E+20</v>
      </c>
      <c r="L21" s="28">
        <v>2.1190042949061037E+20</v>
      </c>
      <c r="M21" s="28">
        <v>2.1937223359616313E+20</v>
      </c>
      <c r="N21" s="28">
        <v>2.268207659405573E+20</v>
      </c>
      <c r="P21" s="28" t="s">
        <v>253</v>
      </c>
      <c r="Q21" s="28">
        <v>1.89366472853847E+20</v>
      </c>
      <c r="R21" s="28">
        <v>1.9567471976911097E+20</v>
      </c>
      <c r="S21" s="28">
        <v>2.0415759670456818E+20</v>
      </c>
      <c r="U21" s="28" t="s">
        <v>253</v>
      </c>
      <c r="V21" s="28">
        <v>2.2652729564467898E+20</v>
      </c>
      <c r="W21" s="28">
        <v>2.293190386996781E+20</v>
      </c>
      <c r="X21" s="28">
        <v>2.367636879620097E+20</v>
      </c>
      <c r="Y21" s="28">
        <v>2.4822336374841318E+20</v>
      </c>
      <c r="Z21" s="28">
        <v>2.6274737924103966E+20</v>
      </c>
      <c r="AA21" s="28">
        <v>2.7951681667377267E+20</v>
      </c>
      <c r="AB21" s="28">
        <v>2.976062345051799E+20</v>
      </c>
      <c r="AD21" s="28" t="str">
        <f t="shared" si="0"/>
        <v>xne</v>
      </c>
      <c r="AE21" s="28">
        <v>2.293190386996781E+20</v>
      </c>
      <c r="AF21" s="28">
        <v>2.7452438080373214E+20</v>
      </c>
      <c r="AG21" s="28">
        <v>2.404115527924157E+20</v>
      </c>
    </row>
    <row r="22" spans="1:33" ht="12.75">
      <c r="A22" t="s">
        <v>109</v>
      </c>
      <c r="B22" s="2">
        <f>TF_Stress!B8</f>
        <v>60.60992610109744</v>
      </c>
      <c r="C22" s="14" t="s">
        <v>59</v>
      </c>
      <c r="E22" s="4">
        <f>B55</f>
        <v>0.6972227687143964</v>
      </c>
      <c r="G22" s="24" t="str">
        <f>A55</f>
        <v>fGW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>
        <v>1</v>
      </c>
      <c r="P22" s="24" t="s">
        <v>252</v>
      </c>
      <c r="Q22" s="26">
        <v>1</v>
      </c>
      <c r="R22" s="26">
        <v>1</v>
      </c>
      <c r="S22" s="26">
        <v>1</v>
      </c>
      <c r="U22" s="24" t="s">
        <v>252</v>
      </c>
      <c r="V22" s="26">
        <v>0.6972227687143964</v>
      </c>
      <c r="W22" s="26">
        <v>0.6751575485170291</v>
      </c>
      <c r="X22" s="26">
        <v>0.669580818577802</v>
      </c>
      <c r="Y22" s="26">
        <v>0.6771756781631582</v>
      </c>
      <c r="Z22" s="26">
        <v>0.6937660537048432</v>
      </c>
      <c r="AA22" s="26">
        <v>0.7159762232800179</v>
      </c>
      <c r="AB22" s="26">
        <v>0.7405465006908966</v>
      </c>
      <c r="AD22" s="24" t="str">
        <f t="shared" si="0"/>
        <v>fGW</v>
      </c>
      <c r="AE22" s="26">
        <v>0.6751575485170291</v>
      </c>
      <c r="AF22" s="26">
        <v>0.7926983938097959</v>
      </c>
      <c r="AG22" s="26">
        <v>0.5091764843016375</v>
      </c>
    </row>
    <row r="23" spans="1:33" ht="12.75">
      <c r="A23" t="s">
        <v>35</v>
      </c>
      <c r="B23" s="12">
        <f>0.9*2*kappa*R0/A</f>
        <v>5.870846938775511</v>
      </c>
      <c r="C23" s="14" t="s">
        <v>54</v>
      </c>
      <c r="E23" s="7">
        <f>B39</f>
        <v>0.25</v>
      </c>
      <c r="G23" s="24" t="str">
        <f>A39</f>
        <v>alpha_n(A)</v>
      </c>
      <c r="H23" s="25">
        <v>0.25</v>
      </c>
      <c r="I23" s="25">
        <v>0.25</v>
      </c>
      <c r="J23" s="25">
        <v>0.25</v>
      </c>
      <c r="K23" s="25">
        <v>0.25</v>
      </c>
      <c r="L23" s="25">
        <v>0.25</v>
      </c>
      <c r="M23" s="25">
        <v>0.25</v>
      </c>
      <c r="N23" s="25">
        <v>0.25</v>
      </c>
      <c r="P23" s="24" t="s">
        <v>312</v>
      </c>
      <c r="Q23" s="25">
        <v>0.25</v>
      </c>
      <c r="R23" s="25">
        <v>0.25</v>
      </c>
      <c r="S23" s="25">
        <v>0.25</v>
      </c>
      <c r="U23" s="24" t="s">
        <v>312</v>
      </c>
      <c r="V23" s="25">
        <v>0.25</v>
      </c>
      <c r="W23" s="25">
        <v>0.25</v>
      </c>
      <c r="X23" s="25">
        <v>0.25</v>
      </c>
      <c r="Y23" s="25">
        <v>0.25</v>
      </c>
      <c r="Z23" s="25">
        <v>0.25</v>
      </c>
      <c r="AA23" s="25">
        <v>0.25</v>
      </c>
      <c r="AB23" s="25">
        <v>0.25</v>
      </c>
      <c r="AD23" s="24" t="str">
        <f t="shared" si="0"/>
        <v>alpha_n(A)</v>
      </c>
      <c r="AE23" s="25">
        <v>0.25</v>
      </c>
      <c r="AF23" s="25">
        <v>0.25</v>
      </c>
      <c r="AG23" s="25">
        <v>0.25</v>
      </c>
    </row>
    <row r="24" spans="1:33" ht="12.75">
      <c r="A24" t="s">
        <v>36</v>
      </c>
      <c r="B24" s="12">
        <f>R0/A*kappa+4-B23/2</f>
        <v>4.326158163265306</v>
      </c>
      <c r="C24" s="14" t="s">
        <v>54</v>
      </c>
      <c r="E24" s="7">
        <f>B40</f>
        <v>0.25</v>
      </c>
      <c r="G24" s="24" t="str">
        <f>A40</f>
        <v>alpha_T(A)</v>
      </c>
      <c r="H24" s="25">
        <v>0.25</v>
      </c>
      <c r="I24" s="25">
        <v>0.25</v>
      </c>
      <c r="J24" s="25">
        <v>0.25</v>
      </c>
      <c r="K24" s="25">
        <v>0.25</v>
      </c>
      <c r="L24" s="25">
        <v>0.25</v>
      </c>
      <c r="M24" s="25">
        <v>0.25</v>
      </c>
      <c r="N24" s="25">
        <v>0.25</v>
      </c>
      <c r="P24" s="24" t="s">
        <v>311</v>
      </c>
      <c r="Q24" s="25">
        <v>0.25</v>
      </c>
      <c r="R24" s="25">
        <v>0.25</v>
      </c>
      <c r="S24" s="25">
        <v>0.25</v>
      </c>
      <c r="U24" s="24" t="s">
        <v>311</v>
      </c>
      <c r="V24" s="25">
        <v>0.25</v>
      </c>
      <c r="W24" s="25">
        <v>0.25</v>
      </c>
      <c r="X24" s="25">
        <v>0.25</v>
      </c>
      <c r="Y24" s="25">
        <v>0.25</v>
      </c>
      <c r="Z24" s="25">
        <v>0.25</v>
      </c>
      <c r="AA24" s="25">
        <v>0.25</v>
      </c>
      <c r="AB24" s="25">
        <v>0.25</v>
      </c>
      <c r="AD24" s="24" t="str">
        <f t="shared" si="0"/>
        <v>alpha_T(A)</v>
      </c>
      <c r="AE24" s="25">
        <v>0.25</v>
      </c>
      <c r="AF24" s="25">
        <v>0.25</v>
      </c>
      <c r="AG24" s="25">
        <v>0.25</v>
      </c>
    </row>
    <row r="25" spans="1:33" ht="12.75">
      <c r="A25" t="s">
        <v>37</v>
      </c>
      <c r="B25" s="12">
        <f>(B15+(1-delta)*R0/A)/B15</f>
        <v>2.3043478260869565</v>
      </c>
      <c r="C25" s="12" t="s">
        <v>54</v>
      </c>
      <c r="E25" s="4">
        <f>B47</f>
        <v>0.7570220533384725</v>
      </c>
      <c r="G25" s="24" t="str">
        <f>A47</f>
        <v>fBS</v>
      </c>
      <c r="H25" s="26">
        <v>0.8797028217209344</v>
      </c>
      <c r="I25" s="26">
        <v>0.8653978753394864</v>
      </c>
      <c r="J25" s="26">
        <v>0.8529102677581899</v>
      </c>
      <c r="K25" s="26">
        <v>0.8420075581590883</v>
      </c>
      <c r="L25" s="26">
        <v>0.8324790969883564</v>
      </c>
      <c r="M25" s="26">
        <v>0.8241392199574885</v>
      </c>
      <c r="N25" s="26">
        <v>0.8168264034510232</v>
      </c>
      <c r="P25" s="24" t="s">
        <v>164</v>
      </c>
      <c r="Q25" s="26">
        <v>0.8653978753394864</v>
      </c>
      <c r="R25" s="26">
        <v>0.7998931731141573</v>
      </c>
      <c r="S25" s="26">
        <v>0.7293515093895239</v>
      </c>
      <c r="U25" s="24" t="s">
        <v>164</v>
      </c>
      <c r="V25" s="26">
        <v>0.7570220533384725</v>
      </c>
      <c r="W25" s="26">
        <v>0.7358326364692753</v>
      </c>
      <c r="X25" s="26">
        <v>0.7236096784962031</v>
      </c>
      <c r="Y25" s="26">
        <v>0.7191530440794783</v>
      </c>
      <c r="Z25" s="26">
        <v>0.7201754319769272</v>
      </c>
      <c r="AA25" s="26">
        <v>0.7246358598439737</v>
      </c>
      <c r="AB25" s="26">
        <v>0.7306774221663241</v>
      </c>
      <c r="AD25" s="24" t="str">
        <f t="shared" si="0"/>
        <v>fBS</v>
      </c>
      <c r="AE25" s="26">
        <v>0.7358326364692753</v>
      </c>
      <c r="AF25" s="26">
        <v>0.7371874272856125</v>
      </c>
      <c r="AG25" s="26">
        <v>0.5031421153888638</v>
      </c>
    </row>
    <row r="26" spans="1:33" ht="12.75">
      <c r="A26" t="s">
        <v>94</v>
      </c>
      <c r="B26">
        <v>0.95</v>
      </c>
      <c r="C26" s="11" t="s">
        <v>61</v>
      </c>
      <c r="E26" s="7">
        <f>B66</f>
        <v>8.632210295684333</v>
      </c>
      <c r="G26" s="24" t="str">
        <f>A66</f>
        <v>Tempavg</v>
      </c>
      <c r="H26" s="25">
        <v>11.053089671577318</v>
      </c>
      <c r="I26" s="25">
        <v>11.069582085430788</v>
      </c>
      <c r="J26" s="25">
        <v>11.077230017538492</v>
      </c>
      <c r="K26" s="25">
        <v>11.07748843472079</v>
      </c>
      <c r="L26" s="25">
        <v>11.071518383892736</v>
      </c>
      <c r="M26" s="25">
        <v>11.060256912299927</v>
      </c>
      <c r="N26" s="25">
        <v>11.044467696438447</v>
      </c>
      <c r="P26" s="24" t="s">
        <v>27</v>
      </c>
      <c r="Q26" s="25">
        <v>11.069582085430788</v>
      </c>
      <c r="R26" s="25">
        <v>10.52022848056597</v>
      </c>
      <c r="S26" s="25">
        <v>9.9648882986612</v>
      </c>
      <c r="U26" s="24" t="s">
        <v>27</v>
      </c>
      <c r="V26" s="25">
        <v>8.632210295684333</v>
      </c>
      <c r="W26" s="25">
        <v>8.862658162334375</v>
      </c>
      <c r="X26" s="25">
        <v>8.939865382507998</v>
      </c>
      <c r="Y26" s="25">
        <v>8.89025020617432</v>
      </c>
      <c r="Z26" s="25">
        <v>8.758402627382994</v>
      </c>
      <c r="AA26" s="25">
        <v>8.582323967158986</v>
      </c>
      <c r="AB26" s="25">
        <v>8.394400716382252</v>
      </c>
      <c r="AD26" s="24" t="str">
        <f t="shared" si="0"/>
        <v>Tempavg</v>
      </c>
      <c r="AE26" s="25">
        <v>8.862658162334375</v>
      </c>
      <c r="AF26" s="25">
        <v>7.691114604360842</v>
      </c>
      <c r="AG26" s="25">
        <v>9.864753450377988</v>
      </c>
    </row>
    <row r="27" spans="1:33" ht="12.75">
      <c r="A27" t="s">
        <v>214</v>
      </c>
      <c r="B27" s="2">
        <f>TF_Heating!N44/1000000</f>
        <v>97.15987605663312</v>
      </c>
      <c r="C27" s="13" t="s">
        <v>54</v>
      </c>
      <c r="E27" s="7">
        <f>B101</f>
        <v>1.8000000891362995</v>
      </c>
      <c r="G27" s="24" t="str">
        <f>A101</f>
        <v>HH</v>
      </c>
      <c r="H27" s="25">
        <v>1.8000006011260108</v>
      </c>
      <c r="I27" s="25">
        <v>1.8000004865358856</v>
      </c>
      <c r="J27" s="25">
        <v>1.8000003236741082</v>
      </c>
      <c r="K27" s="25">
        <v>1.8000002061822906</v>
      </c>
      <c r="L27" s="25">
        <v>1.800000114094661</v>
      </c>
      <c r="M27" s="25">
        <v>1.8000001003363821</v>
      </c>
      <c r="N27" s="25">
        <v>1.800000029685788</v>
      </c>
      <c r="P27" s="24" t="s">
        <v>51</v>
      </c>
      <c r="Q27" s="25">
        <v>1.8000004865358856</v>
      </c>
      <c r="R27" s="25">
        <v>1.599999998673232</v>
      </c>
      <c r="S27" s="25">
        <v>1.3999999996253265</v>
      </c>
      <c r="U27" s="24" t="s">
        <v>51</v>
      </c>
      <c r="V27" s="25">
        <v>1.8000000891362995</v>
      </c>
      <c r="W27" s="25">
        <v>1.7999999988260467</v>
      </c>
      <c r="X27" s="25">
        <v>1.8000000314466174</v>
      </c>
      <c r="Y27" s="25">
        <v>1.7999999953305523</v>
      </c>
      <c r="Z27" s="25">
        <v>1.8000000747027753</v>
      </c>
      <c r="AA27" s="25">
        <v>1.8000005671711985</v>
      </c>
      <c r="AB27" s="25">
        <v>1.799999950998156</v>
      </c>
      <c r="AD27" s="24" t="str">
        <f t="shared" si="0"/>
        <v>HH</v>
      </c>
      <c r="AE27" s="25">
        <v>1.7999999988260467</v>
      </c>
      <c r="AF27" s="25">
        <v>1.5999999552655932</v>
      </c>
      <c r="AG27" s="25">
        <v>1.4000000116164826</v>
      </c>
    </row>
    <row r="28" spans="1:33" ht="12.75">
      <c r="A28" t="s">
        <v>216</v>
      </c>
      <c r="B28" s="2">
        <f>TF_outer!B22</f>
        <v>11.763618675855298</v>
      </c>
      <c r="E28" s="7">
        <f>B102</f>
        <v>1.2728595565971477</v>
      </c>
      <c r="G28" s="25" t="str">
        <f>A102</f>
        <v>Tau_E*HH</v>
      </c>
      <c r="H28" s="25">
        <v>2.8615303038907256</v>
      </c>
      <c r="I28" s="25">
        <v>2.58722412709158</v>
      </c>
      <c r="J28" s="25">
        <v>2.361699399609633</v>
      </c>
      <c r="K28" s="25">
        <v>2.1730041660877197</v>
      </c>
      <c r="L28" s="25">
        <v>2.0127740610266343</v>
      </c>
      <c r="M28" s="25">
        <v>1.8749832624541733</v>
      </c>
      <c r="N28" s="25">
        <v>1.755181769332087</v>
      </c>
      <c r="P28" s="25" t="s">
        <v>163</v>
      </c>
      <c r="Q28" s="25">
        <v>2.58722412709158</v>
      </c>
      <c r="R28" s="25">
        <v>2.1328586194287524</v>
      </c>
      <c r="S28" s="25">
        <v>1.7285230839518602</v>
      </c>
      <c r="U28" s="25" t="s">
        <v>163</v>
      </c>
      <c r="V28" s="25">
        <v>1.2728595565971477</v>
      </c>
      <c r="W28" s="25">
        <v>1.134307837370276</v>
      </c>
      <c r="X28" s="25">
        <v>1.0296611799337718</v>
      </c>
      <c r="Y28" s="25">
        <v>0.9469326517419245</v>
      </c>
      <c r="Z28" s="25">
        <v>0.8791558583076586</v>
      </c>
      <c r="AA28" s="25">
        <v>0.8222528111940995</v>
      </c>
      <c r="AB28" s="25">
        <v>0.7733697329901775</v>
      </c>
      <c r="AD28" s="25" t="str">
        <f t="shared" si="0"/>
        <v>Tau_E*HH</v>
      </c>
      <c r="AE28" s="25">
        <v>1.134307837370276</v>
      </c>
      <c r="AF28" s="25">
        <v>0.961892137718011</v>
      </c>
      <c r="AG28" s="25">
        <v>0.5089110976366659</v>
      </c>
    </row>
    <row r="29" spans="1:33" ht="12.75">
      <c r="A29" t="s">
        <v>215</v>
      </c>
      <c r="B29" s="2">
        <f>(B27+B28)/B26</f>
        <v>114.65631024472466</v>
      </c>
      <c r="E29" s="7">
        <f>B53</f>
        <v>3.35443398173597</v>
      </c>
      <c r="G29" s="24" t="str">
        <f>A53</f>
        <v>Q</v>
      </c>
      <c r="H29" s="25">
        <v>19.310511489322298</v>
      </c>
      <c r="I29" s="25">
        <v>16.796940536534038</v>
      </c>
      <c r="J29" s="25">
        <v>14.952990508813542</v>
      </c>
      <c r="K29" s="25">
        <v>13.540478938022185</v>
      </c>
      <c r="L29" s="25">
        <v>12.421651252070369</v>
      </c>
      <c r="M29" s="25">
        <v>11.5114546125595</v>
      </c>
      <c r="N29" s="25">
        <v>10.754596040180774</v>
      </c>
      <c r="P29" s="24" t="s">
        <v>256</v>
      </c>
      <c r="Q29" s="25">
        <v>16.796940536534038</v>
      </c>
      <c r="R29" s="25">
        <v>10.05659292475106</v>
      </c>
      <c r="S29" s="25">
        <v>6.469828693068198</v>
      </c>
      <c r="U29" s="24" t="s">
        <v>256</v>
      </c>
      <c r="V29" s="25">
        <v>3.35443398173597</v>
      </c>
      <c r="W29" s="25">
        <v>3.1547633199728975</v>
      </c>
      <c r="X29" s="25">
        <v>2.973861921314465</v>
      </c>
      <c r="Y29" s="25">
        <v>2.8072308862301334</v>
      </c>
      <c r="Z29" s="25">
        <v>2.6544840586577916</v>
      </c>
      <c r="AA29" s="25">
        <v>2.5158070750050254</v>
      </c>
      <c r="AB29" s="25">
        <v>2.391459534747632</v>
      </c>
      <c r="AD29" s="24" t="str">
        <f t="shared" si="0"/>
        <v>Q</v>
      </c>
      <c r="AE29" s="25">
        <v>3.1547633199728975</v>
      </c>
      <c r="AF29" s="25">
        <v>2.254479843610507</v>
      </c>
      <c r="AG29" s="25">
        <v>1.6050535525708147</v>
      </c>
    </row>
    <row r="30" spans="1:33" ht="12.75">
      <c r="A30" t="s">
        <v>248</v>
      </c>
      <c r="B30" s="7">
        <f>PI()*R0*e^2*Bt*s/qcyl/mu0/1000000</f>
        <v>13.181894183252101</v>
      </c>
      <c r="E30" s="2">
        <f>B70</f>
        <v>15.454555371143071</v>
      </c>
      <c r="G30" s="24" t="str">
        <f>A70</f>
        <v>P_Brem</v>
      </c>
      <c r="H30" s="27">
        <v>53.91726951067223</v>
      </c>
      <c r="I30" s="27">
        <v>48.677274689469535</v>
      </c>
      <c r="J30" s="27">
        <v>44.36439298473174</v>
      </c>
      <c r="K30" s="27">
        <v>40.758546061191055</v>
      </c>
      <c r="L30" s="27">
        <v>37.70353509412084</v>
      </c>
      <c r="M30" s="27">
        <v>35.08552376788659</v>
      </c>
      <c r="N30" s="27">
        <v>32.81966559398843</v>
      </c>
      <c r="P30" s="24" t="s">
        <v>29</v>
      </c>
      <c r="Q30" s="27">
        <v>48.677274689469535</v>
      </c>
      <c r="R30" s="27">
        <v>50.173149629632704</v>
      </c>
      <c r="S30" s="27">
        <v>52.694416327316276</v>
      </c>
      <c r="U30" s="24" t="s">
        <v>29</v>
      </c>
      <c r="V30" s="27">
        <v>15.454555371143071</v>
      </c>
      <c r="W30" s="27">
        <v>13.371138634294494</v>
      </c>
      <c r="X30" s="27">
        <v>12.079194213639742</v>
      </c>
      <c r="Y30" s="27">
        <v>11.295844545588322</v>
      </c>
      <c r="Z30" s="27">
        <v>10.82314398602499</v>
      </c>
      <c r="AA30" s="27">
        <v>10.53830551412586</v>
      </c>
      <c r="AB30" s="27">
        <v>10.34990412841154</v>
      </c>
      <c r="AD30" s="24" t="str">
        <f t="shared" si="0"/>
        <v>P_Brem</v>
      </c>
      <c r="AE30" s="27">
        <v>13.371138634294494</v>
      </c>
      <c r="AF30" s="27">
        <v>17.75700679840408</v>
      </c>
      <c r="AG30" s="27">
        <v>7.302470826512361</v>
      </c>
    </row>
    <row r="31" spans="1:33" ht="12.75">
      <c r="A31" t="s">
        <v>72</v>
      </c>
      <c r="B31" s="16">
        <v>4</v>
      </c>
      <c r="E31" s="2">
        <f>B51</f>
        <v>50.43064103196594</v>
      </c>
      <c r="G31" s="24" t="str">
        <f>A51</f>
        <v>P_aux</v>
      </c>
      <c r="H31" s="27">
        <v>40.5570360763232</v>
      </c>
      <c r="I31" s="27">
        <v>42.808179122744264</v>
      </c>
      <c r="J31" s="27">
        <v>44.41751312835268</v>
      </c>
      <c r="K31" s="27">
        <v>45.54790179414409</v>
      </c>
      <c r="L31" s="27">
        <v>46.31939651609559</v>
      </c>
      <c r="M31" s="27">
        <v>46.82117426153792</v>
      </c>
      <c r="N31" s="27">
        <v>47.12009188504344</v>
      </c>
      <c r="P31" s="24" t="s">
        <v>53</v>
      </c>
      <c r="Q31" s="27">
        <v>42.808179122744264</v>
      </c>
      <c r="R31" s="27">
        <v>71.50000448228444</v>
      </c>
      <c r="S31" s="27">
        <v>111.13840463384285</v>
      </c>
      <c r="U31" s="24" t="s">
        <v>53</v>
      </c>
      <c r="V31" s="27">
        <v>50.43064103196594</v>
      </c>
      <c r="W31" s="27">
        <v>49.23159524669359</v>
      </c>
      <c r="X31" s="27">
        <v>48.24088295919473</v>
      </c>
      <c r="Y31" s="27">
        <v>47.45456745885973</v>
      </c>
      <c r="Z31" s="27">
        <v>46.81832304746695</v>
      </c>
      <c r="AA31" s="27">
        <v>46.27526601704746</v>
      </c>
      <c r="AB31" s="27">
        <v>45.77105737612476</v>
      </c>
      <c r="AD31" s="24" t="str">
        <f t="shared" si="0"/>
        <v>P_aux</v>
      </c>
      <c r="AE31" s="27">
        <v>49.23159524669359</v>
      </c>
      <c r="AF31" s="27">
        <v>68.89129273334761</v>
      </c>
      <c r="AG31" s="27">
        <v>68.19687193751568</v>
      </c>
    </row>
    <row r="32" spans="1:33" ht="12.75">
      <c r="A32" t="s">
        <v>73</v>
      </c>
      <c r="B32" s="16">
        <f>R0+R0/A+3</f>
        <v>5.571428571428571</v>
      </c>
      <c r="E32" s="2">
        <f>B52</f>
        <v>169.1662559983549</v>
      </c>
      <c r="G32" s="24" t="str">
        <f>A52</f>
        <v>P_fusion</v>
      </c>
      <c r="H32" s="27">
        <v>783.1771111246982</v>
      </c>
      <c r="I32" s="27">
        <v>719.0464392020332</v>
      </c>
      <c r="J32" s="27">
        <v>664.1746522333585</v>
      </c>
      <c r="K32" s="27">
        <v>616.7404049147109</v>
      </c>
      <c r="L32" s="27">
        <v>575.3633897293026</v>
      </c>
      <c r="M32" s="27">
        <v>538.9798224184328</v>
      </c>
      <c r="N32" s="27">
        <v>506.7575535998424</v>
      </c>
      <c r="P32" s="24" t="s">
        <v>52</v>
      </c>
      <c r="Q32" s="27">
        <v>719.0464392020332</v>
      </c>
      <c r="R32" s="27">
        <v>719.0464391962107</v>
      </c>
      <c r="S32" s="27">
        <v>719.04643920186</v>
      </c>
      <c r="U32" s="24" t="s">
        <v>52</v>
      </c>
      <c r="V32" s="27">
        <v>169.1662559983549</v>
      </c>
      <c r="W32" s="27">
        <v>155.31403086802098</v>
      </c>
      <c r="X32" s="27">
        <v>143.46172488293706</v>
      </c>
      <c r="Y32" s="27">
        <v>133.21592746320243</v>
      </c>
      <c r="Z32" s="27">
        <v>124.27849218259168</v>
      </c>
      <c r="AA32" s="27">
        <v>116.41964164342761</v>
      </c>
      <c r="AB32" s="27">
        <v>109.4596315776145</v>
      </c>
      <c r="AD32" s="24" t="str">
        <f t="shared" si="0"/>
        <v>P_fusion</v>
      </c>
      <c r="AE32" s="27">
        <v>155.31403086802098</v>
      </c>
      <c r="AF32" s="27">
        <v>155.31403086760318</v>
      </c>
      <c r="AG32" s="27">
        <v>109.45963157752645</v>
      </c>
    </row>
    <row r="33" spans="1:33" ht="12.75">
      <c r="A33" t="s">
        <v>74</v>
      </c>
      <c r="B33" s="16">
        <v>0.5</v>
      </c>
      <c r="E33" s="2">
        <f>B94</f>
        <v>33.83324993422647</v>
      </c>
      <c r="G33" s="27" t="str">
        <f>A94</f>
        <v>P_alpha</v>
      </c>
      <c r="H33" s="27">
        <v>156.63537861304164</v>
      </c>
      <c r="I33" s="27">
        <v>143.80925441372992</v>
      </c>
      <c r="J33" s="27">
        <v>132.8349093202136</v>
      </c>
      <c r="K33" s="27">
        <v>123.34806816075425</v>
      </c>
      <c r="L33" s="27">
        <v>115.07267116734829</v>
      </c>
      <c r="M33" s="27">
        <v>107.7959587786428</v>
      </c>
      <c r="N33" s="27">
        <v>101.35150909979</v>
      </c>
      <c r="P33" s="27" t="s">
        <v>47</v>
      </c>
      <c r="Q33" s="27">
        <v>143.80925441372992</v>
      </c>
      <c r="R33" s="27">
        <v>143.80928806884518</v>
      </c>
      <c r="S33" s="27">
        <v>143.809287948662</v>
      </c>
      <c r="U33" s="27" t="s">
        <v>47</v>
      </c>
      <c r="V33" s="27">
        <v>33.83324993422647</v>
      </c>
      <c r="W33" s="27">
        <v>31.06280636202693</v>
      </c>
      <c r="X33" s="27">
        <v>28.692344418381367</v>
      </c>
      <c r="Y33" s="27">
        <v>26.643185632702625</v>
      </c>
      <c r="Z33" s="27">
        <v>24.85569722007048</v>
      </c>
      <c r="AA33" s="27">
        <v>23.283922761982122</v>
      </c>
      <c r="AB33" s="27">
        <v>21.8919270758185</v>
      </c>
      <c r="AD33" s="27" t="str">
        <f t="shared" si="0"/>
        <v>P_alpha</v>
      </c>
      <c r="AE33" s="27">
        <v>31.06280636202693</v>
      </c>
      <c r="AF33" s="27">
        <v>31.062806593206155</v>
      </c>
      <c r="AG33" s="27">
        <v>21.891925621240887</v>
      </c>
    </row>
    <row r="34" spans="1:33" ht="12.75">
      <c r="A34" t="s">
        <v>75</v>
      </c>
      <c r="B34" s="16">
        <f>Ip*B33*1000000</f>
        <v>6590947.091626051</v>
      </c>
      <c r="E34" s="8">
        <f>B48</f>
        <v>0.21580524188352607</v>
      </c>
      <c r="F34" s="8"/>
      <c r="G34" s="29" t="str">
        <f>A48</f>
        <v>Eta_CD</v>
      </c>
      <c r="H34" s="29">
        <v>0.2763272471486679</v>
      </c>
      <c r="I34" s="29">
        <v>0.27673955812370293</v>
      </c>
      <c r="J34" s="29">
        <v>0.27693075538659195</v>
      </c>
      <c r="K34" s="29">
        <v>0.2769372145614141</v>
      </c>
      <c r="L34" s="29">
        <v>0.27678796190847754</v>
      </c>
      <c r="M34" s="29">
        <v>0.2765064250473015</v>
      </c>
      <c r="N34" s="29">
        <v>0.27611169320355183</v>
      </c>
      <c r="P34" s="29" t="s">
        <v>166</v>
      </c>
      <c r="Q34" s="29">
        <v>0.27673955812370293</v>
      </c>
      <c r="R34" s="29">
        <v>0.26300571186405575</v>
      </c>
      <c r="S34" s="29">
        <v>0.24912220743866656</v>
      </c>
      <c r="U34" s="29" t="s">
        <v>166</v>
      </c>
      <c r="V34" s="29">
        <v>0.21580524188352607</v>
      </c>
      <c r="W34" s="29">
        <v>0.22156645294040833</v>
      </c>
      <c r="X34" s="29">
        <v>0.22349662962427075</v>
      </c>
      <c r="Y34" s="29">
        <v>0.22225625542789057</v>
      </c>
      <c r="Z34" s="29">
        <v>0.21896005329118928</v>
      </c>
      <c r="AA34" s="29">
        <v>0.21455799999553576</v>
      </c>
      <c r="AB34" s="29">
        <v>0.2098600220075892</v>
      </c>
      <c r="AD34" s="29" t="str">
        <f t="shared" si="0"/>
        <v>Eta_CD</v>
      </c>
      <c r="AE34" s="29">
        <v>0.22156645294040833</v>
      </c>
      <c r="AF34" s="29">
        <v>0.1922778780365171</v>
      </c>
      <c r="AG34" s="29">
        <v>0.24661883456955458</v>
      </c>
    </row>
    <row r="35" spans="1:33" ht="12.75">
      <c r="A35" t="s">
        <v>76</v>
      </c>
      <c r="B35" s="16">
        <v>10000000</v>
      </c>
      <c r="C35" s="14" t="s">
        <v>54</v>
      </c>
      <c r="E35" s="2">
        <f>B49</f>
        <v>50.43064103196594</v>
      </c>
      <c r="G35" s="24" t="str">
        <f>A49</f>
        <v>P_CD</v>
      </c>
      <c r="H35" s="27">
        <v>40.5570360763232</v>
      </c>
      <c r="I35" s="27">
        <v>42.808179122744264</v>
      </c>
      <c r="J35" s="27">
        <v>44.41751312835268</v>
      </c>
      <c r="K35" s="27">
        <v>45.54790179414409</v>
      </c>
      <c r="L35" s="27">
        <v>46.31939651609559</v>
      </c>
      <c r="M35" s="27">
        <v>46.82117426153792</v>
      </c>
      <c r="N35" s="27">
        <v>47.12009188504344</v>
      </c>
      <c r="P35" s="24" t="s">
        <v>165</v>
      </c>
      <c r="Q35" s="27">
        <v>42.808179122744264</v>
      </c>
      <c r="R35" s="27">
        <v>71.50000448228444</v>
      </c>
      <c r="S35" s="27">
        <v>111.13840463384285</v>
      </c>
      <c r="U35" s="24" t="s">
        <v>165</v>
      </c>
      <c r="V35" s="27">
        <v>50.43064103196594</v>
      </c>
      <c r="W35" s="27">
        <v>49.23159524669359</v>
      </c>
      <c r="X35" s="27">
        <v>48.24088295919473</v>
      </c>
      <c r="Y35" s="27">
        <v>47.45456745885973</v>
      </c>
      <c r="Z35" s="27">
        <v>46.81832304746695</v>
      </c>
      <c r="AA35" s="27">
        <v>46.27526601704746</v>
      </c>
      <c r="AB35" s="27">
        <v>45.77105737612476</v>
      </c>
      <c r="AD35" s="24" t="str">
        <f t="shared" si="0"/>
        <v>P_CD</v>
      </c>
      <c r="AE35" s="27">
        <v>49.23159524669359</v>
      </c>
      <c r="AF35" s="27">
        <v>68.89129273334761</v>
      </c>
      <c r="AG35" s="27">
        <v>68.19687193751568</v>
      </c>
    </row>
    <row r="36" spans="1:33" ht="12.75">
      <c r="A36" t="s">
        <v>77</v>
      </c>
      <c r="B36" s="16">
        <f>B34/B35</f>
        <v>0.659094709162605</v>
      </c>
      <c r="C36" s="11" t="s">
        <v>174</v>
      </c>
      <c r="E36" s="4">
        <f>B50</f>
        <v>1</v>
      </c>
      <c r="G36" s="25" t="s">
        <v>168</v>
      </c>
      <c r="H36" s="26">
        <v>1</v>
      </c>
      <c r="I36" s="26">
        <v>1</v>
      </c>
      <c r="J36" s="26">
        <v>1</v>
      </c>
      <c r="K36" s="26">
        <v>1</v>
      </c>
      <c r="L36" s="26">
        <v>1</v>
      </c>
      <c r="M36" s="26">
        <v>1</v>
      </c>
      <c r="N36" s="26">
        <v>1</v>
      </c>
      <c r="P36" s="25" t="s">
        <v>168</v>
      </c>
      <c r="Q36" s="26">
        <v>1</v>
      </c>
      <c r="R36" s="26">
        <v>1</v>
      </c>
      <c r="S36" s="26">
        <v>1</v>
      </c>
      <c r="U36" s="25" t="s">
        <v>168</v>
      </c>
      <c r="V36" s="26">
        <v>1</v>
      </c>
      <c r="W36" s="26">
        <v>1</v>
      </c>
      <c r="X36" s="26">
        <v>1</v>
      </c>
      <c r="Y36" s="26">
        <v>1</v>
      </c>
      <c r="Z36" s="26">
        <v>1</v>
      </c>
      <c r="AA36" s="26">
        <v>1</v>
      </c>
      <c r="AB36" s="26">
        <v>1</v>
      </c>
      <c r="AD36" s="25" t="str">
        <f t="shared" si="0"/>
        <v>P_CD/P_aux</v>
      </c>
      <c r="AE36" s="26">
        <v>1</v>
      </c>
      <c r="AF36" s="26">
        <v>1</v>
      </c>
      <c r="AG36" s="26">
        <v>1</v>
      </c>
    </row>
    <row r="37" spans="1:33" ht="12.75">
      <c r="A37" t="s">
        <v>78</v>
      </c>
      <c r="B37" s="2">
        <f>2*B34^2*0.00000001742*(1+0.0041*(60-20))*2*PI()*B32/B36/1000000</f>
        <v>93.56757789451427</v>
      </c>
      <c r="C37" s="11"/>
      <c r="E37" s="2">
        <f>B138</f>
        <v>112.06809118214653</v>
      </c>
      <c r="G37" s="25" t="str">
        <f>A138</f>
        <v>P_aux_input</v>
      </c>
      <c r="H37" s="27">
        <v>90.12674683627378</v>
      </c>
      <c r="I37" s="27">
        <v>95.1292869394317</v>
      </c>
      <c r="J37" s="27">
        <v>98.70558472967262</v>
      </c>
      <c r="K37" s="27">
        <v>101.21755954254242</v>
      </c>
      <c r="L37" s="27">
        <v>102.93199225799019</v>
      </c>
      <c r="M37" s="27">
        <v>104.0470539145287</v>
      </c>
      <c r="N37" s="27">
        <v>104.71131530009654</v>
      </c>
      <c r="P37" s="25" t="s">
        <v>79</v>
      </c>
      <c r="Q37" s="27">
        <v>95.1292869394317</v>
      </c>
      <c r="R37" s="27">
        <v>158.88889884952098</v>
      </c>
      <c r="S37" s="27">
        <v>246.97423251965077</v>
      </c>
      <c r="U37" s="25" t="s">
        <v>79</v>
      </c>
      <c r="V37" s="27">
        <v>112.06809118214653</v>
      </c>
      <c r="W37" s="27">
        <v>109.40354499265241</v>
      </c>
      <c r="X37" s="27">
        <v>107.20196213154384</v>
      </c>
      <c r="Y37" s="27">
        <v>105.45459435302162</v>
      </c>
      <c r="Z37" s="27">
        <v>104.04071788325987</v>
      </c>
      <c r="AA37" s="27">
        <v>102.83392448232767</v>
      </c>
      <c r="AB37" s="27">
        <v>101.71346083583279</v>
      </c>
      <c r="AD37" s="25" t="str">
        <f t="shared" si="0"/>
        <v>P_aux_input</v>
      </c>
      <c r="AE37" s="27">
        <v>109.40354499265241</v>
      </c>
      <c r="AF37" s="27">
        <v>153.09176162966136</v>
      </c>
      <c r="AG37" s="27">
        <v>151.5486043055904</v>
      </c>
    </row>
    <row r="38" spans="1:33" ht="12.75">
      <c r="A38" t="s">
        <v>78</v>
      </c>
      <c r="B38" s="21">
        <v>0</v>
      </c>
      <c r="C38" s="11"/>
      <c r="E38" s="2">
        <f>B29</f>
        <v>114.65631024472466</v>
      </c>
      <c r="G38" s="25" t="str">
        <f>A29</f>
        <v>∑P_tf</v>
      </c>
      <c r="H38" s="27">
        <v>130.83918646164958</v>
      </c>
      <c r="I38" s="27">
        <v>118.87813747127059</v>
      </c>
      <c r="J38" s="27">
        <v>115.69521232195211</v>
      </c>
      <c r="K38" s="27">
        <v>116.79661068494133</v>
      </c>
      <c r="L38" s="27">
        <v>120.37768409539792</v>
      </c>
      <c r="M38" s="27">
        <v>125.5672541484684</v>
      </c>
      <c r="N38" s="27">
        <v>131.88185055891518</v>
      </c>
      <c r="P38" s="25" t="s">
        <v>215</v>
      </c>
      <c r="Q38" s="27">
        <v>118.87813747127059</v>
      </c>
      <c r="R38" s="27">
        <v>126.1508999004769</v>
      </c>
      <c r="S38" s="27">
        <v>136.2920585284162</v>
      </c>
      <c r="U38" s="25" t="s">
        <v>215</v>
      </c>
      <c r="V38" s="27">
        <v>114.65631024472466</v>
      </c>
      <c r="W38" s="27">
        <v>100.4217432845864</v>
      </c>
      <c r="X38" s="27">
        <v>96.42412947573361</v>
      </c>
      <c r="Y38" s="27">
        <v>96.80232645828596</v>
      </c>
      <c r="Z38" s="27">
        <v>99.54683679106572</v>
      </c>
      <c r="AA38" s="27">
        <v>103.81233681967197</v>
      </c>
      <c r="AB38" s="27">
        <v>109.20472823699163</v>
      </c>
      <c r="AD38" s="25" t="str">
        <f t="shared" si="0"/>
        <v>∑P_tf</v>
      </c>
      <c r="AE38" s="27">
        <v>100.4217432845864</v>
      </c>
      <c r="AF38" s="27">
        <v>104.35394981521986</v>
      </c>
      <c r="AG38" s="27">
        <v>148.2851227299194</v>
      </c>
    </row>
    <row r="39" spans="1:33" ht="12.75">
      <c r="A39" t="s">
        <v>312</v>
      </c>
      <c r="B39" s="14">
        <v>0.25</v>
      </c>
      <c r="C39" s="11"/>
      <c r="E39" s="2">
        <f>B136</f>
        <v>20</v>
      </c>
      <c r="G39" s="25" t="str">
        <f>A136</f>
        <v>P_bop</v>
      </c>
      <c r="H39" s="27">
        <v>24.499548302077308</v>
      </c>
      <c r="I39" s="27">
        <v>22.240380900216138</v>
      </c>
      <c r="J39" s="27">
        <v>20.34069018943172</v>
      </c>
      <c r="K39" s="27">
        <v>18.72412540792956</v>
      </c>
      <c r="L39" s="27">
        <v>17.33409146556935</v>
      </c>
      <c r="M39" s="27">
        <v>16.127822505145886</v>
      </c>
      <c r="N39" s="27">
        <v>15.072455923826396</v>
      </c>
      <c r="P39" s="25" t="s">
        <v>158</v>
      </c>
      <c r="Q39" s="27">
        <v>22.240380900216138</v>
      </c>
      <c r="R39" s="27">
        <v>22.656736007371943</v>
      </c>
      <c r="S39" s="27">
        <v>23.294228577960443</v>
      </c>
      <c r="U39" s="25" t="s">
        <v>158</v>
      </c>
      <c r="V39" s="27">
        <v>20</v>
      </c>
      <c r="W39" s="27">
        <v>20</v>
      </c>
      <c r="X39" s="27">
        <v>20</v>
      </c>
      <c r="Y39" s="27">
        <v>20</v>
      </c>
      <c r="Z39" s="27">
        <v>20</v>
      </c>
      <c r="AA39" s="27">
        <v>20</v>
      </c>
      <c r="AB39" s="27">
        <v>20</v>
      </c>
      <c r="AD39" s="25" t="str">
        <f t="shared" si="0"/>
        <v>P_bop</v>
      </c>
      <c r="AE39" s="27">
        <v>20</v>
      </c>
      <c r="AF39" s="27">
        <v>20</v>
      </c>
      <c r="AG39" s="27">
        <v>20</v>
      </c>
    </row>
    <row r="40" spans="1:33" ht="12.75">
      <c r="A40" t="s">
        <v>311</v>
      </c>
      <c r="B40" s="14">
        <f>alpha_N</f>
        <v>0.25</v>
      </c>
      <c r="C40" s="11"/>
      <c r="E40" s="2">
        <f>B139</f>
        <v>246.7244014268712</v>
      </c>
      <c r="G40" s="25" t="str">
        <f>A139</f>
        <v>∑P_elec input</v>
      </c>
      <c r="H40" s="27">
        <v>245.46548160000066</v>
      </c>
      <c r="I40" s="27">
        <v>236.24780531091844</v>
      </c>
      <c r="J40" s="27">
        <v>234.74148724105646</v>
      </c>
      <c r="K40" s="27">
        <v>236.73829563541332</v>
      </c>
      <c r="L40" s="27">
        <v>240.64376781895746</v>
      </c>
      <c r="M40" s="27">
        <v>245.742130568143</v>
      </c>
      <c r="N40" s="27">
        <v>251.66562178283812</v>
      </c>
      <c r="P40" s="25" t="s">
        <v>160</v>
      </c>
      <c r="Q40" s="27">
        <v>236.24780531091844</v>
      </c>
      <c r="R40" s="27">
        <v>307.6965347573698</v>
      </c>
      <c r="S40" s="27">
        <v>406.56051962602737</v>
      </c>
      <c r="U40" s="25" t="s">
        <v>160</v>
      </c>
      <c r="V40" s="27">
        <v>246.7244014268712</v>
      </c>
      <c r="W40" s="27">
        <v>229.82528827723883</v>
      </c>
      <c r="X40" s="27">
        <v>223.62609160727743</v>
      </c>
      <c r="Y40" s="27">
        <v>222.25692081130757</v>
      </c>
      <c r="Z40" s="27">
        <v>223.5875546743256</v>
      </c>
      <c r="AA40" s="27">
        <v>226.64626130199963</v>
      </c>
      <c r="AB40" s="27">
        <v>230.91818907282442</v>
      </c>
      <c r="AD40" s="25" t="str">
        <f t="shared" si="0"/>
        <v>∑P_elec input</v>
      </c>
      <c r="AE40" s="27">
        <v>229.82528827723883</v>
      </c>
      <c r="AF40" s="27">
        <v>277.4457114448812</v>
      </c>
      <c r="AG40" s="27">
        <v>319.8337270355098</v>
      </c>
    </row>
    <row r="41" spans="1:33" ht="12.75">
      <c r="A41" t="s">
        <v>148</v>
      </c>
      <c r="B41" s="23">
        <f>Beta_N!B14/100</f>
        <v>0.0801461888325346</v>
      </c>
      <c r="C41" s="11"/>
      <c r="E41" s="2">
        <f>P_elec_out</f>
        <v>0</v>
      </c>
      <c r="F41" s="2"/>
      <c r="G41" s="27" t="str">
        <f>A135</f>
        <v>P_elec gen</v>
      </c>
      <c r="H41" s="27">
        <v>244.99548302077307</v>
      </c>
      <c r="I41" s="27">
        <v>222.40380900216135</v>
      </c>
      <c r="J41" s="27">
        <v>203.40690189431717</v>
      </c>
      <c r="K41" s="27">
        <v>187.2412540792956</v>
      </c>
      <c r="L41" s="27">
        <v>173.3409146556935</v>
      </c>
      <c r="M41" s="27">
        <v>161.27822505145886</v>
      </c>
      <c r="N41" s="27">
        <v>150.72455923826396</v>
      </c>
      <c r="P41" s="27" t="s">
        <v>151</v>
      </c>
      <c r="Q41" s="27">
        <v>222.40380900216135</v>
      </c>
      <c r="R41" s="27">
        <v>226.5673600737194</v>
      </c>
      <c r="S41" s="27">
        <v>232.94228577960442</v>
      </c>
      <c r="U41" s="27" t="s">
        <v>151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D41" s="27" t="str">
        <f t="shared" si="0"/>
        <v>P_elec gen</v>
      </c>
      <c r="AE41" s="27">
        <v>0</v>
      </c>
      <c r="AF41" s="27">
        <v>0</v>
      </c>
      <c r="AG41" s="27">
        <v>0</v>
      </c>
    </row>
    <row r="42" spans="1:33" ht="12.75">
      <c r="A42" t="s">
        <v>250</v>
      </c>
      <c r="B42" s="40">
        <v>0.06763139980851329</v>
      </c>
      <c r="C42" s="11"/>
      <c r="E42" s="2">
        <f>B140</f>
        <v>-246.7244014268712</v>
      </c>
      <c r="F42"/>
      <c r="G42" s="24" t="str">
        <f>A140</f>
        <v>P_net elec</v>
      </c>
      <c r="H42" s="27">
        <v>-0.4699985792275925</v>
      </c>
      <c r="I42" s="27">
        <v>-13.843996308757085</v>
      </c>
      <c r="J42" s="27">
        <v>-31.33458534673929</v>
      </c>
      <c r="K42" s="27">
        <v>-49.49704155611772</v>
      </c>
      <c r="L42" s="27">
        <v>-67.30285316326396</v>
      </c>
      <c r="M42" s="27">
        <v>-84.46390551668415</v>
      </c>
      <c r="N42" s="27">
        <v>-100.94106254457415</v>
      </c>
      <c r="P42" s="24" t="s">
        <v>159</v>
      </c>
      <c r="Q42" s="27">
        <v>-13.843996308757085</v>
      </c>
      <c r="R42" s="27">
        <v>-81.1291746836504</v>
      </c>
      <c r="S42" s="27">
        <v>-173.61823384642295</v>
      </c>
      <c r="U42" s="24" t="s">
        <v>159</v>
      </c>
      <c r="V42" s="27">
        <v>-246.7244014268712</v>
      </c>
      <c r="W42" s="27">
        <v>-229.82528827723883</v>
      </c>
      <c r="X42" s="27">
        <v>-223.62609160727743</v>
      </c>
      <c r="Y42" s="27">
        <v>-222.25692081130757</v>
      </c>
      <c r="Z42" s="27">
        <v>-223.5875546743256</v>
      </c>
      <c r="AA42" s="27">
        <v>-226.64626130199963</v>
      </c>
      <c r="AB42" s="27">
        <v>-230.91818907282442</v>
      </c>
      <c r="AD42" s="24" t="str">
        <f t="shared" si="0"/>
        <v>P_net elec</v>
      </c>
      <c r="AE42" s="27">
        <v>-229.82528827723883</v>
      </c>
      <c r="AF42" s="27">
        <v>-277.4457114448812</v>
      </c>
      <c r="AG42" s="27">
        <v>-319.8337270355098</v>
      </c>
    </row>
    <row r="43" spans="1:33" ht="12.75">
      <c r="A43" t="s">
        <v>169</v>
      </c>
      <c r="B43" s="3">
        <f>Ip*Beta_N/R0/e/Bt</f>
        <v>0.4881597605451481</v>
      </c>
      <c r="C43" s="11"/>
      <c r="E43" s="2">
        <f>B125</f>
        <v>1.4999999438575806</v>
      </c>
      <c r="F43" s="2"/>
      <c r="G43" s="27" t="str">
        <f>A125</f>
        <v>Xnwall</v>
      </c>
      <c r="H43" s="27">
        <v>2.4999993039296013</v>
      </c>
      <c r="I43" s="27">
        <v>2.4999994189067642</v>
      </c>
      <c r="J43" s="27">
        <v>2.4999996023876134</v>
      </c>
      <c r="K43" s="27">
        <v>2.4999997401215563</v>
      </c>
      <c r="L43" s="27">
        <v>2.499999852736684</v>
      </c>
      <c r="M43" s="27">
        <v>2.499999867696335</v>
      </c>
      <c r="N43" s="27">
        <v>2.4999999600356966</v>
      </c>
      <c r="P43" s="27" t="s">
        <v>205</v>
      </c>
      <c r="Q43" s="27">
        <v>2.4999994189067642</v>
      </c>
      <c r="R43" s="27">
        <v>2.500000003971814</v>
      </c>
      <c r="S43" s="27">
        <v>2.5000000018825332</v>
      </c>
      <c r="U43" s="27" t="s">
        <v>205</v>
      </c>
      <c r="V43" s="27">
        <v>1.4999999438575806</v>
      </c>
      <c r="W43" s="27">
        <v>1.5000000091028467</v>
      </c>
      <c r="X43" s="27">
        <v>1.4999999708202234</v>
      </c>
      <c r="Y43" s="27">
        <v>1.5000000079035523</v>
      </c>
      <c r="Z43" s="27">
        <v>1.4999999266037654</v>
      </c>
      <c r="AA43" s="27">
        <v>1.499999641399149</v>
      </c>
      <c r="AB43" s="27">
        <v>1.5000000520949333</v>
      </c>
      <c r="AD43" s="27" t="str">
        <f t="shared" si="0"/>
        <v>Xnwall</v>
      </c>
      <c r="AE43" s="27">
        <v>1.5000000091028467</v>
      </c>
      <c r="AF43" s="27">
        <v>1.5000000202663208</v>
      </c>
      <c r="AG43" s="27">
        <v>1.4999999524295866</v>
      </c>
    </row>
    <row r="44" spans="1:33" ht="12.75">
      <c r="A44" t="s">
        <v>251</v>
      </c>
      <c r="B44" s="4">
        <f>Beta_T*qcyl^2*2*A^2/(1+kappa^2)</f>
        <v>1.2024862885953662</v>
      </c>
      <c r="C44" s="11" t="s">
        <v>175</v>
      </c>
      <c r="E44" s="16">
        <f>B143</f>
        <v>255542267341.23703</v>
      </c>
      <c r="F44"/>
      <c r="G44" s="28" t="str">
        <f>A143</f>
        <v>n/s/W</v>
      </c>
      <c r="H44" s="28"/>
      <c r="I44" s="28"/>
      <c r="J44" s="28"/>
      <c r="K44" s="28"/>
      <c r="L44" s="28"/>
      <c r="M44" s="28"/>
      <c r="N44" s="28"/>
      <c r="P44" s="28" t="s">
        <v>258</v>
      </c>
      <c r="Q44" s="28"/>
      <c r="R44" s="28">
        <v>860014343607.1068</v>
      </c>
      <c r="S44" s="28">
        <v>650883252547.5723</v>
      </c>
      <c r="U44" s="28" t="str">
        <f>G44</f>
        <v>n/s/W</v>
      </c>
      <c r="V44" s="28">
        <v>255542267341.23703</v>
      </c>
      <c r="W44" s="28">
        <v>248704840258.80353</v>
      </c>
      <c r="X44" s="28">
        <v>233429555013.23724</v>
      </c>
      <c r="Y44" s="28">
        <v>215871673278.82727</v>
      </c>
      <c r="Z44" s="28">
        <v>198340990836.1295</v>
      </c>
      <c r="AA44" s="28">
        <v>181749905950.1087</v>
      </c>
      <c r="AB44" s="28">
        <v>166434257150.65005</v>
      </c>
      <c r="AD44" s="28" t="str">
        <f t="shared" si="0"/>
        <v>n/s/W</v>
      </c>
      <c r="AE44" s="28">
        <v>248704840258.80353</v>
      </c>
      <c r="AF44" s="28">
        <v>206017463058.26688</v>
      </c>
      <c r="AG44" s="28">
        <v>120164616837.33232</v>
      </c>
    </row>
    <row r="45" spans="1:16" ht="12.75">
      <c r="A45" t="s">
        <v>127</v>
      </c>
      <c r="B45" s="8">
        <f>Beta_N!B13</f>
        <v>1.210463857388037</v>
      </c>
      <c r="C45" s="11"/>
      <c r="P45" t="s">
        <v>54</v>
      </c>
    </row>
    <row r="46" spans="1:14" ht="12.75">
      <c r="A46" t="s">
        <v>68</v>
      </c>
      <c r="B46">
        <f>0.6783+0.0446/A</f>
        <v>0.7101571428571429</v>
      </c>
      <c r="C46" s="11"/>
      <c r="E46" s="37">
        <f>B95</f>
        <v>1.2654445100679368E-06</v>
      </c>
      <c r="F46"/>
      <c r="G46" s="24" t="str">
        <f>G3</f>
        <v>A</v>
      </c>
      <c r="H46" s="27">
        <v>1.4</v>
      </c>
      <c r="I46" s="27">
        <v>1.5</v>
      </c>
      <c r="J46" s="27">
        <v>1.6</v>
      </c>
      <c r="K46" s="27">
        <v>1.7</v>
      </c>
      <c r="L46" s="27">
        <v>1.8</v>
      </c>
      <c r="M46" s="27">
        <v>1.9</v>
      </c>
      <c r="N46" s="27">
        <v>2</v>
      </c>
    </row>
    <row r="47" spans="1:14" ht="12.75">
      <c r="A47" t="s">
        <v>164</v>
      </c>
      <c r="B47" s="45">
        <f>Beta_P*B46*B45^0.25/SQRT(A)</f>
        <v>0.7570220533384725</v>
      </c>
      <c r="C47" s="11"/>
      <c r="E47" s="37">
        <f>B97</f>
        <v>-2.9655714106624487E-08</v>
      </c>
      <c r="F47"/>
      <c r="G47" s="24" t="s">
        <v>20</v>
      </c>
      <c r="H47" s="27">
        <v>46.891510644481514</v>
      </c>
      <c r="I47" s="27">
        <v>49.278994273887434</v>
      </c>
      <c r="J47" s="27">
        <v>44.593884502278854</v>
      </c>
      <c r="K47" s="27">
        <v>36.804228593926865</v>
      </c>
      <c r="L47" s="27">
        <v>28.37295491362252</v>
      </c>
      <c r="M47" s="27">
        <v>19.888984522141925</v>
      </c>
      <c r="N47" s="27">
        <v>11.535298145199988</v>
      </c>
    </row>
    <row r="48" spans="1:14" ht="12.75">
      <c r="A48" t="s">
        <v>166</v>
      </c>
      <c r="B48" s="44">
        <v>0.21580524188352607</v>
      </c>
      <c r="C48" s="11"/>
      <c r="E48" s="37"/>
      <c r="F48"/>
      <c r="G48" s="24" t="s">
        <v>21</v>
      </c>
      <c r="H48" s="27">
        <v>-0.4699985792275925</v>
      </c>
      <c r="I48" s="27">
        <v>-13.843996308757085</v>
      </c>
      <c r="J48" s="27">
        <v>-31.33458534673929</v>
      </c>
      <c r="K48" s="27">
        <v>-49.49704155611772</v>
      </c>
      <c r="L48" s="27">
        <v>-67.30285316326396</v>
      </c>
      <c r="M48" s="27">
        <v>-84.46390551668415</v>
      </c>
      <c r="N48" s="27">
        <v>-100.94106254457415</v>
      </c>
    </row>
    <row r="49" spans="1:13" ht="12.75">
      <c r="A49" t="s">
        <v>165</v>
      </c>
      <c r="B49" s="2">
        <f>(xne*R0*Ip*(1-fBS))/100000000000000000000/Eta_CD</f>
        <v>50.43064103196594</v>
      </c>
      <c r="C49" s="11"/>
      <c r="E49" s="2"/>
      <c r="F49"/>
      <c r="G49"/>
      <c r="K49" s="33"/>
      <c r="L49" s="33"/>
      <c r="M49" s="33"/>
    </row>
    <row r="50" spans="1:13" ht="12.75">
      <c r="A50" t="s">
        <v>149</v>
      </c>
      <c r="B50" s="41">
        <v>1</v>
      </c>
      <c r="C50" s="11"/>
      <c r="G50"/>
      <c r="K50" s="33"/>
      <c r="L50" s="33"/>
      <c r="M50" s="33"/>
    </row>
    <row r="51" spans="1:13" ht="12.75">
      <c r="A51" t="s">
        <v>53</v>
      </c>
      <c r="B51" s="33">
        <f>B50*P_CD</f>
        <v>50.43064103196594</v>
      </c>
      <c r="C51" s="11"/>
      <c r="E51" s="2"/>
      <c r="F51"/>
      <c r="G51" s="32"/>
      <c r="H51" s="33"/>
      <c r="I51" s="33"/>
      <c r="J51" s="33"/>
      <c r="K51" s="33"/>
      <c r="L51" s="33"/>
      <c r="M51" s="33"/>
    </row>
    <row r="52" spans="1:13" ht="12.75">
      <c r="A52" t="s">
        <v>52</v>
      </c>
      <c r="B52" s="42">
        <v>169.1662559983549</v>
      </c>
      <c r="C52" s="11"/>
      <c r="E52" s="2"/>
      <c r="F52"/>
      <c r="G52" s="32"/>
      <c r="H52" s="33"/>
      <c r="I52" s="33"/>
      <c r="J52" s="33"/>
      <c r="K52" s="33"/>
      <c r="L52" s="33"/>
      <c r="M52" s="33"/>
    </row>
    <row r="53" spans="1:13" ht="12.75">
      <c r="A53" t="s">
        <v>256</v>
      </c>
      <c r="B53" s="34">
        <f>P_fusion/P_aux</f>
        <v>3.35443398173597</v>
      </c>
      <c r="C53" s="11"/>
      <c r="E53" s="2"/>
      <c r="F53"/>
      <c r="G53" s="32"/>
      <c r="H53" s="33"/>
      <c r="I53" s="33"/>
      <c r="J53" s="33"/>
      <c r="K53" s="33"/>
      <c r="L53" s="33"/>
      <c r="M53" s="33"/>
    </row>
    <row r="54" spans="1:3" ht="12.75">
      <c r="A54" t="s">
        <v>156</v>
      </c>
      <c r="B54" s="34">
        <f>P_fusion/5</f>
        <v>33.83325119967098</v>
      </c>
      <c r="C54" s="14" t="s">
        <v>54</v>
      </c>
    </row>
    <row r="55" spans="1:7" ht="12.75">
      <c r="A55" t="s">
        <v>252</v>
      </c>
      <c r="B55" s="44">
        <v>0.6972227687143964</v>
      </c>
      <c r="C55" s="14" t="s">
        <v>236</v>
      </c>
      <c r="F55"/>
      <c r="G55"/>
    </row>
    <row r="56" spans="1:7" ht="12.75">
      <c r="A56" t="s">
        <v>253</v>
      </c>
      <c r="B56" s="11">
        <f>fGW*Ip/(PI()*R0^2*e^2*(1+0.5*alpha_N))*100000000000000000000</f>
        <v>2.2652729564467898E+20</v>
      </c>
      <c r="C56" s="14" t="s">
        <v>237</v>
      </c>
      <c r="F56"/>
      <c r="G56"/>
    </row>
    <row r="57" spans="1:7" ht="12.75">
      <c r="A57" t="s">
        <v>254</v>
      </c>
      <c r="B57" s="14">
        <f>0.5*(2+alpha_N)*xne/10000000000000000000</f>
        <v>25.484320760026385</v>
      </c>
      <c r="C57" s="14"/>
      <c r="F57"/>
      <c r="G57"/>
    </row>
    <row r="58" spans="1:7" ht="12.75">
      <c r="A58" t="s">
        <v>157</v>
      </c>
      <c r="B58" s="5">
        <v>4.999895666749522</v>
      </c>
      <c r="C58" s="14" t="s">
        <v>69</v>
      </c>
      <c r="F58"/>
      <c r="G58"/>
    </row>
    <row r="59" spans="1:7" ht="12.75">
      <c r="A59" t="s">
        <v>86</v>
      </c>
      <c r="B59" s="10">
        <v>0.45678598413803906</v>
      </c>
      <c r="C59" s="15" t="s">
        <v>81</v>
      </c>
      <c r="F59"/>
      <c r="G59"/>
    </row>
    <row r="60" spans="1:7" ht="12.75">
      <c r="A60" t="s">
        <v>255</v>
      </c>
      <c r="B60" s="9">
        <f>1.5*tpote*(Beta_N*Ip*Bt/(R0*e*2*mu0))/(3.52*0.00000000000016*(1+(5/Q)-frad))</f>
        <v>3.6949624068537574E+18</v>
      </c>
      <c r="C60" s="13">
        <v>20</v>
      </c>
      <c r="F60"/>
      <c r="G60"/>
    </row>
    <row r="61" spans="1:7" ht="12.75">
      <c r="A61" t="s">
        <v>23</v>
      </c>
      <c r="B61" s="1">
        <v>4</v>
      </c>
      <c r="C61" s="13" t="s">
        <v>82</v>
      </c>
      <c r="F61"/>
      <c r="G61"/>
    </row>
    <row r="62" spans="1:7" ht="12.75">
      <c r="A62" t="s">
        <v>24</v>
      </c>
      <c r="B62" s="5">
        <v>0.06</v>
      </c>
      <c r="C62" s="13" t="s">
        <v>46</v>
      </c>
      <c r="D62" s="9"/>
      <c r="F62"/>
      <c r="G62"/>
    </row>
    <row r="63" spans="1:7" ht="12.75">
      <c r="A63" t="s">
        <v>87</v>
      </c>
      <c r="B63" s="9">
        <f>xne*(1-Zimp*fimp)-2*xnHe</f>
        <v>1.6477081987624852E+20</v>
      </c>
      <c r="C63" s="13" t="s">
        <v>83</v>
      </c>
      <c r="F63"/>
      <c r="G63"/>
    </row>
    <row r="64" spans="1:3" ht="12.75">
      <c r="A64" t="s">
        <v>25</v>
      </c>
      <c r="B64" s="9">
        <f>xnDT*(((1+fimp)/(1-Zimp*fimp))+1)+xnHe*(2*((1+fimp)/(1-Zimp*fimp))+1)</f>
        <v>4.085847156664621E+20</v>
      </c>
      <c r="C64" s="13" t="s">
        <v>84</v>
      </c>
    </row>
    <row r="65" spans="1:3" ht="12.75">
      <c r="A65" t="s">
        <v>26</v>
      </c>
      <c r="B65" s="8">
        <f>((Beta_N*Ip*Bt)/(R0*e*2*mu0)*(1+alpha_N+alpha_T)/((1+alpha_N)*xnTotal*0.00000000000000016))</f>
        <v>10.358652354821198</v>
      </c>
      <c r="C65" s="13" t="s">
        <v>85</v>
      </c>
    </row>
    <row r="66" spans="1:3" ht="12.75">
      <c r="A66" t="s">
        <v>27</v>
      </c>
      <c r="B66" s="8">
        <f>((Beta_N*Ip*Bt)/(R0*e*2*mu0)/(xnTotal*0.00000000000000016))</f>
        <v>8.632210295684333</v>
      </c>
      <c r="C66" s="13" t="s">
        <v>211</v>
      </c>
    </row>
    <row r="67" spans="1:2" ht="12.75">
      <c r="A67" t="s">
        <v>150</v>
      </c>
      <c r="B67" s="8">
        <f>0.025*Tempavg</f>
        <v>0.21580525739210832</v>
      </c>
    </row>
    <row r="68" spans="1:2" ht="12.75">
      <c r="A68" t="s">
        <v>96</v>
      </c>
      <c r="B68" s="46">
        <f>Eta_CD-B67</f>
        <v>-1.550858225174423E-08</v>
      </c>
    </row>
    <row r="69" spans="1:3" ht="12.75">
      <c r="A69" t="s">
        <v>28</v>
      </c>
      <c r="B69" s="8">
        <f>(xnDT+4*xnHe+Zimp^2*fimp*xne)/xne</f>
        <v>1.7526226682425903</v>
      </c>
      <c r="C69" s="13" t="s">
        <v>212</v>
      </c>
    </row>
    <row r="70" spans="1:3" ht="12.75">
      <c r="A70" t="s">
        <v>29</v>
      </c>
      <c r="B70" s="7">
        <f>4.8E-43*Zeff*xne^2*(1+alpha_N)^2*Temp0^0.5*(1+alpha_T)^0.5*(2*PI()^2*R0^3*e^2*kappa)/(1+2*alpha_N+(alpha_T/2))</f>
        <v>15.454555371143071</v>
      </c>
      <c r="C70" s="13" t="s">
        <v>213</v>
      </c>
    </row>
    <row r="71" spans="1:3" ht="12.75" hidden="1">
      <c r="A71" t="s">
        <v>32</v>
      </c>
      <c r="B71">
        <v>20</v>
      </c>
      <c r="C71" s="13" t="s">
        <v>128</v>
      </c>
    </row>
    <row r="72" spans="1:3" ht="12.75" hidden="1">
      <c r="A72" t="s">
        <v>33</v>
      </c>
      <c r="B72">
        <f>R0*e/nrdiv</f>
        <v>0.05357142857142857</v>
      </c>
      <c r="C72" s="13" t="s">
        <v>129</v>
      </c>
    </row>
    <row r="73" spans="2:11" ht="12.75" hidden="1">
      <c r="B73" t="s">
        <v>46</v>
      </c>
      <c r="C73" s="13" t="s">
        <v>130</v>
      </c>
      <c r="D73" t="s">
        <v>34</v>
      </c>
      <c r="E73" t="s">
        <v>39</v>
      </c>
      <c r="F73" s="7" t="s">
        <v>40</v>
      </c>
      <c r="G73" t="s">
        <v>41</v>
      </c>
      <c r="H73" t="s">
        <v>42</v>
      </c>
      <c r="I73" t="s">
        <v>43</v>
      </c>
      <c r="J73" t="s">
        <v>44</v>
      </c>
      <c r="K73" t="s">
        <v>45</v>
      </c>
    </row>
    <row r="74" spans="1:11" ht="12.75" hidden="1">
      <c r="A74">
        <v>1</v>
      </c>
      <c r="B74">
        <f>(A74-0.5)*dr</f>
        <v>0.026785714285714284</v>
      </c>
      <c r="C74" s="13" t="s">
        <v>131</v>
      </c>
      <c r="D74">
        <f aca="true" t="shared" si="1" ref="D74:D93">Temp0*(1-(B74/R0/e)^2)^alpha_T</f>
        <v>10.357033435907216</v>
      </c>
      <c r="E74">
        <f aca="true" t="shared" si="2" ref="E74:E93">xnDT*(1+alpha_N)*(1-(B74/R0/e)^2)^alpha_N</f>
        <v>2.0593133549919293E+20</v>
      </c>
      <c r="F74" s="7">
        <f aca="true" t="shared" si="3" ref="F74:F93">2*PI()*R0*2*PI()*B74*dr*kappa</f>
        <v>0.25867382493330693</v>
      </c>
      <c r="G74">
        <f aca="true" t="shared" si="4" ref="G74:G93">0.5*E74*0.000001</f>
        <v>102965667749596.45</v>
      </c>
      <c r="H74">
        <f aca="true" t="shared" si="5" ref="H74:H93">-23.836-22.712*D74^(-0.275)-0.09393*D74+0.0007994*D74^2-0.000003144*D74^3</f>
        <v>-36.66826500164056</v>
      </c>
      <c r="I74">
        <f>EXP(H74)</f>
        <v>1.188980819867219E-16</v>
      </c>
      <c r="J74">
        <f>(0.00000056*G74^2*I74)*0.000001</f>
        <v>0.7059074355008004</v>
      </c>
      <c r="K74">
        <f>J74*F74</f>
        <v>0.1825997763898537</v>
      </c>
    </row>
    <row r="75" spans="1:11" ht="12.75" hidden="1">
      <c r="A75">
        <f>1+A74</f>
        <v>2</v>
      </c>
      <c r="B75">
        <f>(A75-0.5)*dr</f>
        <v>0.08035714285714285</v>
      </c>
      <c r="C75" s="13" t="s">
        <v>132</v>
      </c>
      <c r="D75">
        <f t="shared" si="1"/>
        <v>10.34405467177334</v>
      </c>
      <c r="E75">
        <f t="shared" si="2"/>
        <v>2.0567327567465362E+20</v>
      </c>
      <c r="F75" s="7">
        <f t="shared" si="3"/>
        <v>0.7760214747999207</v>
      </c>
      <c r="G75">
        <f t="shared" si="4"/>
        <v>102836637837326.81</v>
      </c>
      <c r="H75">
        <f t="shared" si="5"/>
        <v>-36.67136611137009</v>
      </c>
      <c r="I75">
        <f>EXP(H75)</f>
        <v>1.1852993711171133E-16</v>
      </c>
      <c r="J75">
        <f aca="true" t="shared" si="6" ref="J75:J93">(0.00000056*G75^2*I75)*0.000001</f>
        <v>0.7019591179076036</v>
      </c>
      <c r="K75">
        <f aca="true" t="shared" si="7" ref="K75:K93">K74+J75*F75</f>
        <v>0.7273351263177636</v>
      </c>
    </row>
    <row r="76" spans="1:11" ht="12.75" hidden="1">
      <c r="A76">
        <f aca="true" t="shared" si="8" ref="A76:A89">1+A75</f>
        <v>3</v>
      </c>
      <c r="B76">
        <f aca="true" t="shared" si="9" ref="B76:B93">(A76-0.5)*dr</f>
        <v>0.13392857142857142</v>
      </c>
      <c r="C76" s="13" t="s">
        <v>133</v>
      </c>
      <c r="D76">
        <f t="shared" si="1"/>
        <v>10.317949593850885</v>
      </c>
      <c r="E76">
        <f t="shared" si="2"/>
        <v>2.0515422226103386E+20</v>
      </c>
      <c r="F76" s="7">
        <f t="shared" si="3"/>
        <v>1.2933691246665346</v>
      </c>
      <c r="G76">
        <f t="shared" si="4"/>
        <v>102577111130516.92</v>
      </c>
      <c r="H76">
        <f t="shared" si="5"/>
        <v>-36.67762285867308</v>
      </c>
      <c r="I76">
        <f aca="true" t="shared" si="10" ref="I76:I93">EXP(H76)</f>
        <v>1.1779064045530638E-16</v>
      </c>
      <c r="J76">
        <f t="shared" si="6"/>
        <v>0.6940643502345384</v>
      </c>
      <c r="K76">
        <f t="shared" si="7"/>
        <v>1.6250165274428556</v>
      </c>
    </row>
    <row r="77" spans="1:11" ht="12.75" hidden="1">
      <c r="A77">
        <f t="shared" si="8"/>
        <v>4</v>
      </c>
      <c r="B77">
        <f t="shared" si="9"/>
        <v>0.1875</v>
      </c>
      <c r="C77" s="13" t="s">
        <v>134</v>
      </c>
      <c r="D77">
        <f t="shared" si="1"/>
        <v>10.278416493103888</v>
      </c>
      <c r="E77">
        <f t="shared" si="2"/>
        <v>2.0436817630650132E+20</v>
      </c>
      <c r="F77" s="7">
        <f t="shared" si="3"/>
        <v>1.8107167745331487</v>
      </c>
      <c r="G77">
        <f t="shared" si="4"/>
        <v>102184088153250.66</v>
      </c>
      <c r="H77">
        <f t="shared" si="5"/>
        <v>-36.68714728390518</v>
      </c>
      <c r="I77">
        <f t="shared" si="10"/>
        <v>1.166740780554991E-16</v>
      </c>
      <c r="J77">
        <f t="shared" si="6"/>
        <v>0.6822270774857424</v>
      </c>
      <c r="K77">
        <f t="shared" si="7"/>
        <v>2.8603365406870154</v>
      </c>
    </row>
    <row r="78" spans="1:11" ht="12.75" hidden="1">
      <c r="A78">
        <f t="shared" si="8"/>
        <v>5</v>
      </c>
      <c r="B78">
        <f t="shared" si="9"/>
        <v>0.24107142857142855</v>
      </c>
      <c r="C78" s="13" t="s">
        <v>135</v>
      </c>
      <c r="D78">
        <f t="shared" si="1"/>
        <v>10.22498561805823</v>
      </c>
      <c r="E78">
        <f t="shared" si="2"/>
        <v>2.0330579763184183E+20</v>
      </c>
      <c r="F78" s="7">
        <f t="shared" si="3"/>
        <v>2.3280644243997624</v>
      </c>
      <c r="G78">
        <f t="shared" si="4"/>
        <v>101652898815920.9</v>
      </c>
      <c r="H78">
        <f t="shared" si="5"/>
        <v>-36.700115250611375</v>
      </c>
      <c r="I78">
        <f t="shared" si="10"/>
        <v>1.1517082065834848E-16</v>
      </c>
      <c r="J78">
        <f t="shared" si="6"/>
        <v>0.6664537624999609</v>
      </c>
      <c r="K78">
        <f t="shared" si="7"/>
        <v>4.411883835670543</v>
      </c>
    </row>
    <row r="79" spans="1:11" ht="12.75" hidden="1">
      <c r="A79">
        <f t="shared" si="8"/>
        <v>6</v>
      </c>
      <c r="B79">
        <f t="shared" si="9"/>
        <v>0.29464285714285715</v>
      </c>
      <c r="C79" s="13" t="s">
        <v>136</v>
      </c>
      <c r="D79">
        <f t="shared" si="1"/>
        <v>10.15699657152957</v>
      </c>
      <c r="E79">
        <f t="shared" si="2"/>
        <v>2.0195395540427666E+20</v>
      </c>
      <c r="F79" s="7">
        <f t="shared" si="3"/>
        <v>2.845412074266376</v>
      </c>
      <c r="G79">
        <f t="shared" si="4"/>
        <v>100976977702138.33</v>
      </c>
      <c r="H79">
        <f t="shared" si="5"/>
        <v>-36.71677683273478</v>
      </c>
      <c r="I79">
        <f t="shared" si="10"/>
        <v>1.1326779034421085E-16</v>
      </c>
      <c r="J79">
        <f t="shared" si="6"/>
        <v>0.6467541007228498</v>
      </c>
      <c r="K79">
        <f t="shared" si="7"/>
        <v>6.252165762948632</v>
      </c>
    </row>
    <row r="80" spans="1:11" ht="12.75" hidden="1">
      <c r="A80">
        <f t="shared" si="8"/>
        <v>7</v>
      </c>
      <c r="B80">
        <f t="shared" si="9"/>
        <v>0.3482142857142857</v>
      </c>
      <c r="C80" s="13" t="s">
        <v>137</v>
      </c>
      <c r="D80">
        <f t="shared" si="1"/>
        <v>10.07356448317153</v>
      </c>
      <c r="E80">
        <f t="shared" si="2"/>
        <v>2.0029505553826952E+20</v>
      </c>
      <c r="F80" s="7">
        <f t="shared" si="3"/>
        <v>3.36275972413299</v>
      </c>
      <c r="G80">
        <f t="shared" si="4"/>
        <v>100147527769134.75</v>
      </c>
      <c r="H80">
        <f t="shared" si="5"/>
        <v>-36.73747209483887</v>
      </c>
      <c r="I80">
        <f t="shared" si="10"/>
        <v>1.1094777321982604E-16</v>
      </c>
      <c r="J80">
        <f t="shared" si="6"/>
        <v>0.6231420845492794</v>
      </c>
      <c r="K80">
        <f t="shared" si="7"/>
        <v>8.347642867283223</v>
      </c>
    </row>
    <row r="81" spans="1:11" ht="12.75" hidden="1">
      <c r="A81">
        <f t="shared" si="8"/>
        <v>8</v>
      </c>
      <c r="B81">
        <f t="shared" si="9"/>
        <v>0.40178571428571425</v>
      </c>
      <c r="C81" s="13" t="s">
        <v>138</v>
      </c>
      <c r="D81">
        <f t="shared" si="1"/>
        <v>9.973530885271973</v>
      </c>
      <c r="E81">
        <f t="shared" si="2"/>
        <v>1.9830606394741247E+20</v>
      </c>
      <c r="F81" s="7">
        <f t="shared" si="3"/>
        <v>3.880107373999604</v>
      </c>
      <c r="G81">
        <f t="shared" si="4"/>
        <v>99153031973706.23</v>
      </c>
      <c r="H81">
        <f t="shared" si="5"/>
        <v>-36.76265444536874</v>
      </c>
      <c r="I81">
        <f t="shared" si="10"/>
        <v>1.081887328671641E-16</v>
      </c>
      <c r="J81">
        <f t="shared" si="6"/>
        <v>0.5956375369693213</v>
      </c>
      <c r="K81">
        <f t="shared" si="7"/>
        <v>10.658780466708848</v>
      </c>
    </row>
    <row r="82" spans="1:11" ht="12.75" hidden="1">
      <c r="A82">
        <f t="shared" si="8"/>
        <v>9</v>
      </c>
      <c r="B82">
        <f t="shared" si="9"/>
        <v>0.45535714285714285</v>
      </c>
      <c r="C82" s="13" t="s">
        <v>139</v>
      </c>
      <c r="D82">
        <f t="shared" si="1"/>
        <v>9.85539273024823</v>
      </c>
      <c r="E82">
        <f t="shared" si="2"/>
        <v>1.9595709518256275E+20</v>
      </c>
      <c r="F82" s="7">
        <f t="shared" si="3"/>
        <v>4.397455023866217</v>
      </c>
      <c r="G82">
        <f t="shared" si="4"/>
        <v>97978547591281.38</v>
      </c>
      <c r="H82">
        <f t="shared" si="5"/>
        <v>-36.79292515294391</v>
      </c>
      <c r="I82">
        <f t="shared" si="10"/>
        <v>1.0496285450506407E-16</v>
      </c>
      <c r="J82">
        <f t="shared" si="6"/>
        <v>0.5642683024072366</v>
      </c>
      <c r="K82">
        <f t="shared" si="7"/>
        <v>13.140124947938013</v>
      </c>
    </row>
    <row r="83" spans="1:11" ht="12.75" hidden="1">
      <c r="A83">
        <f t="shared" si="8"/>
        <v>10</v>
      </c>
      <c r="B83">
        <f t="shared" si="9"/>
        <v>0.5089285714285714</v>
      </c>
      <c r="C83" s="13" t="s">
        <v>140</v>
      </c>
      <c r="D83">
        <f t="shared" si="1"/>
        <v>9.717198824311719</v>
      </c>
      <c r="E83">
        <f t="shared" si="2"/>
        <v>1.9320935319800067E+20</v>
      </c>
      <c r="F83" s="7">
        <f t="shared" si="3"/>
        <v>4.914802673732832</v>
      </c>
      <c r="G83">
        <f t="shared" si="4"/>
        <v>96604676599000.33</v>
      </c>
      <c r="H83">
        <f t="shared" si="5"/>
        <v>-36.82908504414598</v>
      </c>
      <c r="I83">
        <f t="shared" si="10"/>
        <v>1.0123521086091717E-16</v>
      </c>
      <c r="J83">
        <f t="shared" si="6"/>
        <v>0.5290733920664923</v>
      </c>
      <c r="K83">
        <f t="shared" si="7"/>
        <v>15.740416269867307</v>
      </c>
    </row>
    <row r="84" spans="1:11" ht="12.75" hidden="1">
      <c r="A84">
        <f t="shared" si="8"/>
        <v>11</v>
      </c>
      <c r="B84">
        <f t="shared" si="9"/>
        <v>0.5625</v>
      </c>
      <c r="C84" s="13" t="s">
        <v>141</v>
      </c>
      <c r="D84">
        <f t="shared" si="1"/>
        <v>9.55639563713428</v>
      </c>
      <c r="E84">
        <f t="shared" si="2"/>
        <v>1.900120655487042E+20</v>
      </c>
      <c r="F84" s="7">
        <f t="shared" si="3"/>
        <v>5.432150323599446</v>
      </c>
      <c r="G84">
        <f t="shared" si="4"/>
        <v>95006032774352.1</v>
      </c>
      <c r="H84">
        <f t="shared" si="5"/>
        <v>-36.872213797777476</v>
      </c>
      <c r="I84">
        <f t="shared" si="10"/>
        <v>9.696187656205859E-17</v>
      </c>
      <c r="J84">
        <f t="shared" si="6"/>
        <v>0.4901075647073957</v>
      </c>
      <c r="K84">
        <f t="shared" si="7"/>
        <v>18.402754236091123</v>
      </c>
    </row>
    <row r="85" spans="1:11" ht="12.75" hidden="1">
      <c r="A85">
        <f t="shared" si="8"/>
        <v>12</v>
      </c>
      <c r="B85">
        <f t="shared" si="9"/>
        <v>0.6160714285714285</v>
      </c>
      <c r="C85" s="15" t="s">
        <v>54</v>
      </c>
      <c r="D85">
        <f t="shared" si="1"/>
        <v>9.36959092497761</v>
      </c>
      <c r="E85">
        <f t="shared" si="2"/>
        <v>1.8629778345335092E+20</v>
      </c>
      <c r="F85" s="7">
        <f t="shared" si="3"/>
        <v>5.949497973466059</v>
      </c>
      <c r="G85">
        <f t="shared" si="4"/>
        <v>93148891726675.45</v>
      </c>
      <c r="H85">
        <f t="shared" si="5"/>
        <v>-36.923795641748164</v>
      </c>
      <c r="I85">
        <f t="shared" si="10"/>
        <v>9.208720717471426E-17</v>
      </c>
      <c r="J85">
        <f t="shared" si="6"/>
        <v>0.4474481461196844</v>
      </c>
      <c r="K85">
        <f t="shared" si="7"/>
        <v>21.064846074661332</v>
      </c>
    </row>
    <row r="86" spans="1:11" ht="12.75" hidden="1">
      <c r="A86">
        <f t="shared" si="8"/>
        <v>13</v>
      </c>
      <c r="B86">
        <f t="shared" si="9"/>
        <v>0.6696428571428571</v>
      </c>
      <c r="C86" s="12" t="s">
        <v>143</v>
      </c>
      <c r="D86">
        <f t="shared" si="1"/>
        <v>9.152177118942896</v>
      </c>
      <c r="E86">
        <f t="shared" si="2"/>
        <v>1.8197489353417117E+20</v>
      </c>
      <c r="F86" s="7">
        <f t="shared" si="3"/>
        <v>6.466845623332673</v>
      </c>
      <c r="G86">
        <f t="shared" si="4"/>
        <v>90987446767085.58</v>
      </c>
      <c r="H86">
        <f t="shared" si="5"/>
        <v>-36.98592726942719</v>
      </c>
      <c r="I86">
        <f t="shared" si="10"/>
        <v>8.653979833338133E-17</v>
      </c>
      <c r="J86">
        <f t="shared" si="6"/>
        <v>0.40120548561151886</v>
      </c>
      <c r="K86">
        <f t="shared" si="7"/>
        <v>23.659380013345242</v>
      </c>
    </row>
    <row r="87" spans="1:11" ht="12.75" hidden="1">
      <c r="A87">
        <f t="shared" si="8"/>
        <v>14</v>
      </c>
      <c r="B87">
        <f t="shared" si="9"/>
        <v>0.7232142857142857</v>
      </c>
      <c r="C87" s="11" t="s">
        <v>144</v>
      </c>
      <c r="D87">
        <f t="shared" si="1"/>
        <v>8.897700868160971</v>
      </c>
      <c r="E87">
        <f t="shared" si="2"/>
        <v>1.76915082295688E+20</v>
      </c>
      <c r="F87" s="7">
        <f t="shared" si="3"/>
        <v>6.9841932731992875</v>
      </c>
      <c r="G87">
        <f t="shared" si="4"/>
        <v>88457541147844</v>
      </c>
      <c r="H87">
        <f t="shared" si="5"/>
        <v>-37.061680848585624</v>
      </c>
      <c r="I87">
        <f t="shared" si="10"/>
        <v>8.022625459333209E-17</v>
      </c>
      <c r="J87">
        <f t="shared" si="6"/>
        <v>0.3515396133020687</v>
      </c>
      <c r="K87">
        <f t="shared" si="7"/>
        <v>26.11460061583263</v>
      </c>
    </row>
    <row r="88" spans="1:11" ht="12.75" hidden="1">
      <c r="A88">
        <f t="shared" si="8"/>
        <v>15</v>
      </c>
      <c r="B88">
        <f t="shared" si="9"/>
        <v>0.7767857142857142</v>
      </c>
      <c r="C88" s="14" t="s">
        <v>145</v>
      </c>
      <c r="D88">
        <f t="shared" si="1"/>
        <v>8.596738301749035</v>
      </c>
      <c r="E88">
        <f t="shared" si="2"/>
        <v>1.709309726932605E+20</v>
      </c>
      <c r="F88" s="7">
        <f t="shared" si="3"/>
        <v>7.5015409230659005</v>
      </c>
      <c r="G88">
        <f t="shared" si="4"/>
        <v>85465486346630.25</v>
      </c>
      <c r="H88">
        <f t="shared" si="5"/>
        <v>-37.15578321418053</v>
      </c>
      <c r="I88">
        <f t="shared" si="10"/>
        <v>7.302110140436664E-17</v>
      </c>
      <c r="J88">
        <f t="shared" si="6"/>
        <v>0.29868811562879916</v>
      </c>
      <c r="K88">
        <f t="shared" si="7"/>
        <v>28.355221738455505</v>
      </c>
    </row>
    <row r="89" spans="1:11" ht="12.75" hidden="1">
      <c r="A89">
        <f t="shared" si="8"/>
        <v>16</v>
      </c>
      <c r="B89">
        <f t="shared" si="9"/>
        <v>0.8303571428571428</v>
      </c>
      <c r="C89" s="14" t="s">
        <v>146</v>
      </c>
      <c r="D89">
        <f t="shared" si="1"/>
        <v>8.234713177448572</v>
      </c>
      <c r="E89">
        <f t="shared" si="2"/>
        <v>1.637327418684968E+20</v>
      </c>
      <c r="F89" s="7">
        <f t="shared" si="3"/>
        <v>8.018888572932514</v>
      </c>
      <c r="G89">
        <f t="shared" si="4"/>
        <v>81866370934248.4</v>
      </c>
      <c r="H89">
        <f t="shared" si="5"/>
        <v>-37.27600759094109</v>
      </c>
      <c r="I89">
        <f t="shared" si="10"/>
        <v>6.474937726158706E-17</v>
      </c>
      <c r="J89">
        <f t="shared" si="6"/>
        <v>0.2430159062895639</v>
      </c>
      <c r="K89">
        <f t="shared" si="7"/>
        <v>30.303939212441726</v>
      </c>
    </row>
    <row r="90" spans="1:11" ht="12.75" hidden="1">
      <c r="A90">
        <f>1+A89</f>
        <v>17</v>
      </c>
      <c r="B90">
        <f t="shared" si="9"/>
        <v>0.8839285714285714</v>
      </c>
      <c r="C90" s="12" t="s">
        <v>1</v>
      </c>
      <c r="D90">
        <f t="shared" si="1"/>
        <v>7.7871490499649845</v>
      </c>
      <c r="E90">
        <f t="shared" si="2"/>
        <v>1.5483371889395597E+20</v>
      </c>
      <c r="F90" s="7">
        <f t="shared" si="3"/>
        <v>8.536236222799129</v>
      </c>
      <c r="G90">
        <f t="shared" si="4"/>
        <v>77416859446977.98</v>
      </c>
      <c r="H90">
        <f t="shared" si="5"/>
        <v>-37.436404397620834</v>
      </c>
      <c r="I90">
        <f t="shared" si="10"/>
        <v>5.5153889898248883E-17</v>
      </c>
      <c r="J90">
        <f t="shared" si="6"/>
        <v>0.18511229860691591</v>
      </c>
      <c r="K90">
        <f t="shared" si="7"/>
        <v>31.88410152109569</v>
      </c>
    </row>
    <row r="91" spans="1:11" ht="12.75" hidden="1">
      <c r="A91">
        <f>1+A90</f>
        <v>18</v>
      </c>
      <c r="B91">
        <f t="shared" si="9"/>
        <v>0.9375</v>
      </c>
      <c r="C91" s="14" t="s">
        <v>54</v>
      </c>
      <c r="D91">
        <f t="shared" si="1"/>
        <v>7.207440723560012</v>
      </c>
      <c r="E91">
        <f t="shared" si="2"/>
        <v>1.4330724168449804E+20</v>
      </c>
      <c r="F91" s="7">
        <f t="shared" si="3"/>
        <v>9.053583872665742</v>
      </c>
      <c r="G91">
        <f t="shared" si="4"/>
        <v>71653620842249.02</v>
      </c>
      <c r="H91">
        <f t="shared" si="5"/>
        <v>-37.66631439669904</v>
      </c>
      <c r="I91">
        <f t="shared" si="10"/>
        <v>4.382556299650375E-17</v>
      </c>
      <c r="J91">
        <f t="shared" si="6"/>
        <v>0.12600617065673886</v>
      </c>
      <c r="K91">
        <f t="shared" si="7"/>
        <v>33.02490895560991</v>
      </c>
    </row>
    <row r="92" spans="1:11" ht="12.75" hidden="1">
      <c r="A92">
        <f>1+A91</f>
        <v>19</v>
      </c>
      <c r="B92">
        <f t="shared" si="9"/>
        <v>0.9910714285714285</v>
      </c>
      <c r="C92" s="12" t="s">
        <v>2</v>
      </c>
      <c r="D92">
        <f t="shared" si="1"/>
        <v>6.3852257640423185</v>
      </c>
      <c r="E92">
        <f t="shared" si="2"/>
        <v>1.2695894796422562E+20</v>
      </c>
      <c r="F92" s="7">
        <f t="shared" si="3"/>
        <v>9.570931522532357</v>
      </c>
      <c r="G92">
        <f t="shared" si="4"/>
        <v>63479473982112.805</v>
      </c>
      <c r="H92">
        <f t="shared" si="5"/>
        <v>-38.04454116354572</v>
      </c>
      <c r="I92">
        <f t="shared" si="10"/>
        <v>3.002380329884007E-17</v>
      </c>
      <c r="J92">
        <f t="shared" si="6"/>
        <v>0.06775172730066026</v>
      </c>
      <c r="K92">
        <f t="shared" si="7"/>
        <v>33.673356098137816</v>
      </c>
    </row>
    <row r="93" spans="1:11" ht="12.75" hidden="1">
      <c r="A93">
        <f>1+A92</f>
        <v>20</v>
      </c>
      <c r="B93">
        <f t="shared" si="9"/>
        <v>1.044642857142857</v>
      </c>
      <c r="C93" s="13" t="s">
        <v>3</v>
      </c>
      <c r="D93">
        <f t="shared" si="1"/>
        <v>4.882924791486661</v>
      </c>
      <c r="E93">
        <f t="shared" si="2"/>
        <v>9.708834384629812E+19</v>
      </c>
      <c r="F93" s="7">
        <f t="shared" si="3"/>
        <v>10.088279172398968</v>
      </c>
      <c r="G93">
        <f t="shared" si="4"/>
        <v>48544171923149.06</v>
      </c>
      <c r="H93">
        <f t="shared" si="5"/>
        <v>-38.960770390598626</v>
      </c>
      <c r="I93">
        <f t="shared" si="10"/>
        <v>1.201025998571365E-17</v>
      </c>
      <c r="J93">
        <f t="shared" si="6"/>
        <v>0.01584946583616759</v>
      </c>
      <c r="K93">
        <f t="shared" si="7"/>
        <v>33.83324993422647</v>
      </c>
    </row>
    <row r="94" spans="1:2" ht="12.75">
      <c r="A94" t="s">
        <v>47</v>
      </c>
      <c r="B94" s="7">
        <f>K93</f>
        <v>33.83324993422647</v>
      </c>
    </row>
    <row r="95" spans="1:2" ht="12.75">
      <c r="A95" t="s">
        <v>0</v>
      </c>
      <c r="B95" s="35">
        <f>B54-P_alpha</f>
        <v>1.2654445100679368E-06</v>
      </c>
    </row>
    <row r="96" spans="1:5" ht="12.75">
      <c r="A96" t="s">
        <v>48</v>
      </c>
      <c r="B96" s="7">
        <f>P_Brem/P_alpha</f>
        <v>0.45678601379375317</v>
      </c>
      <c r="D96" t="s">
        <v>54</v>
      </c>
      <c r="E96" t="s">
        <v>54</v>
      </c>
    </row>
    <row r="97" spans="1:2" ht="12.75">
      <c r="A97" t="s">
        <v>167</v>
      </c>
      <c r="B97" s="36">
        <f>frad-B96</f>
        <v>-2.9655714106624487E-08</v>
      </c>
    </row>
    <row r="98" spans="1:2" ht="12.75">
      <c r="A98" t="s">
        <v>49</v>
      </c>
      <c r="B98" s="8">
        <f>2*PI()^2*R0^3*e^2*kappa</f>
        <v>103.46952997332279</v>
      </c>
    </row>
    <row r="99" spans="1:2" ht="12.75">
      <c r="A99" t="s">
        <v>50</v>
      </c>
      <c r="B99" s="8">
        <f>3/4/mu0*0.000001*((Beta_N*Ip*Bt)/R0/e)*vol</f>
        <v>87.5846192714799</v>
      </c>
    </row>
    <row r="100" spans="1:2" ht="13.5" thickBot="1">
      <c r="A100" t="s">
        <v>161</v>
      </c>
      <c r="B100" s="7">
        <f>0.0562*Ip^0.93*R0^1.97*e^0.58*Bt^0.15*kappa^0.78*ane^0.41*2.5^0.19/(P_alpha*(1+5/Q-frad))^0.69</f>
        <v>0.7071441630916299</v>
      </c>
    </row>
    <row r="101" spans="1:3" ht="13.5" thickBot="1">
      <c r="A101" t="s">
        <v>51</v>
      </c>
      <c r="B101" s="31">
        <f>1/(Tau_e*P_alpha*(1+5/Q-frad)/Wtot)</f>
        <v>1.8000000891362995</v>
      </c>
      <c r="C101" s="15" t="s">
        <v>4</v>
      </c>
    </row>
    <row r="102" spans="1:3" ht="12.75" hidden="1">
      <c r="A102" t="s">
        <v>163</v>
      </c>
      <c r="B102" s="7">
        <f>Tau_e*HH</f>
        <v>1.2728595565971477</v>
      </c>
      <c r="C102" s="3" t="s">
        <v>207</v>
      </c>
    </row>
    <row r="103" spans="1:3" ht="12.75" hidden="1">
      <c r="A103" t="s">
        <v>190</v>
      </c>
      <c r="B103" s="13">
        <f>e/2</f>
        <v>0.35714285714285715</v>
      </c>
      <c r="C103" s="15" t="s">
        <v>58</v>
      </c>
    </row>
    <row r="104" spans="1:3" ht="12.75" hidden="1">
      <c r="A104" t="s">
        <v>185</v>
      </c>
      <c r="B104" s="13">
        <f>(3.4/Zeff)*((1.13+Zeff)/(2.67+Zeff))</f>
        <v>1.2644405134427246</v>
      </c>
      <c r="C104" s="11" t="s">
        <v>168</v>
      </c>
    </row>
    <row r="105" spans="1:3" ht="12.75" hidden="1">
      <c r="A105" t="s">
        <v>186</v>
      </c>
      <c r="B105" s="13">
        <f>(0.56/Zeff)*((3-Zeff)/(3+Zeff))</f>
        <v>0.08386178745821468</v>
      </c>
      <c r="C105" s="15" t="s">
        <v>239</v>
      </c>
    </row>
    <row r="106" spans="1:3" ht="12.75" hidden="1">
      <c r="A106" t="s">
        <v>187</v>
      </c>
      <c r="B106" s="13">
        <f>0.58+0.2*Zeff</f>
        <v>0.9305245336485181</v>
      </c>
      <c r="C106" s="15" t="s">
        <v>208</v>
      </c>
    </row>
    <row r="107" spans="1:2" ht="12.75" hidden="1">
      <c r="A107" t="s">
        <v>188</v>
      </c>
      <c r="B107" s="13">
        <f>1-(((1-B103)^2)/((1+1.46*SQRT(B103))*SQRT(1-B103^2)))</f>
        <v>0.7637166141487503</v>
      </c>
    </row>
    <row r="108" spans="1:2" ht="12.75" hidden="1">
      <c r="A108" t="s">
        <v>189</v>
      </c>
      <c r="B108" s="13">
        <v>0.05</v>
      </c>
    </row>
    <row r="109" spans="1:2" ht="12.75" hidden="1">
      <c r="A109" t="s">
        <v>5</v>
      </c>
      <c r="B109" s="16">
        <f>0.000103*20*(1/B104)*(1/(1-B107/(1+B106*B108)))*(1/(1-((B107*B105)/(1+B106*B108))))</f>
        <v>0.006421719751377459</v>
      </c>
    </row>
    <row r="110" spans="1:2" ht="12.75" hidden="1">
      <c r="A110" t="s">
        <v>162</v>
      </c>
      <c r="B110" s="2">
        <f>Wtot/B102</f>
        <v>68.80933471217193</v>
      </c>
    </row>
    <row r="111" spans="1:2" ht="12.75" hidden="1">
      <c r="A111" t="s">
        <v>191</v>
      </c>
      <c r="B111" s="22">
        <f>(mu0/(12*Eta_neo))*(e*R0)^2*(Temp0*1000/(1+alpha_T))^1.5*kappa</f>
        <v>42.98912572591872</v>
      </c>
    </row>
    <row r="112" spans="1:2" ht="12.75" hidden="1">
      <c r="A112" t="s">
        <v>192</v>
      </c>
      <c r="B112" s="17">
        <f>(1+1.81*SQRT(e)+2.05*e)*LN(8/e)-(2+9.25*SQRT(e)-1.21*e)</f>
        <v>0.6958045227671974</v>
      </c>
    </row>
    <row r="113" spans="1:2" ht="12.75" hidden="1">
      <c r="A113" t="s">
        <v>193</v>
      </c>
      <c r="B113" s="17">
        <f>0.73*SQRT(e)*(1+2*e^4-6*e^5+3.7*e^6)</f>
        <v>0.5530501905463502</v>
      </c>
    </row>
    <row r="114" spans="1:2" ht="12.75" hidden="1">
      <c r="A114" t="s">
        <v>194</v>
      </c>
      <c r="B114" s="17">
        <f>1+0.98*e^2+0.49*e^4+1.47*e^6</f>
        <v>1.8227821740941275</v>
      </c>
    </row>
    <row r="115" spans="1:2" ht="12.75" hidden="1">
      <c r="A115" t="s">
        <v>195</v>
      </c>
      <c r="B115" s="17">
        <f>0.25*e*(1+0.84*e-1.44*e^2)</f>
        <v>0.1545189504373178</v>
      </c>
    </row>
    <row r="116" spans="1:2" ht="12.75" hidden="1">
      <c r="A116" t="s">
        <v>196</v>
      </c>
      <c r="B116" s="17">
        <f>B112*(1-e)/(1-e+B113*kappa)</f>
        <v>0.10095135621232397</v>
      </c>
    </row>
    <row r="117" spans="1:2" ht="12.75" hidden="1">
      <c r="A117" t="s">
        <v>197</v>
      </c>
      <c r="B117" s="17">
        <f>(1-e)^2/((1-e)^2*B114+B115*SQRT(kappa))</f>
        <v>0.1951090298820538</v>
      </c>
    </row>
    <row r="118" spans="1:2" ht="12.75">
      <c r="A118" t="s">
        <v>200</v>
      </c>
      <c r="B118" s="18">
        <v>0.1</v>
      </c>
    </row>
    <row r="119" spans="1:2" ht="12.75">
      <c r="A119" t="s">
        <v>201</v>
      </c>
      <c r="B119" s="20">
        <f>B116-((B117)/4)*(LN(8/(e*SQRT(kappa))+Beta_P+B118/2-3/2))</f>
        <v>0.012177570777913857</v>
      </c>
    </row>
    <row r="120" spans="1:2" ht="12.75">
      <c r="A120" t="s">
        <v>198</v>
      </c>
      <c r="B120" s="20">
        <f>0.02*(Tempavg*(1+alpha_T)/10)^(-1.5)*Zeff/1.4</f>
        <v>0.022337900237875068</v>
      </c>
    </row>
    <row r="121" spans="1:2" ht="12.75">
      <c r="A121" t="s">
        <v>199</v>
      </c>
      <c r="B121" s="18">
        <v>5</v>
      </c>
    </row>
    <row r="122" spans="1:2" ht="12.75">
      <c r="A122" t="s">
        <v>202</v>
      </c>
      <c r="B122" s="18">
        <v>0.25</v>
      </c>
    </row>
    <row r="123" spans="1:5" ht="12.75">
      <c r="A123" t="s">
        <v>203</v>
      </c>
      <c r="B123" s="19">
        <f>1+mu0*1000000*Ip*R0*(Lext+(Li/2)+C_ejima+FF*T_flat)</f>
        <v>11.531946005368342</v>
      </c>
      <c r="E123" t="s">
        <v>54</v>
      </c>
    </row>
    <row r="124" spans="1:2" ht="12.75">
      <c r="A124" t="s">
        <v>204</v>
      </c>
      <c r="B124" s="19">
        <f>mu0*1000000*Ip*R0*(Lext+Li+C_ejima+FF*T_flat)</f>
        <v>11.774310263163425</v>
      </c>
    </row>
    <row r="125" spans="1:2" ht="12.75">
      <c r="A125" t="s">
        <v>205</v>
      </c>
      <c r="B125" s="19">
        <f>4*P_alpha/(4*PI()^2*R0^2*e*SQRT((1+kappa)/2))</f>
        <v>1.4999999438575806</v>
      </c>
    </row>
    <row r="126" spans="1:2" ht="12.75">
      <c r="A126" t="s">
        <v>206</v>
      </c>
      <c r="B126" s="19">
        <f>2.84/2.5*Bt^0.82*(ane/10)^0.58*R0^1.81*e^0.81</f>
        <v>4.800549974264154</v>
      </c>
    </row>
    <row r="127" spans="1:2" ht="12.75">
      <c r="A127" t="s">
        <v>89</v>
      </c>
      <c r="B127" s="7">
        <f>2*ASIN((B14+B15)/(R0+R0/A/3))</f>
        <v>0.46573635651616474</v>
      </c>
    </row>
    <row r="128" spans="1:2" ht="12.75">
      <c r="A128" t="s">
        <v>90</v>
      </c>
      <c r="B128" s="7">
        <f>ATAN(B23/2/((R0+R0/A/3)-(B14+B15)))</f>
        <v>1.1178725326955459</v>
      </c>
    </row>
    <row r="129" spans="1:2" ht="12.75">
      <c r="A129" t="s">
        <v>91</v>
      </c>
      <c r="B129" s="7">
        <f>B127*SIN(B128)/2/PI()</f>
        <v>0.06665040747509549</v>
      </c>
    </row>
    <row r="130" spans="1:2" ht="12.75">
      <c r="A130" t="s">
        <v>176</v>
      </c>
      <c r="B130">
        <v>0.9</v>
      </c>
    </row>
    <row r="131" spans="1:11" ht="12.75">
      <c r="A131" t="s">
        <v>88</v>
      </c>
      <c r="B131" s="7">
        <f>(1-B129)*B130</f>
        <v>0.840014633272414</v>
      </c>
      <c r="E131" s="7">
        <f>B129</f>
        <v>0.06665040747509549</v>
      </c>
      <c r="F131" s="7">
        <v>3</v>
      </c>
      <c r="G131" s="7">
        <v>3.2</v>
      </c>
      <c r="H131" s="7">
        <v>3.4</v>
      </c>
      <c r="I131" s="7">
        <v>3.6</v>
      </c>
      <c r="J131" s="7">
        <v>3.8</v>
      </c>
      <c r="K131" s="7">
        <v>4</v>
      </c>
    </row>
    <row r="132" spans="1:11" ht="12.75">
      <c r="A132" t="s">
        <v>93</v>
      </c>
      <c r="B132" s="8">
        <v>0.35</v>
      </c>
      <c r="E132" s="7">
        <v>1.3</v>
      </c>
      <c r="F132" s="7">
        <f t="dataTable" ref="F132:K149" dt2D="1" dtr="1" r1="B6" r2="B3"/>
        <v>0.052720868482211046</v>
      </c>
      <c r="G132" s="7">
        <v>0.05335805893234626</v>
      </c>
      <c r="H132" s="7">
        <v>0.05390402588813339</v>
      </c>
      <c r="I132" s="7">
        <v>0.054374691112941666</v>
      </c>
      <c r="J132" s="7">
        <v>0.05478279618244586</v>
      </c>
      <c r="K132" s="7">
        <v>0.05513859871456689</v>
      </c>
    </row>
    <row r="133" spans="1:11" ht="12.75">
      <c r="A133" t="s">
        <v>233</v>
      </c>
      <c r="B133" s="8">
        <v>1.2</v>
      </c>
      <c r="E133" s="7">
        <f>E132+0.1</f>
        <v>1.4000000000000001</v>
      </c>
      <c r="F133" s="7">
        <v>0.06646203012327745</v>
      </c>
      <c r="G133" s="7">
        <v>0.06726529782561891</v>
      </c>
      <c r="H133" s="7">
        <v>0.06795356555159693</v>
      </c>
      <c r="I133" s="7">
        <v>0.06854690491131825</v>
      </c>
      <c r="J133" s="7">
        <v>0.06906137844340737</v>
      </c>
      <c r="K133" s="7">
        <v>0.06950991731024614</v>
      </c>
    </row>
    <row r="134" spans="1:11" ht="12.75">
      <c r="A134" t="s">
        <v>18</v>
      </c>
      <c r="B134" t="s">
        <v>19</v>
      </c>
      <c r="E134" s="7">
        <f aca="true" t="shared" si="11" ref="E134:E149">E133+0.1</f>
        <v>1.5000000000000002</v>
      </c>
      <c r="F134" s="7">
        <v>0.07883680282977469</v>
      </c>
      <c r="G134" s="7">
        <v>0.0797896334512823</v>
      </c>
      <c r="H134" s="7">
        <v>0.08060605189210303</v>
      </c>
      <c r="I134" s="7">
        <v>0.08130986695803963</v>
      </c>
      <c r="J134" s="7">
        <v>0.08192013192188766</v>
      </c>
      <c r="K134" s="7">
        <v>0.08245218563948954</v>
      </c>
    </row>
    <row r="135" spans="1:11" ht="12.75">
      <c r="A135" t="s">
        <v>151</v>
      </c>
      <c r="B135" s="8">
        <f>IF(B134="Yes",B131*B132*B133*(P_fusion*4/5+(P_aux+P_alpha)*frad),0)</f>
        <v>0</v>
      </c>
      <c r="E135" s="7">
        <f t="shared" si="11"/>
        <v>1.6000000000000003</v>
      </c>
      <c r="F135" s="7">
        <v>0.09006157843904836</v>
      </c>
      <c r="G135" s="7">
        <v>0.09115007298319323</v>
      </c>
      <c r="H135" s="7">
        <v>0.09208273299486093</v>
      </c>
      <c r="I135" s="7">
        <v>0.09288675717509434</v>
      </c>
      <c r="J135" s="7">
        <v>0.09358391159964496</v>
      </c>
      <c r="K135" s="7">
        <v>0.09419171906902007</v>
      </c>
    </row>
    <row r="136" spans="1:11" ht="12.75">
      <c r="A136" t="s">
        <v>158</v>
      </c>
      <c r="B136" s="2">
        <f>IF(B134="Yes",0.1*P_Elec_gen,20)</f>
        <v>20</v>
      </c>
      <c r="E136" s="7">
        <f t="shared" si="11"/>
        <v>1.7000000000000004</v>
      </c>
      <c r="F136" s="7">
        <v>0.10030685990612266</v>
      </c>
      <c r="G136" s="7">
        <v>0.10151918009460362</v>
      </c>
      <c r="H136" s="7">
        <v>0.10255793822822559</v>
      </c>
      <c r="I136" s="7">
        <v>0.10345342709490572</v>
      </c>
      <c r="J136" s="7">
        <v>0.10422988884927815</v>
      </c>
      <c r="K136" s="7">
        <v>0.10490683966156891</v>
      </c>
    </row>
    <row r="137" spans="1:11" ht="12.75">
      <c r="A137" t="s">
        <v>92</v>
      </c>
      <c r="B137">
        <v>0.45</v>
      </c>
      <c r="E137" s="7">
        <f t="shared" si="11"/>
        <v>1.8000000000000005</v>
      </c>
      <c r="F137" s="7">
        <v>0.10970923634531912</v>
      </c>
      <c r="G137" s="7">
        <v>0.11103519473150261</v>
      </c>
      <c r="H137" s="7">
        <v>0.11217132202821806</v>
      </c>
      <c r="I137" s="7">
        <v>0.11315075055196168</v>
      </c>
      <c r="J137" s="7">
        <v>0.1139999948230242</v>
      </c>
      <c r="K137" s="7">
        <v>0.1147404003818192</v>
      </c>
    </row>
    <row r="138" spans="1:11" ht="12.75">
      <c r="A138" t="s">
        <v>79</v>
      </c>
      <c r="B138" s="2">
        <f>P_aux/B137</f>
        <v>112.06809118214653</v>
      </c>
      <c r="E138" s="7">
        <f t="shared" si="11"/>
        <v>1.9000000000000006</v>
      </c>
      <c r="F138" s="7">
        <v>0.11837970052066481</v>
      </c>
      <c r="G138" s="7">
        <v>0.11981045112916601</v>
      </c>
      <c r="H138" s="7">
        <v>0.12103636804937125</v>
      </c>
      <c r="I138" s="7">
        <v>0.12209320208800428</v>
      </c>
      <c r="J138" s="7">
        <v>0.12300956324250939</v>
      </c>
      <c r="K138" s="7">
        <v>0.123808484019226</v>
      </c>
    </row>
    <row r="139" spans="1:11" ht="12.75">
      <c r="A139" t="s">
        <v>160</v>
      </c>
      <c r="B139" s="2">
        <f>B29+B38+B138+B136</f>
        <v>246.7244014268712</v>
      </c>
      <c r="E139" s="7">
        <f t="shared" si="11"/>
        <v>2.0000000000000004</v>
      </c>
      <c r="F139" s="7">
        <v>0.12640957374833062</v>
      </c>
      <c r="G139" s="7">
        <v>0.1279373743236432</v>
      </c>
      <c r="H139" s="7">
        <v>0.12924644703334276</v>
      </c>
      <c r="I139" s="7">
        <v>0.13037496771517207</v>
      </c>
      <c r="J139" s="7">
        <v>0.1313534870257552</v>
      </c>
      <c r="K139" s="7">
        <v>0.13220659980099658</v>
      </c>
    </row>
    <row r="140" spans="1:11" ht="12.75">
      <c r="A140" t="s">
        <v>159</v>
      </c>
      <c r="B140" s="2">
        <f>P_Elec_gen-B139</f>
        <v>-246.7244014268712</v>
      </c>
      <c r="E140" s="7">
        <f t="shared" si="11"/>
        <v>2.1000000000000005</v>
      </c>
      <c r="F140" s="7">
        <v>0.13387481923849126</v>
      </c>
      <c r="G140" s="7">
        <v>0.13549284562516067</v>
      </c>
      <c r="H140" s="7">
        <v>0.13687922695043897</v>
      </c>
      <c r="I140" s="7">
        <v>0.13807439356485682</v>
      </c>
      <c r="J140" s="7">
        <v>0.1391107003250275</v>
      </c>
      <c r="K140" s="7">
        <v>0.14001419453981595</v>
      </c>
    </row>
    <row r="141" spans="1:11" ht="12.75">
      <c r="A141" t="s">
        <v>153</v>
      </c>
      <c r="B141" s="2">
        <f>P_Elec_gen/B139</f>
        <v>0</v>
      </c>
      <c r="E141" s="7">
        <f t="shared" si="11"/>
        <v>2.2000000000000006</v>
      </c>
      <c r="F141" s="7">
        <v>0.14083924225441927</v>
      </c>
      <c r="G141" s="7">
        <v>0.14254144145470515</v>
      </c>
      <c r="H141" s="7">
        <v>0.14399994497641697</v>
      </c>
      <c r="I141" s="7">
        <v>0.14525728643390587</v>
      </c>
      <c r="J141" s="7">
        <v>0.14634750384503503</v>
      </c>
      <c r="K141" s="7">
        <v>0.14729799954927478</v>
      </c>
    </row>
    <row r="142" spans="1:11" ht="12.75">
      <c r="A142" t="s">
        <v>257</v>
      </c>
      <c r="B142" s="16">
        <f>B131*P_fusion*1000000/((17.586-3.517)*1000000)/0.0000000000000000001602</f>
        <v>6.30485129490322E+19</v>
      </c>
      <c r="E142" s="7">
        <f t="shared" si="11"/>
        <v>2.3000000000000007</v>
      </c>
      <c r="F142" s="7">
        <v>0.14735690427284578</v>
      </c>
      <c r="G142" s="7">
        <v>0.1491378766822026</v>
      </c>
      <c r="H142" s="7">
        <v>0.1506638758312342</v>
      </c>
      <c r="I142" s="7">
        <v>0.15197940367577326</v>
      </c>
      <c r="J142" s="7">
        <v>0.15312007342176737</v>
      </c>
      <c r="K142" s="7">
        <v>0.15411455551539002</v>
      </c>
    </row>
    <row r="143" spans="1:11" ht="12.75">
      <c r="A143" t="s">
        <v>258</v>
      </c>
      <c r="B143" s="16">
        <f>B142/B139/1000000</f>
        <v>255542267341.23703</v>
      </c>
      <c r="E143" s="7">
        <f t="shared" si="11"/>
        <v>2.400000000000001</v>
      </c>
      <c r="F143" s="7">
        <v>0.15347397133363191</v>
      </c>
      <c r="G143" s="7">
        <v>0.1553288753155554</v>
      </c>
      <c r="H143" s="7">
        <v>0.15691822160923138</v>
      </c>
      <c r="I143" s="7">
        <v>0.1582883595318329</v>
      </c>
      <c r="J143" s="7">
        <v>0.15947638066163142</v>
      </c>
      <c r="K143" s="7">
        <v>0.1605121456098815</v>
      </c>
    </row>
    <row r="144" spans="5:11" ht="12.75">
      <c r="E144" s="7">
        <f t="shared" si="11"/>
        <v>2.500000000000001</v>
      </c>
      <c r="F144" s="7">
        <v>0.15923014803353835</v>
      </c>
      <c r="G144" s="7">
        <v>0.16115462182582463</v>
      </c>
      <c r="H144" s="7">
        <v>0.16280357795447292</v>
      </c>
      <c r="I144" s="7">
        <v>0.16422510410868926</v>
      </c>
      <c r="J144" s="7">
        <v>0.16545768301911284</v>
      </c>
      <c r="K144" s="7">
        <v>0.1665322952455684</v>
      </c>
    </row>
    <row r="145" spans="5:11" ht="12.75">
      <c r="E145" s="7">
        <f t="shared" si="11"/>
        <v>2.600000000000001</v>
      </c>
      <c r="F145" s="7">
        <v>0.1646598033831509</v>
      </c>
      <c r="G145" s="7">
        <v>0.1666499006113915</v>
      </c>
      <c r="H145" s="7">
        <v>0.16835508518406103</v>
      </c>
      <c r="I145" s="7">
        <v>0.16982508455257234</v>
      </c>
      <c r="J145" s="7">
        <v>0.1710996936862762</v>
      </c>
      <c r="K145" s="7">
        <v>0.1722109495640515</v>
      </c>
    </row>
    <row r="146" spans="5:11" ht="12.75">
      <c r="E146" s="7">
        <f>E145+0.1</f>
        <v>2.700000000000001</v>
      </c>
      <c r="F146" s="7">
        <v>0.16979286432675086</v>
      </c>
      <c r="G146" s="7">
        <v>0.1718450003170109</v>
      </c>
      <c r="H146" s="7">
        <v>0.17360334186030565</v>
      </c>
      <c r="I146" s="7">
        <v>0.17511916659840077</v>
      </c>
      <c r="J146" s="7">
        <v>0.17643351005844382</v>
      </c>
      <c r="K146" s="7">
        <v>0.17757940793157775</v>
      </c>
    </row>
    <row r="147" spans="5:11" ht="12.75">
      <c r="E147" s="7">
        <f t="shared" si="11"/>
        <v>2.800000000000001</v>
      </c>
      <c r="F147" s="7">
        <v>0.174655531870671</v>
      </c>
      <c r="G147" s="7">
        <v>0.17676643861737665</v>
      </c>
      <c r="H147" s="7">
        <v>0.17857513699037456</v>
      </c>
      <c r="I147" s="7">
        <v>0.18013437316266287</v>
      </c>
      <c r="J147" s="7">
        <v>0.181486357870529</v>
      </c>
      <c r="K147" s="7">
        <v>0.1826650729083797</v>
      </c>
    </row>
    <row r="148" spans="5:11" ht="12.75">
      <c r="E148" s="7">
        <f>E147+0.1</f>
        <v>2.9000000000000012</v>
      </c>
      <c r="F148" s="7">
        <v>0.17927086021798172</v>
      </c>
      <c r="G148" s="7">
        <v>0.1814375483512959</v>
      </c>
      <c r="H148" s="7">
        <v>0.1832940421578722</v>
      </c>
      <c r="I148" s="7">
        <v>0.18489448164521755</v>
      </c>
      <c r="J148" s="7">
        <v>0.18628219298183982</v>
      </c>
      <c r="K148" s="7">
        <v>0.18749205594194251</v>
      </c>
    </row>
    <row r="149" spans="5:11" ht="12.75">
      <c r="E149" s="7">
        <f t="shared" si="11"/>
        <v>3.0000000000000013</v>
      </c>
      <c r="F149" s="7">
        <v>0.1836592289977144</v>
      </c>
      <c r="G149" s="7">
        <v>0.18587895545832891</v>
      </c>
      <c r="H149" s="7">
        <v>0.18778089434979323</v>
      </c>
      <c r="I149" s="7">
        <v>0.18942051097207044</v>
      </c>
      <c r="J149" s="7">
        <v>0.19084219207431724</v>
      </c>
      <c r="K149" s="7">
        <v>0.1920816712522225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2002-05-21T19:36:02Z</cp:lastPrinted>
  <dcterms:created xsi:type="dcterms:W3CDTF">2002-04-18T20:45:09Z</dcterms:created>
  <cp:category/>
  <cp:version/>
  <cp:contentType/>
  <cp:contentStatus/>
</cp:coreProperties>
</file>