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1985" windowHeight="6570" tabRatio="567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/>
  <calcPr fullCalcOnLoad="1"/>
</workbook>
</file>

<file path=xl/sharedStrings.xml><?xml version="1.0" encoding="utf-8"?>
<sst xmlns="http://schemas.openxmlformats.org/spreadsheetml/2006/main" count="937" uniqueCount="225">
  <si>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</si>
  <si>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</si>
  <si>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</si>
  <si>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</si>
  <si>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</si>
  <si>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</si>
  <si>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</si>
  <si>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None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</si>
  <si>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</si>
  <si>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</si>
  <si>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</si>
  <si>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</si>
  <si>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</si>
  <si>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</si>
  <si>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</si>
  <si>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</si>
  <si>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</si>
  <si>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</si>
  <si>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</si>
  <si>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</si>
  <si>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</si>
  <si>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</si>
  <si>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</si>
  <si>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HCl</t>
  </si>
  <si>
    <t>Cl2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</si>
  <si>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</si>
  <si>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</si>
  <si>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</si>
  <si>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</si>
  <si>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</si>
  <si>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</si>
  <si>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</si>
  <si>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</si>
  <si>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</si>
  <si>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</si>
  <si>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</si>
  <si>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</si>
  <si>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</si>
  <si>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</si>
  <si>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</si>
  <si>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</si>
  <si>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</si>
  <si>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</si>
  <si>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</si>
  <si>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</si>
  <si>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</si>
  <si>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</si>
  <si>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</si>
  <si>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</si>
  <si>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</si>
  <si>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</si>
  <si>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</si>
  <si>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</si>
  <si>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</si>
  <si>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</si>
  <si>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</si>
  <si>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</si>
  <si>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</si>
  <si>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</si>
  <si>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</si>
  <si>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</si>
  <si>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Feedrate</t>
  </si>
  <si>
    <t>g/hr</t>
  </si>
  <si>
    <t>Heating Value</t>
  </si>
  <si>
    <t>Btu/lb</t>
  </si>
  <si>
    <t>Ash</t>
  </si>
  <si>
    <t>Chlorine</t>
  </si>
  <si>
    <t>Detected in sample volume (ng)</t>
  </si>
  <si>
    <t>PCDD/PCDF (ng in sample)</t>
  </si>
  <si>
    <t>Density</t>
  </si>
  <si>
    <t>Viscosity</t>
  </si>
  <si>
    <t>Process Information</t>
  </si>
  <si>
    <t>POHC DRE</t>
  </si>
  <si>
    <t>cSt</t>
  </si>
  <si>
    <t>Stack Gas Flowrate</t>
  </si>
  <si>
    <t>Oxygen</t>
  </si>
  <si>
    <t>Estimated Firing Rate</t>
  </si>
  <si>
    <t>MMBtu/hr</t>
  </si>
  <si>
    <t>mg/dscm</t>
  </si>
  <si>
    <t>ug/dscm</t>
  </si>
  <si>
    <t>O2 (%)</t>
  </si>
  <si>
    <t>Combustor Characteristics</t>
  </si>
  <si>
    <t>Stack Gas Emissions</t>
  </si>
  <si>
    <t>HW</t>
  </si>
  <si>
    <t>SVM</t>
  </si>
  <si>
    <t>LVM</t>
  </si>
  <si>
    <t>DRE</t>
  </si>
  <si>
    <t>Moisture</t>
  </si>
  <si>
    <t>µg/dscm</t>
  </si>
  <si>
    <t>Spike</t>
  </si>
  <si>
    <t>1/2 ND</t>
  </si>
  <si>
    <t>PCDD/PCDF</t>
  </si>
  <si>
    <t>Feedrates</t>
  </si>
  <si>
    <t>Hazardous Wastes</t>
  </si>
  <si>
    <t>Haz Waste Description</t>
  </si>
  <si>
    <t>Supplemental Fuel</t>
  </si>
  <si>
    <t>Comb Temp</t>
  </si>
  <si>
    <t>Steam Production</t>
  </si>
  <si>
    <t>F</t>
  </si>
  <si>
    <t>M lb/hr</t>
  </si>
  <si>
    <t>Capacity (MMBtu/hr)</t>
  </si>
  <si>
    <t>TEQ Cond Avg</t>
  </si>
  <si>
    <t>Phase II ID No.</t>
  </si>
  <si>
    <t>7% O2</t>
  </si>
  <si>
    <t>Feedrate MTEC Calculations</t>
  </si>
  <si>
    <t>Source Description</t>
  </si>
  <si>
    <t xml:space="preserve">    Testing Dates</t>
  </si>
  <si>
    <t xml:space="preserve">    Gas Velocity (ft/sec)</t>
  </si>
  <si>
    <t xml:space="preserve">    Gas Temperature (°F)</t>
  </si>
  <si>
    <t>Soot Blowing</t>
  </si>
  <si>
    <t xml:space="preserve">   Temperature</t>
  </si>
  <si>
    <t xml:space="preserve">   Stack Gas Flowrate</t>
  </si>
  <si>
    <t>Comments</t>
  </si>
  <si>
    <t>Trial Burn</t>
  </si>
  <si>
    <t>Cr+6</t>
  </si>
  <si>
    <t xml:space="preserve">   O2</t>
  </si>
  <si>
    <t xml:space="preserve">   Moisture</t>
  </si>
  <si>
    <t>Emission Rate</t>
  </si>
  <si>
    <t>CO (MHRA)</t>
  </si>
  <si>
    <t>Sampling Train</t>
  </si>
  <si>
    <t>*</t>
  </si>
  <si>
    <t>Feed Rate</t>
  </si>
  <si>
    <t>Union Carbide Coporation</t>
  </si>
  <si>
    <t>Texas City</t>
  </si>
  <si>
    <t>Texas</t>
  </si>
  <si>
    <t>Boiler 53</t>
  </si>
  <si>
    <t>Yes (run 11)</t>
  </si>
  <si>
    <t>N/A</t>
  </si>
  <si>
    <t>Fuel gas</t>
  </si>
  <si>
    <t>The various organic residue fuels (Propionic Acid Heads, 2-Ethylhexanoic Acid Heads and Ethanol)</t>
  </si>
  <si>
    <t>TRC Environmental Corporation</t>
  </si>
  <si>
    <t>March 23, 2000 and June 15, 2000</t>
  </si>
  <si>
    <t>March 20 - 22, 2000</t>
  </si>
  <si>
    <t>March 25 - 26, 2000</t>
  </si>
  <si>
    <t>PM, CO, Cl2/HCl, Cr+6, DRE</t>
  </si>
  <si>
    <t>Soot blow</t>
  </si>
  <si>
    <t>HCl/Cl2</t>
  </si>
  <si>
    <t>Chlorobenzene</t>
  </si>
  <si>
    <t>Toluene</t>
  </si>
  <si>
    <t>Risk burn</t>
  </si>
  <si>
    <t>Union Carbide Corporation</t>
  </si>
  <si>
    <t>2021C3</t>
  </si>
  <si>
    <t>Risk burn, max feedrate.</t>
  </si>
  <si>
    <t>Propionic Acid Heads</t>
  </si>
  <si>
    <t>2-Ehtylhexanoic Acid Heads</t>
  </si>
  <si>
    <t>Ethanol</t>
  </si>
  <si>
    <t>Fuel Gas</t>
  </si>
  <si>
    <t>TXD000461533</t>
  </si>
  <si>
    <t>DRE burn</t>
  </si>
  <si>
    <t>2021C2</t>
  </si>
  <si>
    <t xml:space="preserve">2021C3 </t>
  </si>
  <si>
    <t>g/cc</t>
  </si>
  <si>
    <t>2021C1</t>
  </si>
  <si>
    <t>Liquid wastes</t>
  </si>
  <si>
    <t>Tier I all metals except Cr+6.</t>
  </si>
  <si>
    <t>Trial Burn Report for Boiler 53, July 2000</t>
  </si>
  <si>
    <t>CO, DRE</t>
  </si>
  <si>
    <t>Particle Size Distribution</t>
  </si>
  <si>
    <t>&gt; 10 microns</t>
  </si>
  <si>
    <t>wt%</t>
  </si>
  <si>
    <t>Trial burn, min comb temp</t>
  </si>
  <si>
    <t>CO, PCDD/PCDF</t>
  </si>
  <si>
    <t>HWC Burn Status (Date if Terminated)</t>
  </si>
  <si>
    <t>Trial burn, max comb Temp, max steam prod rate, max feedrate, soot blow</t>
  </si>
  <si>
    <t xml:space="preserve">2021C1 </t>
  </si>
  <si>
    <t>Thermal Feedrate</t>
  </si>
  <si>
    <t>2-Ethylhexaonic Acid</t>
  </si>
  <si>
    <t xml:space="preserve">Total </t>
  </si>
  <si>
    <t xml:space="preserve">    Cond Dates</t>
  </si>
  <si>
    <r>
      <t>Watertube boiler. Combustion Engineering Type V-60. Designed to co-fire gaseous fuels with supplemental firing of liquid residues. Equiped with four liquid burners. Produces 300000 lb/hr superheated steam and 250000 lb/hr fuel gas @ 650, 750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 and 50% liquid firing, 441 MM Btu/hr.</t>
    </r>
  </si>
  <si>
    <t>Liquid-fired boiler</t>
  </si>
  <si>
    <t>Cond Description</t>
  </si>
  <si>
    <t>E1</t>
  </si>
  <si>
    <t>Chromium (Hex)</t>
  </si>
  <si>
    <t xml:space="preserve">Chromium </t>
  </si>
  <si>
    <t>E2</t>
  </si>
  <si>
    <t>E3</t>
  </si>
  <si>
    <t>Total Chlorine</t>
  </si>
  <si>
    <t>Number of Sister Facilities</t>
  </si>
  <si>
    <t>Combustor Class</t>
  </si>
  <si>
    <t>Combustor Type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</si>
  <si>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</si>
  <si>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</si>
  <si>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</si>
  <si>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</si>
  <si>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</si>
  <si>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</si>
  <si>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</si>
  <si>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Liquid-fired</t>
  </si>
  <si>
    <t>R6</t>
  </si>
  <si>
    <t>R7</t>
  </si>
  <si>
    <t>R8</t>
  </si>
  <si>
    <t>R11</t>
  </si>
  <si>
    <t>R1</t>
  </si>
  <si>
    <t>R2</t>
  </si>
  <si>
    <t>R3</t>
  </si>
  <si>
    <t>Chromium</t>
  </si>
  <si>
    <t>Antimony</t>
  </si>
  <si>
    <t>Arsenic</t>
  </si>
  <si>
    <t>Barium</t>
  </si>
  <si>
    <t>Beryllium</t>
  </si>
  <si>
    <t>Cadmium</t>
  </si>
  <si>
    <t>Lead</t>
  </si>
  <si>
    <t>Mercury</t>
  </si>
  <si>
    <t>Silver</t>
  </si>
  <si>
    <t>Thallium</t>
  </si>
  <si>
    <t>R4</t>
  </si>
  <si>
    <t>R5</t>
  </si>
  <si>
    <t>Feedstream Number</t>
  </si>
  <si>
    <t>Feed Class</t>
  </si>
  <si>
    <t>F1</t>
  </si>
  <si>
    <t>Liq HW</t>
  </si>
  <si>
    <t>Misc. Fuel</t>
  </si>
  <si>
    <t>F2</t>
  </si>
  <si>
    <t>F3</t>
  </si>
  <si>
    <t>F4</t>
  </si>
  <si>
    <t>F5</t>
  </si>
  <si>
    <t>F6</t>
  </si>
  <si>
    <t>R9</t>
  </si>
  <si>
    <t>Feed Class 2</t>
  </si>
  <si>
    <t>MF</t>
  </si>
  <si>
    <t>Cr only</t>
  </si>
  <si>
    <t>Full ND</t>
  </si>
  <si>
    <t>df c3</t>
  </si>
  <si>
    <t>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</si>
</sst>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0.00000000"/>
    <numFmt numFmtId="174" formatCode="0.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" fontId="0" fillId="0" borderId="0" xfId="0" applyNumberFormat="1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G19" sqref="G19"/>
    </sheetView>
  </sheetViews>
  <sheetFormatPr defaultColWidth="9.140625" defaultRowHeight="12.75"/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187</v>
      </c>
    </row>
    <row r="6" ht="12.75">
      <c r="A6" t="s">
        <v>223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4"/>
  <sheetViews>
    <sheetView workbookViewId="0" topLeftCell="B1">
      <selection activeCell="C1" sqref="C1"/>
    </sheetView>
  </sheetViews>
  <sheetFormatPr defaultColWidth="9.140625" defaultRowHeight="12.75"/>
  <cols>
    <col min="1" max="1" width="9.140625" style="6" hidden="1" customWidth="1"/>
    <col min="2" max="2" width="23.8515625" style="6" customWidth="1"/>
    <col min="3" max="3" width="58.421875" style="6" customWidth="1"/>
    <col min="4" max="9" width="8.8515625" style="0" customWidth="1"/>
    <col min="10" max="16384" width="8.8515625" style="6" customWidth="1"/>
  </cols>
  <sheetData>
    <row r="1" ht="12.75">
      <c r="B1" s="1" t="s">
        <v>105</v>
      </c>
    </row>
    <row r="3" spans="2:3" ht="12.75">
      <c r="B3" s="6" t="s">
        <v>102</v>
      </c>
      <c r="C3" s="43">
        <v>2021</v>
      </c>
    </row>
    <row r="4" spans="2:3" ht="12.75">
      <c r="B4" s="6" t="s">
        <v>0</v>
      </c>
      <c r="C4" s="6" t="s">
        <v>147</v>
      </c>
    </row>
    <row r="5" spans="2:3" ht="12.75">
      <c r="B5" s="6" t="s">
        <v>1</v>
      </c>
      <c r="C5" s="6" t="s">
        <v>122</v>
      </c>
    </row>
    <row r="6" ht="12.75">
      <c r="B6" s="6" t="s">
        <v>2</v>
      </c>
    </row>
    <row r="7" spans="2:3" ht="12.75">
      <c r="B7" s="6" t="s">
        <v>3</v>
      </c>
      <c r="C7" s="6" t="s">
        <v>123</v>
      </c>
    </row>
    <row r="8" spans="2:3" ht="12.75">
      <c r="B8" s="6" t="s">
        <v>4</v>
      </c>
      <c r="C8" s="6" t="s">
        <v>124</v>
      </c>
    </row>
    <row r="9" spans="2:3" ht="12.75">
      <c r="B9" s="6" t="s">
        <v>5</v>
      </c>
      <c r="C9" s="6" t="s">
        <v>125</v>
      </c>
    </row>
    <row r="10" spans="2:3" ht="12.75">
      <c r="B10" s="6" t="s">
        <v>6</v>
      </c>
      <c r="C10" s="6" t="s">
        <v>7</v>
      </c>
    </row>
    <row r="11" spans="2:3" ht="12.75">
      <c r="B11" s="6" t="s">
        <v>178</v>
      </c>
      <c r="C11" s="43">
        <v>0</v>
      </c>
    </row>
    <row r="12" spans="2:3" ht="12.75">
      <c r="B12" s="6" t="s">
        <v>179</v>
      </c>
      <c r="C12" s="6" t="s">
        <v>170</v>
      </c>
    </row>
    <row r="13" spans="2:3" ht="12.75">
      <c r="B13" s="6" t="s">
        <v>180</v>
      </c>
      <c r="C13" s="6" t="s">
        <v>188</v>
      </c>
    </row>
    <row r="14" spans="2:9" s="44" customFormat="1" ht="55.5" customHeight="1">
      <c r="B14" s="44" t="s">
        <v>81</v>
      </c>
      <c r="C14" s="44" t="s">
        <v>169</v>
      </c>
      <c r="D14"/>
      <c r="E14"/>
      <c r="F14"/>
      <c r="G14"/>
      <c r="H14"/>
      <c r="I14"/>
    </row>
    <row r="15" spans="2:9" s="44" customFormat="1" ht="12.75">
      <c r="B15" s="44" t="s">
        <v>100</v>
      </c>
      <c r="C15" s="48">
        <v>441</v>
      </c>
      <c r="D15" s="6"/>
      <c r="E15" s="6"/>
      <c r="F15"/>
      <c r="G15"/>
      <c r="H15"/>
      <c r="I15"/>
    </row>
    <row r="16" spans="2:3" ht="12.75">
      <c r="B16" s="6" t="s">
        <v>109</v>
      </c>
      <c r="C16" s="6" t="s">
        <v>126</v>
      </c>
    </row>
    <row r="17" spans="2:3" ht="12.75">
      <c r="B17" s="6" t="s">
        <v>181</v>
      </c>
      <c r="C17" s="6" t="s">
        <v>7</v>
      </c>
    </row>
    <row r="18" ht="12.75">
      <c r="B18" s="6" t="s">
        <v>182</v>
      </c>
    </row>
    <row r="19" spans="2:3" ht="12.75">
      <c r="B19" s="6" t="s">
        <v>8</v>
      </c>
      <c r="C19" s="6" t="s">
        <v>127</v>
      </c>
    </row>
    <row r="20" spans="2:3" ht="12.75">
      <c r="B20" s="6" t="s">
        <v>93</v>
      </c>
      <c r="C20" s="6" t="s">
        <v>153</v>
      </c>
    </row>
    <row r="21" spans="2:9" s="44" customFormat="1" ht="25.5">
      <c r="B21" s="44" t="s">
        <v>94</v>
      </c>
      <c r="C21" s="44" t="s">
        <v>129</v>
      </c>
      <c r="D21"/>
      <c r="E21"/>
      <c r="F21"/>
      <c r="G21"/>
      <c r="H21"/>
      <c r="I21"/>
    </row>
    <row r="22" spans="2:3" ht="12.75">
      <c r="B22" s="6" t="s">
        <v>95</v>
      </c>
      <c r="C22" s="6" t="s">
        <v>128</v>
      </c>
    </row>
    <row r="23" ht="12.75" customHeight="1"/>
    <row r="24" ht="12.75">
      <c r="B24" s="6" t="s">
        <v>9</v>
      </c>
    </row>
    <row r="25" spans="2:3" ht="12.75">
      <c r="B25" s="6" t="s">
        <v>10</v>
      </c>
      <c r="C25" s="43">
        <v>8</v>
      </c>
    </row>
    <row r="26" spans="2:3" ht="12.75">
      <c r="B26" s="6" t="s">
        <v>11</v>
      </c>
      <c r="C26" s="43">
        <v>125</v>
      </c>
    </row>
    <row r="27" spans="2:3" ht="12.75">
      <c r="B27" s="6" t="s">
        <v>107</v>
      </c>
      <c r="C27" s="45">
        <v>41</v>
      </c>
    </row>
    <row r="28" spans="2:3" ht="12.75">
      <c r="B28" s="6" t="s">
        <v>108</v>
      </c>
      <c r="C28" s="43">
        <v>323.6</v>
      </c>
    </row>
    <row r="29" ht="12.75" customHeight="1"/>
    <row r="30" spans="2:3" ht="12.75">
      <c r="B30" s="6" t="s">
        <v>12</v>
      </c>
      <c r="C30" s="6" t="s">
        <v>154</v>
      </c>
    </row>
    <row r="31" spans="2:9" s="55" customFormat="1" ht="25.5">
      <c r="B31" s="55" t="s">
        <v>162</v>
      </c>
      <c r="D31" s="56"/>
      <c r="E31" s="56"/>
      <c r="F31" s="56"/>
      <c r="G31" s="56"/>
      <c r="H31" s="56"/>
      <c r="I31" s="56"/>
    </row>
    <row r="32" ht="12.75" customHeight="1"/>
    <row r="52" ht="12.75">
      <c r="C52" s="46"/>
    </row>
    <row r="56" ht="12.75">
      <c r="C56" s="46"/>
    </row>
    <row r="60" ht="12.75">
      <c r="C60" s="46"/>
    </row>
    <row r="63" ht="12.75">
      <c r="C63" s="46"/>
    </row>
    <row r="64" ht="12.75">
      <c r="C64" s="4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" sqref="C1"/>
    </sheetView>
  </sheetViews>
  <sheetFormatPr defaultColWidth="9.140625" defaultRowHeight="12.75"/>
  <cols>
    <col min="1" max="1" width="9.140625" style="6" hidden="1" customWidth="1"/>
    <col min="2" max="2" width="21.8515625" style="6" customWidth="1"/>
    <col min="3" max="3" width="64.140625" style="6" customWidth="1"/>
    <col min="4" max="16384" width="9.140625" style="6" customWidth="1"/>
  </cols>
  <sheetData>
    <row r="1" ht="12.75">
      <c r="B1" s="1" t="s">
        <v>171</v>
      </c>
    </row>
    <row r="3" ht="12.75">
      <c r="B3" s="54" t="s">
        <v>152</v>
      </c>
    </row>
    <row r="4" ht="12.75">
      <c r="B4" s="54"/>
    </row>
    <row r="5" spans="2:3" ht="12.75">
      <c r="B5" s="6" t="s">
        <v>13</v>
      </c>
      <c r="C5" s="6" t="s">
        <v>155</v>
      </c>
    </row>
    <row r="6" spans="2:3" ht="12.75">
      <c r="B6" s="6" t="s">
        <v>14</v>
      </c>
      <c r="C6" s="6" t="s">
        <v>130</v>
      </c>
    </row>
    <row r="7" spans="2:3" ht="12.75">
      <c r="B7" s="6" t="s">
        <v>15</v>
      </c>
      <c r="C7" s="6" t="s">
        <v>130</v>
      </c>
    </row>
    <row r="8" spans="2:3" ht="12.75">
      <c r="B8" s="6" t="s">
        <v>106</v>
      </c>
      <c r="C8" s="46" t="s">
        <v>131</v>
      </c>
    </row>
    <row r="9" spans="2:3" ht="12.75">
      <c r="B9" s="6" t="s">
        <v>168</v>
      </c>
      <c r="C9" s="53">
        <v>36586</v>
      </c>
    </row>
    <row r="10" spans="2:3" ht="12.75">
      <c r="B10" s="6" t="s">
        <v>16</v>
      </c>
      <c r="C10" s="6" t="s">
        <v>163</v>
      </c>
    </row>
    <row r="11" spans="2:3" ht="12.75">
      <c r="B11" s="6" t="s">
        <v>17</v>
      </c>
      <c r="C11" s="6" t="s">
        <v>134</v>
      </c>
    </row>
    <row r="13" ht="12.75">
      <c r="B13" s="54" t="s">
        <v>149</v>
      </c>
    </row>
    <row r="14" ht="12.75">
      <c r="B14" s="54"/>
    </row>
    <row r="15" spans="2:3" ht="12.75">
      <c r="B15" s="6" t="s">
        <v>13</v>
      </c>
      <c r="C15" s="6" t="s">
        <v>155</v>
      </c>
    </row>
    <row r="16" spans="2:3" ht="12.75">
      <c r="B16" s="6" t="s">
        <v>14</v>
      </c>
      <c r="C16" s="6" t="s">
        <v>130</v>
      </c>
    </row>
    <row r="17" spans="2:3" ht="12.75">
      <c r="B17" s="6" t="s">
        <v>15</v>
      </c>
      <c r="C17" s="6" t="s">
        <v>130</v>
      </c>
    </row>
    <row r="18" spans="2:3" ht="12.75">
      <c r="B18" s="6" t="s">
        <v>106</v>
      </c>
      <c r="C18" s="6" t="s">
        <v>132</v>
      </c>
    </row>
    <row r="19" spans="2:3" ht="12.75">
      <c r="B19" s="6" t="s">
        <v>168</v>
      </c>
      <c r="C19" s="53">
        <v>36586</v>
      </c>
    </row>
    <row r="20" spans="2:3" ht="12.75">
      <c r="B20" s="6" t="s">
        <v>16</v>
      </c>
      <c r="C20" s="6" t="s">
        <v>160</v>
      </c>
    </row>
    <row r="21" spans="2:3" ht="12.75">
      <c r="B21" s="6" t="s">
        <v>17</v>
      </c>
      <c r="C21" s="6" t="s">
        <v>156</v>
      </c>
    </row>
    <row r="23" ht="12.75">
      <c r="B23" s="54" t="s">
        <v>141</v>
      </c>
    </row>
    <row r="24" ht="12.75">
      <c r="B24" s="54"/>
    </row>
    <row r="25" spans="2:3" ht="12.75">
      <c r="B25" s="6" t="s">
        <v>13</v>
      </c>
      <c r="C25" s="6" t="s">
        <v>155</v>
      </c>
    </row>
    <row r="26" spans="2:3" ht="12.75">
      <c r="B26" s="6" t="s">
        <v>14</v>
      </c>
      <c r="C26" s="6" t="s">
        <v>130</v>
      </c>
    </row>
    <row r="27" spans="2:3" ht="12.75">
      <c r="B27" s="6" t="s">
        <v>15</v>
      </c>
      <c r="C27" s="6" t="s">
        <v>130</v>
      </c>
    </row>
    <row r="28" spans="2:3" ht="12.75">
      <c r="B28" s="6" t="s">
        <v>106</v>
      </c>
      <c r="C28" s="46" t="s">
        <v>133</v>
      </c>
    </row>
    <row r="29" spans="2:3" ht="12.75">
      <c r="B29" s="6" t="s">
        <v>168</v>
      </c>
      <c r="C29" s="53">
        <v>36586</v>
      </c>
    </row>
    <row r="30" spans="2:3" ht="12.75">
      <c r="B30" s="6" t="s">
        <v>16</v>
      </c>
      <c r="C30" s="6" t="s">
        <v>142</v>
      </c>
    </row>
    <row r="31" spans="2:3" ht="12.75">
      <c r="B31" s="6" t="s">
        <v>17</v>
      </c>
      <c r="C31" s="6" t="s">
        <v>161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B1">
      <selection activeCell="C1" sqref="C1"/>
    </sheetView>
  </sheetViews>
  <sheetFormatPr defaultColWidth="9.140625" defaultRowHeight="12.75"/>
  <cols>
    <col min="1" max="1" width="3.57421875" style="29" hidden="1" customWidth="1"/>
    <col min="2" max="2" width="21.140625" style="29" customWidth="1"/>
    <col min="3" max="3" width="12.140625" style="29" customWidth="1"/>
    <col min="4" max="4" width="8.00390625" style="28" customWidth="1"/>
    <col min="5" max="5" width="5.57421875" style="28" customWidth="1"/>
    <col min="6" max="6" width="3.140625" style="28" customWidth="1"/>
    <col min="7" max="7" width="8.8515625" style="29" customWidth="1"/>
    <col min="8" max="8" width="2.7109375" style="29" customWidth="1"/>
    <col min="9" max="9" width="9.7109375" style="30" customWidth="1"/>
    <col min="10" max="10" width="2.8515625" style="29" customWidth="1"/>
    <col min="11" max="11" width="9.8515625" style="29" customWidth="1"/>
    <col min="12" max="12" width="2.57421875" style="29" customWidth="1"/>
    <col min="13" max="13" width="8.8515625" style="29" customWidth="1"/>
    <col min="14" max="14" width="3.28125" style="33" customWidth="1"/>
    <col min="15" max="15" width="8.8515625" style="29" customWidth="1"/>
    <col min="16" max="16" width="10.00390625" style="29" customWidth="1"/>
    <col min="17" max="16384" width="8.8515625" style="29" customWidth="1"/>
  </cols>
  <sheetData>
    <row r="1" spans="2:3" ht="12.75">
      <c r="B1" s="27" t="s">
        <v>82</v>
      </c>
      <c r="C1" s="27"/>
    </row>
    <row r="2" spans="2:12" ht="12.75">
      <c r="B2" s="31"/>
      <c r="C2" s="31"/>
      <c r="G2" s="31"/>
      <c r="H2" s="31"/>
      <c r="I2" s="32"/>
      <c r="J2" s="31"/>
      <c r="K2" s="31"/>
      <c r="L2" s="31"/>
    </row>
    <row r="3" spans="2:16" ht="12.75">
      <c r="B3" s="6"/>
      <c r="C3" s="6" t="s">
        <v>112</v>
      </c>
      <c r="D3" s="28" t="s">
        <v>18</v>
      </c>
      <c r="E3" s="28" t="s">
        <v>103</v>
      </c>
      <c r="P3" s="33"/>
    </row>
    <row r="4" spans="2:16" ht="12.75">
      <c r="B4" s="6"/>
      <c r="C4" s="6"/>
      <c r="P4" s="33"/>
    </row>
    <row r="5" spans="2:13" ht="12.75">
      <c r="B5" s="6"/>
      <c r="C5" s="6"/>
      <c r="G5" s="31"/>
      <c r="H5" s="31"/>
      <c r="I5" s="32"/>
      <c r="J5" s="31"/>
      <c r="K5" s="31"/>
      <c r="L5" s="31"/>
      <c r="M5" s="29" t="s">
        <v>135</v>
      </c>
    </row>
    <row r="6" spans="1:15" ht="12.75">
      <c r="A6" s="29">
        <v>1</v>
      </c>
      <c r="B6" s="34" t="s">
        <v>152</v>
      </c>
      <c r="C6" s="34" t="s">
        <v>113</v>
      </c>
      <c r="G6" s="31" t="s">
        <v>206</v>
      </c>
      <c r="H6" s="31"/>
      <c r="I6" s="32" t="s">
        <v>207</v>
      </c>
      <c r="J6" s="31"/>
      <c r="K6" s="31" t="s">
        <v>189</v>
      </c>
      <c r="L6" s="31"/>
      <c r="M6" s="31" t="s">
        <v>192</v>
      </c>
      <c r="O6" s="33" t="s">
        <v>59</v>
      </c>
    </row>
    <row r="7" spans="2:12" ht="12.75">
      <c r="B7" s="28"/>
      <c r="C7" s="28"/>
      <c r="D7" s="6"/>
      <c r="E7" s="6"/>
      <c r="F7" s="6"/>
      <c r="G7" s="6"/>
      <c r="H7" s="6"/>
      <c r="I7" s="35"/>
      <c r="J7" s="6"/>
      <c r="K7" s="6"/>
      <c r="L7" s="31"/>
    </row>
    <row r="8" spans="2:15" ht="12.75">
      <c r="B8" s="28" t="s">
        <v>19</v>
      </c>
      <c r="C8" s="28" t="s">
        <v>172</v>
      </c>
      <c r="D8" s="28" t="s">
        <v>20</v>
      </c>
      <c r="E8" s="28" t="s">
        <v>21</v>
      </c>
      <c r="G8" s="33">
        <v>0.0346</v>
      </c>
      <c r="H8" s="33"/>
      <c r="I8" s="36">
        <v>0.0397</v>
      </c>
      <c r="J8" s="33"/>
      <c r="K8" s="33">
        <v>0.0425</v>
      </c>
      <c r="L8" s="31"/>
      <c r="M8" s="29">
        <v>0.0633</v>
      </c>
      <c r="O8" s="29">
        <v>0.0411</v>
      </c>
    </row>
    <row r="9" spans="2:15" ht="12.75">
      <c r="B9" s="28" t="s">
        <v>118</v>
      </c>
      <c r="C9" s="28" t="s">
        <v>172</v>
      </c>
      <c r="D9" s="28" t="s">
        <v>22</v>
      </c>
      <c r="E9" s="28" t="s">
        <v>21</v>
      </c>
      <c r="G9" s="33">
        <v>15.56</v>
      </c>
      <c r="H9" s="33"/>
      <c r="I9" s="36">
        <v>12.45</v>
      </c>
      <c r="J9" s="33"/>
      <c r="K9" s="33">
        <v>12.69</v>
      </c>
      <c r="L9" s="31"/>
      <c r="M9" s="29">
        <v>15.17</v>
      </c>
      <c r="O9" s="51">
        <f>AVERAGE(G9,I9,K9,M9)</f>
        <v>13.9675</v>
      </c>
    </row>
    <row r="10" spans="2:15" ht="12.75">
      <c r="B10" s="28" t="s">
        <v>23</v>
      </c>
      <c r="C10" s="28"/>
      <c r="D10" s="28" t="s">
        <v>62</v>
      </c>
      <c r="G10" s="33">
        <v>36465</v>
      </c>
      <c r="H10" s="33"/>
      <c r="I10" s="36">
        <v>27407</v>
      </c>
      <c r="J10" s="33"/>
      <c r="K10" s="33">
        <v>42784</v>
      </c>
      <c r="L10" s="31"/>
      <c r="M10" s="29">
        <v>44096</v>
      </c>
      <c r="O10" s="29">
        <v>36297</v>
      </c>
    </row>
    <row r="11" spans="2:15" ht="12.75">
      <c r="B11" s="28" t="s">
        <v>24</v>
      </c>
      <c r="C11" s="28"/>
      <c r="D11" s="28" t="s">
        <v>62</v>
      </c>
      <c r="G11" s="33">
        <v>38</v>
      </c>
      <c r="H11" s="33"/>
      <c r="I11" s="36">
        <v>35</v>
      </c>
      <c r="J11" s="33"/>
      <c r="K11" s="33">
        <v>68</v>
      </c>
      <c r="L11" s="31"/>
      <c r="M11" s="29">
        <v>35</v>
      </c>
      <c r="O11" s="29">
        <v>46</v>
      </c>
    </row>
    <row r="12" spans="2:15" ht="12.75">
      <c r="B12" s="57" t="s">
        <v>173</v>
      </c>
      <c r="C12" s="28"/>
      <c r="D12" s="28" t="s">
        <v>62</v>
      </c>
      <c r="G12" s="33">
        <v>3.6</v>
      </c>
      <c r="H12" s="33"/>
      <c r="I12" s="36">
        <v>4.1</v>
      </c>
      <c r="J12" s="33"/>
      <c r="K12" s="33">
        <v>5</v>
      </c>
      <c r="L12" s="31"/>
      <c r="M12" s="29">
        <v>4</v>
      </c>
      <c r="O12" s="51">
        <f>AVERAGE(G12,I12,K12,M12)</f>
        <v>4.175</v>
      </c>
    </row>
    <row r="13" spans="2:15" ht="12.75">
      <c r="B13" s="57" t="s">
        <v>174</v>
      </c>
      <c r="C13" s="28"/>
      <c r="D13" s="28" t="s">
        <v>62</v>
      </c>
      <c r="G13" s="33">
        <v>6.1</v>
      </c>
      <c r="H13" s="33"/>
      <c r="I13" s="36">
        <v>5.3</v>
      </c>
      <c r="J13" s="33"/>
      <c r="K13" s="33">
        <v>6.2</v>
      </c>
      <c r="L13" s="31"/>
      <c r="M13" s="29">
        <v>9</v>
      </c>
      <c r="O13" s="51">
        <f>AVERAGE(G13,I13,K13,M13)</f>
        <v>6.6499999999999995</v>
      </c>
    </row>
    <row r="14" spans="2:12" ht="12.75">
      <c r="B14" s="28"/>
      <c r="C14" s="28"/>
      <c r="G14" s="33"/>
      <c r="H14" s="33"/>
      <c r="I14" s="36"/>
      <c r="J14" s="33"/>
      <c r="K14" s="33"/>
      <c r="L14" s="31"/>
    </row>
    <row r="15" spans="2:12" ht="12.75">
      <c r="B15" s="28" t="s">
        <v>119</v>
      </c>
      <c r="C15" s="28" t="s">
        <v>19</v>
      </c>
      <c r="D15" s="28" t="s">
        <v>172</v>
      </c>
      <c r="L15" s="31"/>
    </row>
    <row r="16" spans="2:16" ht="12.75">
      <c r="B16" s="28" t="s">
        <v>111</v>
      </c>
      <c r="C16" s="28"/>
      <c r="D16" s="28" t="s">
        <v>25</v>
      </c>
      <c r="G16" s="33">
        <v>68747</v>
      </c>
      <c r="H16" s="33"/>
      <c r="I16" s="36">
        <v>70318</v>
      </c>
      <c r="J16" s="40"/>
      <c r="K16" s="33">
        <v>70550</v>
      </c>
      <c r="L16" s="31"/>
      <c r="M16" s="29">
        <v>76945</v>
      </c>
      <c r="O16" s="29">
        <v>71640.2</v>
      </c>
      <c r="P16" s="37"/>
    </row>
    <row r="17" spans="2:16" ht="12.75">
      <c r="B17" s="28" t="s">
        <v>115</v>
      </c>
      <c r="C17" s="28"/>
      <c r="D17" s="28" t="s">
        <v>26</v>
      </c>
      <c r="G17" s="33">
        <v>4.2</v>
      </c>
      <c r="H17" s="33"/>
      <c r="I17" s="36">
        <v>4.2</v>
      </c>
      <c r="J17" s="33"/>
      <c r="K17" s="33">
        <v>4.3</v>
      </c>
      <c r="M17" s="29">
        <v>4.9</v>
      </c>
      <c r="O17" s="29">
        <v>4.4</v>
      </c>
      <c r="P17" s="37"/>
    </row>
    <row r="18" spans="2:16" ht="12.75">
      <c r="B18" s="28" t="s">
        <v>116</v>
      </c>
      <c r="C18" s="28"/>
      <c r="D18" s="28" t="s">
        <v>26</v>
      </c>
      <c r="G18" s="33">
        <v>20.12</v>
      </c>
      <c r="H18" s="33"/>
      <c r="I18" s="36">
        <v>19.75</v>
      </c>
      <c r="J18" s="33"/>
      <c r="K18" s="33">
        <v>20.13</v>
      </c>
      <c r="M18" s="29">
        <v>21.33</v>
      </c>
      <c r="O18" s="29">
        <v>20.3</v>
      </c>
      <c r="P18" s="37"/>
    </row>
    <row r="19" spans="2:16" ht="12.75">
      <c r="B19" s="28" t="s">
        <v>110</v>
      </c>
      <c r="C19" s="28"/>
      <c r="D19" s="28" t="s">
        <v>27</v>
      </c>
      <c r="G19" s="33">
        <v>325.9</v>
      </c>
      <c r="H19" s="33"/>
      <c r="I19" s="36">
        <v>325.5</v>
      </c>
      <c r="J19" s="33"/>
      <c r="K19" s="33">
        <v>326.7</v>
      </c>
      <c r="M19" s="29">
        <v>349</v>
      </c>
      <c r="O19" s="29">
        <v>331.8</v>
      </c>
      <c r="P19" s="37"/>
    </row>
    <row r="20" spans="2:16" ht="12.75">
      <c r="B20" s="28"/>
      <c r="C20" s="28"/>
      <c r="G20" s="33"/>
      <c r="H20" s="33"/>
      <c r="I20" s="36"/>
      <c r="J20" s="33"/>
      <c r="K20" s="33"/>
      <c r="P20" s="37"/>
    </row>
    <row r="21" spans="2:16" ht="12.75">
      <c r="B21" s="28" t="s">
        <v>119</v>
      </c>
      <c r="C21" s="28" t="s">
        <v>136</v>
      </c>
      <c r="D21" s="28" t="s">
        <v>175</v>
      </c>
      <c r="G21" s="33"/>
      <c r="H21" s="33"/>
      <c r="I21" s="36"/>
      <c r="J21" s="33"/>
      <c r="K21" s="33"/>
      <c r="P21" s="37"/>
    </row>
    <row r="22" spans="2:16" ht="12.75">
      <c r="B22" s="28" t="s">
        <v>111</v>
      </c>
      <c r="C22" s="28"/>
      <c r="D22" s="28" t="s">
        <v>25</v>
      </c>
      <c r="G22" s="33">
        <v>68728</v>
      </c>
      <c r="H22" s="33"/>
      <c r="I22" s="36">
        <v>69428</v>
      </c>
      <c r="J22" s="33"/>
      <c r="K22" s="33">
        <v>70346</v>
      </c>
      <c r="M22" s="29">
        <v>76474</v>
      </c>
      <c r="O22" s="29">
        <v>71266.2</v>
      </c>
      <c r="P22" s="37"/>
    </row>
    <row r="23" spans="2:16" ht="12.75">
      <c r="B23" s="28" t="s">
        <v>115</v>
      </c>
      <c r="C23" s="28"/>
      <c r="D23" s="28" t="s">
        <v>26</v>
      </c>
      <c r="G23" s="33">
        <v>4.2</v>
      </c>
      <c r="H23" s="33"/>
      <c r="I23" s="36">
        <v>4.2</v>
      </c>
      <c r="J23" s="33"/>
      <c r="K23" s="33">
        <v>4.3</v>
      </c>
      <c r="M23" s="29">
        <v>4.9</v>
      </c>
      <c r="O23" s="29">
        <v>4.4</v>
      </c>
      <c r="P23" s="37"/>
    </row>
    <row r="24" spans="2:16" ht="12.75">
      <c r="B24" s="28" t="s">
        <v>116</v>
      </c>
      <c r="C24" s="28"/>
      <c r="D24" s="28" t="s">
        <v>26</v>
      </c>
      <c r="G24" s="33">
        <v>19.76</v>
      </c>
      <c r="H24" s="33"/>
      <c r="I24" s="36">
        <v>19.73</v>
      </c>
      <c r="J24" s="33"/>
      <c r="K24" s="33">
        <v>20.3</v>
      </c>
      <c r="M24" s="29">
        <v>21.24</v>
      </c>
      <c r="O24" s="29">
        <v>20.3</v>
      </c>
      <c r="P24" s="37"/>
    </row>
    <row r="25" spans="2:16" ht="12.75">
      <c r="B25" s="28" t="s">
        <v>110</v>
      </c>
      <c r="C25" s="28"/>
      <c r="D25" s="28" t="s">
        <v>27</v>
      </c>
      <c r="G25" s="33">
        <v>323.6</v>
      </c>
      <c r="H25" s="33"/>
      <c r="I25" s="36">
        <v>324.2</v>
      </c>
      <c r="J25" s="33"/>
      <c r="K25" s="33">
        <v>323.8</v>
      </c>
      <c r="M25" s="29">
        <v>339.4</v>
      </c>
      <c r="O25" s="29">
        <v>327.7</v>
      </c>
      <c r="P25" s="37"/>
    </row>
    <row r="26" spans="2:16" ht="12.75">
      <c r="B26" s="28"/>
      <c r="C26" s="28"/>
      <c r="G26" s="33"/>
      <c r="H26" s="33"/>
      <c r="I26" s="36"/>
      <c r="J26" s="33"/>
      <c r="K26" s="33"/>
      <c r="P26" s="37"/>
    </row>
    <row r="27" spans="2:16" ht="12.75">
      <c r="B27" s="28" t="s">
        <v>119</v>
      </c>
      <c r="C27" s="28" t="s">
        <v>114</v>
      </c>
      <c r="D27" s="28" t="s">
        <v>176</v>
      </c>
      <c r="G27" s="33"/>
      <c r="H27" s="33"/>
      <c r="I27" s="36"/>
      <c r="J27" s="33"/>
      <c r="K27" s="33"/>
      <c r="P27" s="37"/>
    </row>
    <row r="28" spans="2:16" ht="12.75">
      <c r="B28" s="28" t="s">
        <v>111</v>
      </c>
      <c r="C28" s="28"/>
      <c r="D28" s="28" t="s">
        <v>25</v>
      </c>
      <c r="G28" s="33">
        <v>73546</v>
      </c>
      <c r="H28" s="33"/>
      <c r="I28" s="36">
        <v>75201</v>
      </c>
      <c r="J28" s="33"/>
      <c r="K28" s="33">
        <v>72021</v>
      </c>
      <c r="M28" s="29">
        <v>80222</v>
      </c>
      <c r="O28" s="29">
        <f>AVERAGE(G28:M28)</f>
        <v>75247.5</v>
      </c>
      <c r="P28" s="37"/>
    </row>
    <row r="29" spans="2:16" ht="12.75">
      <c r="B29" s="28" t="s">
        <v>115</v>
      </c>
      <c r="C29" s="28"/>
      <c r="D29" s="28" t="s">
        <v>26</v>
      </c>
      <c r="G29" s="33">
        <v>4.2</v>
      </c>
      <c r="H29" s="33"/>
      <c r="I29" s="36">
        <v>4.2</v>
      </c>
      <c r="J29" s="33"/>
      <c r="K29" s="33">
        <v>4.3</v>
      </c>
      <c r="M29" s="29">
        <v>4.9</v>
      </c>
      <c r="O29" s="29">
        <f>AVERAGE(G29:M29)</f>
        <v>4.4</v>
      </c>
      <c r="P29" s="37"/>
    </row>
    <row r="30" spans="2:16" ht="12.75">
      <c r="B30" s="28" t="s">
        <v>116</v>
      </c>
      <c r="C30" s="28"/>
      <c r="D30" s="28" t="s">
        <v>26</v>
      </c>
      <c r="G30" s="33">
        <v>19.48</v>
      </c>
      <c r="H30" s="33"/>
      <c r="I30" s="36">
        <v>17.94</v>
      </c>
      <c r="J30" s="33"/>
      <c r="K30" s="33">
        <v>20.8</v>
      </c>
      <c r="M30" s="29">
        <v>17.33</v>
      </c>
      <c r="O30" s="29">
        <v>18.9</v>
      </c>
      <c r="P30" s="37"/>
    </row>
    <row r="31" spans="2:16" ht="12.75">
      <c r="B31" s="28" t="s">
        <v>110</v>
      </c>
      <c r="C31" s="28"/>
      <c r="D31" s="28" t="s">
        <v>27</v>
      </c>
      <c r="G31" s="33">
        <v>319</v>
      </c>
      <c r="H31" s="33"/>
      <c r="I31" s="36">
        <v>319.1</v>
      </c>
      <c r="J31" s="33"/>
      <c r="K31" s="33">
        <v>320.3</v>
      </c>
      <c r="M31" s="29">
        <v>347.5</v>
      </c>
      <c r="O31" s="29">
        <v>326.5</v>
      </c>
      <c r="P31" s="37"/>
    </row>
    <row r="32" spans="2:16" ht="12.75">
      <c r="B32" s="28"/>
      <c r="C32" s="28"/>
      <c r="G32" s="33"/>
      <c r="H32" s="33"/>
      <c r="I32" s="36"/>
      <c r="J32" s="33"/>
      <c r="K32" s="33"/>
      <c r="P32" s="37"/>
    </row>
    <row r="33" spans="2:16" ht="12.75">
      <c r="B33" s="28" t="s">
        <v>23</v>
      </c>
      <c r="C33" s="28" t="s">
        <v>175</v>
      </c>
      <c r="D33" s="28" t="s">
        <v>22</v>
      </c>
      <c r="E33" s="28" t="s">
        <v>21</v>
      </c>
      <c r="G33" s="50">
        <f>G10/60/G22/0.0283*(21-7)/(21-G23)*667.8</f>
        <v>173.88815304289596</v>
      </c>
      <c r="H33" s="33"/>
      <c r="I33" s="50">
        <f>I10/60/I22/0.0283*(21-7)/(21-I23)*667.8</f>
        <v>129.37618115602282</v>
      </c>
      <c r="J33" s="50"/>
      <c r="K33" s="50">
        <f>K10/60/K22/0.0283*(21-7)/(21-K23)*667.8</f>
        <v>200.52211248082745</v>
      </c>
      <c r="L33" s="50"/>
      <c r="M33" s="50">
        <f>M10/60/M22/0.0283*(21-7)/(21-M23)*667.8</f>
        <v>197.19517194940678</v>
      </c>
      <c r="N33" s="50"/>
      <c r="O33" s="50">
        <f>O10/60/O22/0.0283*(21-7)/(21-O23)*667.8</f>
        <v>168.933509969478</v>
      </c>
      <c r="P33" s="37"/>
    </row>
    <row r="34" spans="2:16" ht="12.75">
      <c r="B34" s="28" t="s">
        <v>24</v>
      </c>
      <c r="C34" s="28" t="s">
        <v>175</v>
      </c>
      <c r="D34" s="28" t="s">
        <v>22</v>
      </c>
      <c r="E34" s="28" t="s">
        <v>21</v>
      </c>
      <c r="G34" s="50">
        <f>G11/60/G22/0.0283*(21-7)/(21-G23)*343.4</f>
        <v>0.09318183303469901</v>
      </c>
      <c r="H34" s="33"/>
      <c r="I34" s="50">
        <f aca="true" t="shared" si="0" ref="I34:O34">I11/60/I22/0.0283*(21-7)/(21-I23)*343.4</f>
        <v>0.08496004786795704</v>
      </c>
      <c r="J34" s="50"/>
      <c r="K34" s="50">
        <f t="shared" si="0"/>
        <v>0.16388668642149612</v>
      </c>
      <c r="L34" s="50"/>
      <c r="M34" s="50">
        <f t="shared" si="0"/>
        <v>0.08048575127041557</v>
      </c>
      <c r="N34" s="50"/>
      <c r="O34" s="50">
        <f t="shared" si="0"/>
        <v>0.11009225868556151</v>
      </c>
      <c r="P34" s="37"/>
    </row>
    <row r="35" spans="2:16" ht="12.75">
      <c r="B35" s="28" t="s">
        <v>177</v>
      </c>
      <c r="C35" s="28" t="s">
        <v>175</v>
      </c>
      <c r="D35" s="28" t="s">
        <v>22</v>
      </c>
      <c r="E35" s="28" t="s">
        <v>21</v>
      </c>
      <c r="G35" s="50">
        <f>G33+2*G34</f>
        <v>174.07451670896538</v>
      </c>
      <c r="H35" s="33"/>
      <c r="I35" s="50">
        <f aca="true" t="shared" si="1" ref="I35:O35">I33+2*I34</f>
        <v>129.54610125175873</v>
      </c>
      <c r="J35" s="50"/>
      <c r="K35" s="50">
        <f t="shared" si="1"/>
        <v>200.84988585367043</v>
      </c>
      <c r="L35" s="50"/>
      <c r="M35" s="50">
        <f t="shared" si="1"/>
        <v>197.35614345194762</v>
      </c>
      <c r="N35" s="50"/>
      <c r="O35" s="50">
        <f t="shared" si="1"/>
        <v>169.1536944868491</v>
      </c>
      <c r="P35" s="37"/>
    </row>
    <row r="36" spans="2:16" ht="12.75">
      <c r="B36" s="28"/>
      <c r="C36" s="28"/>
      <c r="G36" s="50"/>
      <c r="H36" s="33"/>
      <c r="I36" s="50"/>
      <c r="J36" s="50"/>
      <c r="K36" s="50"/>
      <c r="L36" s="50"/>
      <c r="M36" s="50"/>
      <c r="N36" s="50"/>
      <c r="O36" s="50"/>
      <c r="P36" s="37"/>
    </row>
    <row r="37" spans="2:16" ht="12.75">
      <c r="B37" s="57" t="s">
        <v>173</v>
      </c>
      <c r="C37" s="28" t="s">
        <v>176</v>
      </c>
      <c r="D37" s="28" t="s">
        <v>88</v>
      </c>
      <c r="E37" s="28" t="s">
        <v>21</v>
      </c>
      <c r="G37" s="50">
        <f>G12/G28/60/0.0283*1000000*(21-7)/(21-G29)</f>
        <v>24.02284899650314</v>
      </c>
      <c r="H37" s="33"/>
      <c r="I37" s="50">
        <f>I12/I28/60/0.0283*1000000*(21-7)/(21-I29)</f>
        <v>26.75723968806917</v>
      </c>
      <c r="J37" s="50"/>
      <c r="K37" s="50">
        <f>K12/K28/60/0.0283*1000000*(21-7)/(21-K29)</f>
        <v>34.27557394362145</v>
      </c>
      <c r="L37" s="50"/>
      <c r="M37" s="50">
        <f>M12/M28/60/0.0283*1000000*(21-7)/(21-M29)</f>
        <v>25.53471294399808</v>
      </c>
      <c r="N37" s="50"/>
      <c r="O37" s="50">
        <f>O12/O28/60/0.0283*1000000*(21-7)/(21-O29)</f>
        <v>27.557934648791278</v>
      </c>
      <c r="P37" s="37"/>
    </row>
    <row r="38" spans="2:16" ht="12.75">
      <c r="B38" s="57" t="s">
        <v>174</v>
      </c>
      <c r="C38" s="28" t="s">
        <v>176</v>
      </c>
      <c r="D38" s="28" t="s">
        <v>88</v>
      </c>
      <c r="E38" s="28" t="s">
        <v>21</v>
      </c>
      <c r="G38" s="50">
        <f>G13/G28/60/0.0283*1000000*(21-7)/(21-G29)</f>
        <v>40.70538302185253</v>
      </c>
      <c r="H38" s="33"/>
      <c r="I38" s="50">
        <f aca="true" t="shared" si="2" ref="I38:O38">I13/I28/60/0.0283*1000000*(21-7)/(21-I29)</f>
        <v>34.5886269138455</v>
      </c>
      <c r="J38" s="50"/>
      <c r="K38" s="50">
        <f t="shared" si="2"/>
        <v>42.50171169009061</v>
      </c>
      <c r="L38" s="50"/>
      <c r="M38" s="50">
        <f t="shared" si="2"/>
        <v>57.45310412399569</v>
      </c>
      <c r="N38" s="50"/>
      <c r="O38" s="50">
        <f t="shared" si="2"/>
        <v>43.89467435076935</v>
      </c>
      <c r="P38" s="37"/>
    </row>
    <row r="39" spans="2:16" ht="12.75">
      <c r="B39" s="57" t="s">
        <v>85</v>
      </c>
      <c r="C39" s="28" t="s">
        <v>176</v>
      </c>
      <c r="D39" s="28" t="s">
        <v>88</v>
      </c>
      <c r="E39" s="28" t="s">
        <v>21</v>
      </c>
      <c r="G39" s="50">
        <f>G38</f>
        <v>40.70538302185253</v>
      </c>
      <c r="H39" s="33"/>
      <c r="I39" s="50">
        <f>I38</f>
        <v>34.5886269138455</v>
      </c>
      <c r="J39" s="50"/>
      <c r="K39" s="50">
        <f>K38</f>
        <v>42.50171169009061</v>
      </c>
      <c r="L39" s="50"/>
      <c r="M39" s="50">
        <f>M38</f>
        <v>57.45310412399569</v>
      </c>
      <c r="N39" s="50"/>
      <c r="O39" s="50">
        <f>O38</f>
        <v>43.89467435076935</v>
      </c>
      <c r="P39" s="37" t="s">
        <v>221</v>
      </c>
    </row>
    <row r="40" spans="2:16" ht="12.75">
      <c r="B40" s="28"/>
      <c r="C40" s="28"/>
      <c r="G40" s="50"/>
      <c r="H40" s="33"/>
      <c r="I40" s="50"/>
      <c r="J40" s="50"/>
      <c r="K40" s="50"/>
      <c r="L40" s="50"/>
      <c r="M40" s="50"/>
      <c r="N40" s="50"/>
      <c r="O40" s="50"/>
      <c r="P40" s="37"/>
    </row>
    <row r="41" spans="2:16" ht="12.75">
      <c r="B41" s="28" t="s">
        <v>72</v>
      </c>
      <c r="C41" s="28" t="s">
        <v>137</v>
      </c>
      <c r="G41" s="50"/>
      <c r="H41" s="33"/>
      <c r="I41" s="50"/>
      <c r="J41" s="50"/>
      <c r="K41" s="50"/>
      <c r="L41" s="50"/>
      <c r="M41" s="50"/>
      <c r="N41" s="50"/>
      <c r="O41" s="50"/>
      <c r="P41" s="37"/>
    </row>
    <row r="42" spans="2:16" ht="12.75">
      <c r="B42" s="28" t="s">
        <v>61</v>
      </c>
      <c r="C42" s="28"/>
      <c r="D42" s="28" t="s">
        <v>62</v>
      </c>
      <c r="G42" s="50">
        <v>38551</v>
      </c>
      <c r="H42" s="33"/>
      <c r="I42" s="50">
        <v>38125</v>
      </c>
      <c r="J42" s="50"/>
      <c r="K42" s="50">
        <v>38787</v>
      </c>
      <c r="L42" s="50"/>
      <c r="M42" s="50"/>
      <c r="N42" s="50"/>
      <c r="O42" s="50"/>
      <c r="P42" s="37"/>
    </row>
    <row r="43" spans="2:16" ht="12.75">
      <c r="B43" s="28" t="s">
        <v>117</v>
      </c>
      <c r="C43" s="28" t="s">
        <v>172</v>
      </c>
      <c r="D43" s="28" t="s">
        <v>62</v>
      </c>
      <c r="F43" s="28" t="s">
        <v>40</v>
      </c>
      <c r="G43" s="41">
        <v>0.167</v>
      </c>
      <c r="H43" s="41" t="s">
        <v>40</v>
      </c>
      <c r="I43" s="41">
        <v>0.1674</v>
      </c>
      <c r="J43" s="41" t="s">
        <v>40</v>
      </c>
      <c r="K43" s="41">
        <v>0.1659</v>
      </c>
      <c r="L43" s="41"/>
      <c r="M43" s="41"/>
      <c r="N43" s="50"/>
      <c r="O43" s="41"/>
      <c r="P43" s="37"/>
    </row>
    <row r="44" spans="2:16" ht="12.75">
      <c r="B44" s="28" t="s">
        <v>86</v>
      </c>
      <c r="C44" s="28" t="s">
        <v>172</v>
      </c>
      <c r="D44" s="28" t="s">
        <v>26</v>
      </c>
      <c r="F44" s="28" t="s">
        <v>40</v>
      </c>
      <c r="G44" s="38">
        <v>99.9996</v>
      </c>
      <c r="H44" s="38" t="s">
        <v>40</v>
      </c>
      <c r="I44" s="38">
        <v>99.9996</v>
      </c>
      <c r="J44" s="38" t="s">
        <v>40</v>
      </c>
      <c r="K44" s="38">
        <v>99.9996</v>
      </c>
      <c r="L44" s="38"/>
      <c r="M44" s="38"/>
      <c r="N44" s="38"/>
      <c r="O44" s="38"/>
      <c r="P44" s="37"/>
    </row>
    <row r="45" spans="2:16" ht="12.75">
      <c r="B45" s="28"/>
      <c r="C45" s="28"/>
      <c r="G45" s="50"/>
      <c r="H45" s="33"/>
      <c r="I45" s="50"/>
      <c r="J45" s="50"/>
      <c r="K45" s="50"/>
      <c r="L45" s="50"/>
      <c r="M45" s="50"/>
      <c r="N45" s="50"/>
      <c r="O45" s="50"/>
      <c r="P45" s="37"/>
    </row>
    <row r="46" spans="2:16" ht="12.75">
      <c r="B46" s="28" t="s">
        <v>72</v>
      </c>
      <c r="C46" s="28" t="s">
        <v>138</v>
      </c>
      <c r="G46" s="50"/>
      <c r="H46" s="33"/>
      <c r="I46" s="50"/>
      <c r="J46" s="50"/>
      <c r="K46" s="50"/>
      <c r="L46" s="50"/>
      <c r="M46" s="50"/>
      <c r="N46" s="50"/>
      <c r="O46" s="50"/>
      <c r="P46" s="37"/>
    </row>
    <row r="47" spans="2:16" ht="12.75">
      <c r="B47" s="28" t="s">
        <v>61</v>
      </c>
      <c r="C47" s="28"/>
      <c r="D47" s="28" t="s">
        <v>62</v>
      </c>
      <c r="G47" s="50">
        <v>38474</v>
      </c>
      <c r="H47" s="33"/>
      <c r="I47" s="50">
        <v>38049</v>
      </c>
      <c r="J47" s="50"/>
      <c r="K47" s="50">
        <v>38710</v>
      </c>
      <c r="L47" s="50"/>
      <c r="M47" s="50"/>
      <c r="N47" s="50"/>
      <c r="O47" s="50"/>
      <c r="P47" s="37"/>
    </row>
    <row r="48" spans="2:16" ht="12.75">
      <c r="B48" s="28" t="s">
        <v>117</v>
      </c>
      <c r="C48" s="28" t="s">
        <v>172</v>
      </c>
      <c r="D48" s="28" t="s">
        <v>62</v>
      </c>
      <c r="F48" s="28" t="s">
        <v>40</v>
      </c>
      <c r="G48" s="41">
        <v>0.216</v>
      </c>
      <c r="H48" s="41" t="s">
        <v>40</v>
      </c>
      <c r="I48" s="41">
        <v>0.2255</v>
      </c>
      <c r="J48" s="41" t="s">
        <v>40</v>
      </c>
      <c r="K48" s="41">
        <v>0.2168</v>
      </c>
      <c r="L48" s="41"/>
      <c r="M48" s="41"/>
      <c r="N48" s="41"/>
      <c r="O48" s="41"/>
      <c r="P48" s="37"/>
    </row>
    <row r="49" spans="2:15" ht="12.75">
      <c r="B49" s="28" t="s">
        <v>86</v>
      </c>
      <c r="C49" s="28" t="s">
        <v>172</v>
      </c>
      <c r="D49" s="28" t="s">
        <v>26</v>
      </c>
      <c r="F49" s="28" t="s">
        <v>40</v>
      </c>
      <c r="G49" s="38">
        <v>99.9994</v>
      </c>
      <c r="H49" s="41" t="s">
        <v>40</v>
      </c>
      <c r="I49" s="38">
        <v>99.9994</v>
      </c>
      <c r="J49" s="38" t="s">
        <v>40</v>
      </c>
      <c r="K49" s="38">
        <v>99.9994</v>
      </c>
      <c r="L49" s="39"/>
      <c r="M49" s="39"/>
      <c r="N49" s="38"/>
      <c r="O49" s="39"/>
    </row>
    <row r="50" spans="2:11" ht="12.75">
      <c r="B50" s="28"/>
      <c r="C50" s="28"/>
      <c r="G50" s="33"/>
      <c r="H50" s="33"/>
      <c r="I50" s="36"/>
      <c r="J50" s="33"/>
      <c r="K50" s="33"/>
    </row>
    <row r="51" spans="1:15" ht="12.75">
      <c r="A51" s="29">
        <v>2</v>
      </c>
      <c r="B51" s="34" t="s">
        <v>149</v>
      </c>
      <c r="C51" s="34" t="s">
        <v>86</v>
      </c>
      <c r="G51" s="31" t="s">
        <v>193</v>
      </c>
      <c r="H51" s="31"/>
      <c r="I51" s="32" t="s">
        <v>194</v>
      </c>
      <c r="J51" s="31"/>
      <c r="K51" s="31" t="s">
        <v>195</v>
      </c>
      <c r="O51" s="33" t="s">
        <v>59</v>
      </c>
    </row>
    <row r="52" spans="2:11" ht="12.75">
      <c r="B52" s="28"/>
      <c r="C52" s="28"/>
      <c r="G52" s="33"/>
      <c r="H52" s="33"/>
      <c r="I52" s="36"/>
      <c r="J52" s="33"/>
      <c r="K52" s="33"/>
    </row>
    <row r="53" spans="2:15" ht="12.75">
      <c r="B53" s="28" t="s">
        <v>118</v>
      </c>
      <c r="C53" s="28" t="s">
        <v>172</v>
      </c>
      <c r="D53" s="28" t="s">
        <v>22</v>
      </c>
      <c r="E53" s="28" t="s">
        <v>21</v>
      </c>
      <c r="G53" s="33">
        <v>5.04</v>
      </c>
      <c r="H53" s="33"/>
      <c r="I53" s="36">
        <v>0.7</v>
      </c>
      <c r="J53" s="33"/>
      <c r="K53" s="33">
        <v>47.72</v>
      </c>
      <c r="O53" s="29">
        <v>17.82</v>
      </c>
    </row>
    <row r="54" spans="2:11" ht="12.75">
      <c r="B54" s="28"/>
      <c r="C54" s="28"/>
      <c r="G54" s="33"/>
      <c r="H54" s="33"/>
      <c r="I54" s="36"/>
      <c r="J54" s="33"/>
      <c r="K54" s="33"/>
    </row>
    <row r="55" spans="2:11" ht="12.75">
      <c r="B55" s="28" t="s">
        <v>72</v>
      </c>
      <c r="C55" s="28" t="s">
        <v>137</v>
      </c>
      <c r="G55" s="33"/>
      <c r="H55" s="33"/>
      <c r="I55" s="36"/>
      <c r="J55" s="33"/>
      <c r="K55" s="33"/>
    </row>
    <row r="56" spans="2:11" ht="12.75">
      <c r="B56" s="28" t="s">
        <v>61</v>
      </c>
      <c r="C56" s="28"/>
      <c r="D56" s="28" t="s">
        <v>62</v>
      </c>
      <c r="G56" s="33">
        <v>34021</v>
      </c>
      <c r="H56" s="33"/>
      <c r="I56" s="36">
        <v>34119</v>
      </c>
      <c r="J56" s="33"/>
      <c r="K56" s="33">
        <v>34016</v>
      </c>
    </row>
    <row r="57" spans="2:11" ht="12.75">
      <c r="B57" s="28" t="s">
        <v>117</v>
      </c>
      <c r="C57" s="28" t="s">
        <v>172</v>
      </c>
      <c r="D57" s="28" t="s">
        <v>62</v>
      </c>
      <c r="F57" s="28" t="s">
        <v>40</v>
      </c>
      <c r="G57" s="33">
        <v>0.1291</v>
      </c>
      <c r="H57" s="33" t="s">
        <v>40</v>
      </c>
      <c r="I57" s="36">
        <v>0.125</v>
      </c>
      <c r="J57" s="33" t="s">
        <v>40</v>
      </c>
      <c r="K57" s="33">
        <v>0.1195</v>
      </c>
    </row>
    <row r="58" spans="2:11" ht="12.75">
      <c r="B58" s="28" t="s">
        <v>86</v>
      </c>
      <c r="C58" s="28" t="s">
        <v>172</v>
      </c>
      <c r="D58" s="28" t="s">
        <v>26</v>
      </c>
      <c r="F58" s="28" t="s">
        <v>40</v>
      </c>
      <c r="G58" s="29">
        <v>99.9996</v>
      </c>
      <c r="H58" s="33" t="s">
        <v>40</v>
      </c>
      <c r="I58" s="29">
        <v>99.9996</v>
      </c>
      <c r="J58" s="33" t="s">
        <v>40</v>
      </c>
      <c r="K58" s="29">
        <v>99.9996</v>
      </c>
    </row>
    <row r="59" spans="2:10" ht="12.75">
      <c r="B59" s="28"/>
      <c r="C59" s="28"/>
      <c r="H59" s="33"/>
      <c r="I59" s="29"/>
      <c r="J59" s="33"/>
    </row>
    <row r="60" spans="2:11" ht="12.75">
      <c r="B60" s="28" t="s">
        <v>72</v>
      </c>
      <c r="C60" s="28" t="s">
        <v>138</v>
      </c>
      <c r="G60" s="33"/>
      <c r="H60" s="33"/>
      <c r="I60" s="36"/>
      <c r="J60" s="33"/>
      <c r="K60" s="33"/>
    </row>
    <row r="61" spans="2:11" ht="12.75">
      <c r="B61" s="28" t="s">
        <v>61</v>
      </c>
      <c r="C61" s="28"/>
      <c r="D61" s="28" t="s">
        <v>62</v>
      </c>
      <c r="G61" s="33">
        <v>33948</v>
      </c>
      <c r="H61" s="33"/>
      <c r="I61" s="36">
        <v>34054</v>
      </c>
      <c r="J61" s="33"/>
      <c r="K61" s="33">
        <v>33948</v>
      </c>
    </row>
    <row r="62" spans="2:11" ht="12.75">
      <c r="B62" s="28" t="s">
        <v>117</v>
      </c>
      <c r="C62" s="28" t="s">
        <v>172</v>
      </c>
      <c r="D62" s="28" t="s">
        <v>62</v>
      </c>
      <c r="F62" s="28" t="s">
        <v>40</v>
      </c>
      <c r="G62" s="33">
        <v>0.167</v>
      </c>
      <c r="H62" s="33" t="s">
        <v>40</v>
      </c>
      <c r="I62" s="36">
        <v>0.1634</v>
      </c>
      <c r="J62" s="33" t="s">
        <v>40</v>
      </c>
      <c r="K62" s="33">
        <v>0.1547</v>
      </c>
    </row>
    <row r="63" spans="2:11" ht="12.75">
      <c r="B63" s="28" t="s">
        <v>86</v>
      </c>
      <c r="C63" s="28" t="s">
        <v>172</v>
      </c>
      <c r="D63" s="28" t="s">
        <v>26</v>
      </c>
      <c r="F63" s="28" t="s">
        <v>40</v>
      </c>
      <c r="G63" s="33">
        <v>99.9995</v>
      </c>
      <c r="H63" s="33" t="s">
        <v>40</v>
      </c>
      <c r="I63" s="36">
        <v>99.9995</v>
      </c>
      <c r="J63" s="33" t="s">
        <v>40</v>
      </c>
      <c r="K63" s="33">
        <v>99.9995</v>
      </c>
    </row>
    <row r="64" spans="2:3" ht="12.75">
      <c r="B64" s="28"/>
      <c r="C64" s="28"/>
    </row>
    <row r="65" spans="2:11" ht="12.75">
      <c r="B65" s="28" t="s">
        <v>119</v>
      </c>
      <c r="C65" s="28" t="s">
        <v>86</v>
      </c>
      <c r="D65" s="28" t="s">
        <v>172</v>
      </c>
      <c r="G65" s="33"/>
      <c r="H65" s="33"/>
      <c r="I65" s="36"/>
      <c r="J65" s="33"/>
      <c r="K65" s="33"/>
    </row>
    <row r="66" spans="2:16" ht="12.75">
      <c r="B66" s="28" t="s">
        <v>111</v>
      </c>
      <c r="C66" s="28"/>
      <c r="D66" s="28" t="s">
        <v>25</v>
      </c>
      <c r="G66" s="33">
        <v>54479</v>
      </c>
      <c r="H66" s="33"/>
      <c r="I66" s="36">
        <v>52750</v>
      </c>
      <c r="J66" s="40"/>
      <c r="K66" s="33">
        <v>50683</v>
      </c>
      <c r="O66" s="29">
        <v>52637</v>
      </c>
      <c r="P66" s="37"/>
    </row>
    <row r="67" spans="2:16" ht="12.75">
      <c r="B67" s="28" t="s">
        <v>115</v>
      </c>
      <c r="C67" s="28"/>
      <c r="D67" s="28" t="s">
        <v>26</v>
      </c>
      <c r="G67" s="33">
        <v>8.8</v>
      </c>
      <c r="H67" s="33"/>
      <c r="I67" s="36">
        <v>8.7</v>
      </c>
      <c r="J67" s="33"/>
      <c r="K67" s="33">
        <v>8.3</v>
      </c>
      <c r="O67" s="29">
        <v>8.6</v>
      </c>
      <c r="P67" s="37"/>
    </row>
    <row r="68" spans="2:16" ht="12.75">
      <c r="B68" s="28" t="s">
        <v>116</v>
      </c>
      <c r="C68" s="28"/>
      <c r="D68" s="28" t="s">
        <v>26</v>
      </c>
      <c r="G68" s="33">
        <v>13.08</v>
      </c>
      <c r="H68" s="33"/>
      <c r="I68" s="36">
        <v>14.95</v>
      </c>
      <c r="J68" s="33"/>
      <c r="K68" s="33">
        <v>16.22</v>
      </c>
      <c r="O68" s="29">
        <v>14.75</v>
      </c>
      <c r="P68" s="37"/>
    </row>
    <row r="69" spans="2:16" ht="12.75">
      <c r="B69" s="28" t="s">
        <v>110</v>
      </c>
      <c r="C69" s="28"/>
      <c r="D69" s="28" t="s">
        <v>27</v>
      </c>
      <c r="G69" s="33">
        <v>292.2</v>
      </c>
      <c r="H69" s="33"/>
      <c r="I69" s="36">
        <v>292.3</v>
      </c>
      <c r="J69" s="33"/>
      <c r="K69" s="33">
        <v>280.6</v>
      </c>
      <c r="O69" s="29">
        <v>288.4</v>
      </c>
      <c r="P69" s="37"/>
    </row>
    <row r="70" spans="2:11" ht="12.75">
      <c r="B70" s="28"/>
      <c r="C70" s="28"/>
      <c r="G70" s="33"/>
      <c r="H70" s="33"/>
      <c r="I70" s="36"/>
      <c r="J70" s="33"/>
      <c r="K70" s="33"/>
    </row>
    <row r="71" spans="2:3" ht="12.75">
      <c r="B71" s="28"/>
      <c r="C71" s="28"/>
    </row>
    <row r="72" spans="1:15" ht="12.75">
      <c r="A72" s="29">
        <v>3</v>
      </c>
      <c r="B72" s="34" t="s">
        <v>141</v>
      </c>
      <c r="C72" s="34" t="s">
        <v>139</v>
      </c>
      <c r="G72" s="31" t="s">
        <v>193</v>
      </c>
      <c r="H72" s="31"/>
      <c r="I72" s="32" t="s">
        <v>194</v>
      </c>
      <c r="J72" s="31"/>
      <c r="K72" s="31" t="s">
        <v>195</v>
      </c>
      <c r="O72" s="33" t="s">
        <v>59</v>
      </c>
    </row>
    <row r="73" spans="2:11" ht="12.75">
      <c r="B73" s="28"/>
      <c r="C73" s="28"/>
      <c r="G73" s="33"/>
      <c r="H73" s="33"/>
      <c r="I73" s="36"/>
      <c r="J73" s="33"/>
      <c r="K73" s="33"/>
    </row>
    <row r="74" spans="2:15" ht="12.75">
      <c r="B74" s="28" t="s">
        <v>118</v>
      </c>
      <c r="C74" s="28" t="s">
        <v>172</v>
      </c>
      <c r="D74" s="28" t="s">
        <v>22</v>
      </c>
      <c r="E74" s="28" t="s">
        <v>21</v>
      </c>
      <c r="G74" s="33">
        <v>6.2</v>
      </c>
      <c r="H74" s="33"/>
      <c r="I74" s="36">
        <v>32.96</v>
      </c>
      <c r="J74" s="33"/>
      <c r="K74" s="33">
        <v>28.15</v>
      </c>
      <c r="O74" s="29">
        <v>22.4</v>
      </c>
    </row>
    <row r="75" spans="2:11" ht="12.75">
      <c r="B75" s="28"/>
      <c r="C75" s="28"/>
      <c r="G75" s="33"/>
      <c r="H75" s="33"/>
      <c r="I75" s="36"/>
      <c r="J75" s="33"/>
      <c r="K75" s="33"/>
    </row>
    <row r="76" spans="2:11" ht="12.75">
      <c r="B76" s="28" t="s">
        <v>119</v>
      </c>
      <c r="C76" s="28" t="s">
        <v>91</v>
      </c>
      <c r="D76" s="28" t="s">
        <v>172</v>
      </c>
      <c r="G76" s="33"/>
      <c r="H76" s="33"/>
      <c r="I76" s="36"/>
      <c r="J76" s="33"/>
      <c r="K76" s="33"/>
    </row>
    <row r="77" spans="2:16" ht="12.75">
      <c r="B77" s="28" t="s">
        <v>111</v>
      </c>
      <c r="C77" s="28"/>
      <c r="D77" s="28" t="s">
        <v>25</v>
      </c>
      <c r="G77" s="33">
        <v>73505</v>
      </c>
      <c r="H77" s="33"/>
      <c r="I77" s="36">
        <v>71825</v>
      </c>
      <c r="J77" s="40"/>
      <c r="K77" s="33">
        <v>71861</v>
      </c>
      <c r="O77" s="37">
        <v>72397</v>
      </c>
      <c r="P77" s="37"/>
    </row>
    <row r="78" spans="2:16" ht="12.75">
      <c r="B78" s="28" t="s">
        <v>115</v>
      </c>
      <c r="C78" s="28"/>
      <c r="D78" s="28" t="s">
        <v>26</v>
      </c>
      <c r="G78" s="33">
        <v>4.2</v>
      </c>
      <c r="H78" s="33"/>
      <c r="I78" s="36">
        <v>4.9</v>
      </c>
      <c r="J78" s="33"/>
      <c r="K78" s="33">
        <v>4.1</v>
      </c>
      <c r="O78" s="29">
        <v>4.4</v>
      </c>
      <c r="P78" s="37"/>
    </row>
    <row r="79" spans="2:16" ht="12.75">
      <c r="B79" s="28" t="s">
        <v>116</v>
      </c>
      <c r="C79" s="28"/>
      <c r="D79" s="28" t="s">
        <v>26</v>
      </c>
      <c r="G79" s="33">
        <v>17.87</v>
      </c>
      <c r="H79" s="33"/>
      <c r="I79" s="36">
        <v>17.41</v>
      </c>
      <c r="J79" s="33"/>
      <c r="K79" s="33">
        <v>16.98</v>
      </c>
      <c r="O79" s="29">
        <v>17.42</v>
      </c>
      <c r="P79" s="37"/>
    </row>
    <row r="80" spans="2:16" ht="12.75">
      <c r="B80" s="28" t="s">
        <v>110</v>
      </c>
      <c r="C80" s="28"/>
      <c r="D80" s="28" t="s">
        <v>27</v>
      </c>
      <c r="G80" s="33">
        <v>330.6</v>
      </c>
      <c r="H80" s="33"/>
      <c r="I80" s="36">
        <v>330.4</v>
      </c>
      <c r="J80" s="33"/>
      <c r="K80" s="33">
        <v>329.9</v>
      </c>
      <c r="O80" s="29">
        <v>330.3</v>
      </c>
      <c r="P80" s="37"/>
    </row>
    <row r="81" spans="2:3" ht="12.75">
      <c r="B81" s="28"/>
      <c r="C81" s="28"/>
    </row>
    <row r="82" spans="2:11" ht="12.75">
      <c r="B82" s="28" t="s">
        <v>157</v>
      </c>
      <c r="G82" s="42"/>
      <c r="K82" s="42"/>
    </row>
    <row r="83" spans="2:11" ht="12.75">
      <c r="B83" s="28" t="s">
        <v>158</v>
      </c>
      <c r="D83" s="28" t="s">
        <v>159</v>
      </c>
      <c r="G83" s="52">
        <v>100</v>
      </c>
      <c r="K83" s="42"/>
    </row>
    <row r="84" spans="7:11" ht="12.75">
      <c r="G84" s="42"/>
      <c r="K84" s="42"/>
    </row>
    <row r="85" spans="7:11" ht="12.75">
      <c r="G85" s="42"/>
      <c r="K85" s="42"/>
    </row>
    <row r="86" spans="7:11" ht="12.75">
      <c r="G86" s="42"/>
      <c r="K86" s="42"/>
    </row>
    <row r="87" spans="7:11" ht="12.75">
      <c r="G87" s="42"/>
      <c r="K87" s="42"/>
    </row>
    <row r="88" spans="7:11" ht="12.75">
      <c r="G88" s="42"/>
      <c r="K88" s="42"/>
    </row>
    <row r="89" spans="7:11" ht="12.75">
      <c r="G89" s="42"/>
      <c r="K89" s="42"/>
    </row>
    <row r="90" spans="7:11" ht="12.75">
      <c r="G90" s="42"/>
      <c r="K90" s="42"/>
    </row>
    <row r="91" spans="7:11" ht="12.75">
      <c r="G91" s="42"/>
      <c r="K91" s="42"/>
    </row>
    <row r="92" spans="7:11" ht="12.75">
      <c r="G92" s="42"/>
      <c r="K92" s="42"/>
    </row>
    <row r="93" spans="7:11" ht="12.75">
      <c r="G93" s="42"/>
      <c r="K93" s="42"/>
    </row>
    <row r="95" spans="7:11" ht="12.75">
      <c r="G95" s="42"/>
      <c r="K95" s="4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A102"/>
  <sheetViews>
    <sheetView zoomScale="75" zoomScaleNormal="75" workbookViewId="0" topLeftCell="B57">
      <selection activeCell="C1" sqref="C1"/>
    </sheetView>
  </sheetViews>
  <sheetFormatPr defaultColWidth="9.140625" defaultRowHeight="12.75"/>
  <cols>
    <col min="1" max="1" width="9.140625" style="2" hidden="1" customWidth="1"/>
    <col min="2" max="2" width="22.140625" style="7" customWidth="1"/>
    <col min="3" max="3" width="2.7109375" style="7" customWidth="1"/>
    <col min="4" max="4" width="8.7109375" style="7" customWidth="1"/>
    <col min="5" max="5" width="3.421875" style="2" customWidth="1"/>
    <col min="6" max="6" width="10.421875" style="22" customWidth="1"/>
    <col min="7" max="7" width="3.421875" style="2" customWidth="1"/>
    <col min="8" max="8" width="9.7109375" style="2" customWidth="1"/>
    <col min="9" max="9" width="3.421875" style="2" customWidth="1"/>
    <col min="10" max="10" width="12.00390625" style="2" customWidth="1"/>
    <col min="11" max="11" width="4.421875" style="2" customWidth="1"/>
    <col min="12" max="12" width="9.7109375" style="2" customWidth="1"/>
    <col min="13" max="13" width="4.00390625" style="2" customWidth="1"/>
    <col min="14" max="14" width="9.28125" style="2" customWidth="1"/>
    <col min="15" max="15" width="3.421875" style="2" customWidth="1"/>
    <col min="16" max="16" width="11.57421875" style="2" customWidth="1"/>
    <col min="17" max="17" width="3.421875" style="2" customWidth="1"/>
    <col min="18" max="18" width="12.00390625" style="2" customWidth="1"/>
    <col min="19" max="19" width="3.28125" style="2" customWidth="1"/>
    <col min="20" max="20" width="12.7109375" style="2" customWidth="1"/>
    <col min="21" max="21" width="4.421875" style="2" customWidth="1"/>
    <col min="22" max="22" width="11.8515625" style="2" customWidth="1"/>
    <col min="23" max="23" width="4.421875" style="2" customWidth="1"/>
    <col min="24" max="24" width="12.7109375" style="2" customWidth="1"/>
    <col min="25" max="25" width="5.140625" style="2" customWidth="1"/>
    <col min="26" max="26" width="10.00390625" style="2" customWidth="1"/>
    <col min="27" max="27" width="4.7109375" style="2" customWidth="1"/>
    <col min="28" max="28" width="10.00390625" style="2" customWidth="1"/>
    <col min="29" max="29" width="4.8515625" style="2" customWidth="1"/>
    <col min="30" max="30" width="10.00390625" style="2" customWidth="1"/>
    <col min="31" max="31" width="4.140625" style="2" customWidth="1"/>
    <col min="32" max="32" width="10.00390625" style="2" customWidth="1"/>
    <col min="33" max="33" width="3.7109375" style="2" customWidth="1"/>
    <col min="34" max="34" width="10.00390625" style="2" customWidth="1"/>
    <col min="35" max="35" width="4.28125" style="2" customWidth="1"/>
    <col min="36" max="36" width="12.7109375" style="2" customWidth="1"/>
    <col min="37" max="37" width="3.8515625" style="2" customWidth="1"/>
    <col min="38" max="38" width="8.57421875" style="2" customWidth="1"/>
    <col min="39" max="39" width="3.7109375" style="2" customWidth="1"/>
    <col min="40" max="40" width="12.00390625" style="2" customWidth="1"/>
    <col min="41" max="41" width="4.421875" style="2" customWidth="1"/>
    <col min="42" max="42" width="9.7109375" style="2" customWidth="1"/>
    <col min="43" max="43" width="3.7109375" style="2" customWidth="1"/>
    <col min="44" max="44" width="10.00390625" style="2" customWidth="1"/>
    <col min="45" max="45" width="2.00390625" style="2" customWidth="1"/>
    <col min="46" max="46" width="9.28125" style="2" customWidth="1"/>
    <col min="47" max="47" width="2.00390625" style="2" customWidth="1"/>
    <col min="48" max="48" width="9.28125" style="2" customWidth="1"/>
    <col min="49" max="49" width="2.00390625" style="2" customWidth="1"/>
    <col min="50" max="50" width="9.7109375" style="2" customWidth="1"/>
    <col min="51" max="51" width="2.00390625" style="2" customWidth="1"/>
    <col min="52" max="52" width="12.421875" style="2" customWidth="1"/>
    <col min="53" max="53" width="2.00390625" style="2" customWidth="1"/>
    <col min="54" max="54" width="8.8515625" style="2" customWidth="1"/>
    <col min="55" max="55" width="2.140625" style="2" customWidth="1"/>
    <col min="56" max="56" width="9.7109375" style="2" customWidth="1"/>
    <col min="57" max="57" width="2.140625" style="2" customWidth="1"/>
    <col min="58" max="58" width="7.7109375" style="2" customWidth="1"/>
    <col min="59" max="59" width="2.140625" style="2" customWidth="1"/>
    <col min="60" max="60" width="10.57421875" style="2" customWidth="1"/>
    <col min="61" max="61" width="2.140625" style="2" customWidth="1"/>
    <col min="62" max="62" width="8.28125" style="2" customWidth="1"/>
    <col min="63" max="63" width="2.140625" style="2" customWidth="1"/>
    <col min="64" max="64" width="8.8515625" style="2" customWidth="1"/>
    <col min="65" max="65" width="3.7109375" style="2" customWidth="1"/>
    <col min="66" max="66" width="11.7109375" style="2" customWidth="1"/>
    <col min="67" max="67" width="4.00390625" style="2" customWidth="1"/>
    <col min="68" max="68" width="10.140625" style="2" customWidth="1"/>
    <col min="69" max="69" width="4.00390625" style="2" customWidth="1"/>
    <col min="70" max="70" width="8.8515625" style="2" customWidth="1"/>
    <col min="71" max="71" width="3.8515625" style="2" customWidth="1"/>
    <col min="72" max="72" width="10.28125" style="2" customWidth="1"/>
    <col min="73" max="73" width="4.28125" style="2" customWidth="1"/>
    <col min="74" max="74" width="8.8515625" style="2" customWidth="1"/>
    <col min="75" max="75" width="2.140625" style="2" customWidth="1"/>
    <col min="76" max="76" width="8.8515625" style="2" customWidth="1"/>
    <col min="77" max="77" width="2.140625" style="2" customWidth="1"/>
    <col min="78" max="16384" width="8.8515625" style="2" customWidth="1"/>
  </cols>
  <sheetData>
    <row r="1" spans="2:3" ht="12.75">
      <c r="B1" s="21" t="s">
        <v>92</v>
      </c>
      <c r="C1" s="21"/>
    </row>
    <row r="4" spans="1:74" ht="12.75">
      <c r="A4" s="2" t="s">
        <v>120</v>
      </c>
      <c r="B4" s="21" t="s">
        <v>164</v>
      </c>
      <c r="C4" s="21" t="s">
        <v>113</v>
      </c>
      <c r="F4" s="22" t="s">
        <v>206</v>
      </c>
      <c r="H4" s="2" t="s">
        <v>207</v>
      </c>
      <c r="J4" s="2" t="s">
        <v>189</v>
      </c>
      <c r="L4" s="2" t="s">
        <v>192</v>
      </c>
      <c r="N4" s="2" t="s">
        <v>59</v>
      </c>
      <c r="P4" s="22" t="s">
        <v>206</v>
      </c>
      <c r="R4" s="2" t="s">
        <v>207</v>
      </c>
      <c r="T4" s="2" t="s">
        <v>189</v>
      </c>
      <c r="V4" s="2" t="s">
        <v>192</v>
      </c>
      <c r="X4" s="2" t="s">
        <v>59</v>
      </c>
      <c r="Z4" s="22" t="s">
        <v>206</v>
      </c>
      <c r="AB4" s="2" t="s">
        <v>207</v>
      </c>
      <c r="AD4" s="2" t="s">
        <v>189</v>
      </c>
      <c r="AF4" s="2" t="s">
        <v>192</v>
      </c>
      <c r="AH4" s="2" t="s">
        <v>59</v>
      </c>
      <c r="AJ4" s="22" t="s">
        <v>206</v>
      </c>
      <c r="AL4" s="2" t="s">
        <v>207</v>
      </c>
      <c r="AN4" s="2" t="s">
        <v>189</v>
      </c>
      <c r="AP4" s="2" t="s">
        <v>192</v>
      </c>
      <c r="AR4" s="2" t="s">
        <v>59</v>
      </c>
      <c r="AT4" s="22" t="s">
        <v>206</v>
      </c>
      <c r="AV4" s="2" t="s">
        <v>207</v>
      </c>
      <c r="AX4" s="2" t="s">
        <v>189</v>
      </c>
      <c r="AZ4" s="2" t="s">
        <v>192</v>
      </c>
      <c r="BB4" s="2" t="s">
        <v>59</v>
      </c>
      <c r="BD4" s="22" t="s">
        <v>206</v>
      </c>
      <c r="BF4" s="2" t="s">
        <v>207</v>
      </c>
      <c r="BH4" s="2" t="s">
        <v>189</v>
      </c>
      <c r="BJ4" s="2" t="s">
        <v>192</v>
      </c>
      <c r="BL4" s="2" t="s">
        <v>59</v>
      </c>
      <c r="BN4" s="22" t="s">
        <v>206</v>
      </c>
      <c r="BP4" s="2" t="s">
        <v>207</v>
      </c>
      <c r="BR4" s="2" t="s">
        <v>189</v>
      </c>
      <c r="BT4" s="2" t="s">
        <v>192</v>
      </c>
      <c r="BV4" s="2" t="s">
        <v>59</v>
      </c>
    </row>
    <row r="5" spans="2:6" ht="12.75">
      <c r="B5" s="21"/>
      <c r="C5" s="21"/>
      <c r="F5" s="2"/>
    </row>
    <row r="6" spans="2:74" ht="12.75">
      <c r="B6" s="7" t="s">
        <v>208</v>
      </c>
      <c r="C6" s="21"/>
      <c r="F6" s="2" t="s">
        <v>210</v>
      </c>
      <c r="H6" s="2" t="s">
        <v>210</v>
      </c>
      <c r="J6" s="2" t="s">
        <v>210</v>
      </c>
      <c r="L6" s="2" t="s">
        <v>210</v>
      </c>
      <c r="N6" s="2" t="s">
        <v>210</v>
      </c>
      <c r="P6" s="2" t="s">
        <v>213</v>
      </c>
      <c r="R6" s="2" t="s">
        <v>213</v>
      </c>
      <c r="T6" s="2" t="s">
        <v>213</v>
      </c>
      <c r="V6" s="2" t="s">
        <v>213</v>
      </c>
      <c r="X6" s="2" t="s">
        <v>213</v>
      </c>
      <c r="AJ6" s="2" t="s">
        <v>214</v>
      </c>
      <c r="AL6" s="2" t="s">
        <v>214</v>
      </c>
      <c r="AN6" s="2" t="s">
        <v>214</v>
      </c>
      <c r="AP6" s="2" t="s">
        <v>214</v>
      </c>
      <c r="AR6" s="2" t="s">
        <v>214</v>
      </c>
      <c r="AT6" s="2" t="s">
        <v>215</v>
      </c>
      <c r="AV6" s="2" t="s">
        <v>215</v>
      </c>
      <c r="AX6" s="2" t="s">
        <v>215</v>
      </c>
      <c r="AZ6" s="2" t="s">
        <v>215</v>
      </c>
      <c r="BB6" s="2" t="s">
        <v>215</v>
      </c>
      <c r="BD6" s="2" t="s">
        <v>216</v>
      </c>
      <c r="BF6" s="2" t="s">
        <v>216</v>
      </c>
      <c r="BH6" s="2" t="s">
        <v>216</v>
      </c>
      <c r="BJ6" s="2" t="s">
        <v>216</v>
      </c>
      <c r="BL6" s="2" t="s">
        <v>216</v>
      </c>
      <c r="BN6" s="2" t="s">
        <v>217</v>
      </c>
      <c r="BP6" s="2" t="s">
        <v>217</v>
      </c>
      <c r="BR6" s="2" t="s">
        <v>217</v>
      </c>
      <c r="BT6" s="2" t="s">
        <v>217</v>
      </c>
      <c r="BV6" s="2" t="s">
        <v>217</v>
      </c>
    </row>
    <row r="7" spans="2:74" ht="12.75">
      <c r="B7" s="7" t="s">
        <v>209</v>
      </c>
      <c r="F7" s="22" t="s">
        <v>211</v>
      </c>
      <c r="H7" s="22" t="s">
        <v>211</v>
      </c>
      <c r="J7" s="22" t="s">
        <v>211</v>
      </c>
      <c r="L7" s="22" t="s">
        <v>211</v>
      </c>
      <c r="N7" s="22" t="s">
        <v>211</v>
      </c>
      <c r="P7" s="22" t="s">
        <v>211</v>
      </c>
      <c r="R7" s="22" t="s">
        <v>211</v>
      </c>
      <c r="T7" s="22" t="s">
        <v>211</v>
      </c>
      <c r="V7" s="22" t="s">
        <v>211</v>
      </c>
      <c r="X7" s="22" t="s">
        <v>211</v>
      </c>
      <c r="AJ7" s="2" t="s">
        <v>212</v>
      </c>
      <c r="AL7" s="2" t="s">
        <v>212</v>
      </c>
      <c r="AN7" s="2" t="s">
        <v>212</v>
      </c>
      <c r="AP7" s="2" t="s">
        <v>212</v>
      </c>
      <c r="AR7" s="2" t="s">
        <v>212</v>
      </c>
      <c r="AT7" s="22" t="s">
        <v>89</v>
      </c>
      <c r="AV7" s="22" t="s">
        <v>89</v>
      </c>
      <c r="AX7" s="22" t="s">
        <v>89</v>
      </c>
      <c r="AZ7" s="22" t="s">
        <v>89</v>
      </c>
      <c r="BB7" s="22" t="s">
        <v>89</v>
      </c>
      <c r="BD7" s="2" t="s">
        <v>212</v>
      </c>
      <c r="BF7" s="2" t="s">
        <v>212</v>
      </c>
      <c r="BH7" s="2" t="s">
        <v>212</v>
      </c>
      <c r="BJ7" s="2" t="s">
        <v>212</v>
      </c>
      <c r="BL7" s="2" t="s">
        <v>212</v>
      </c>
      <c r="BN7" s="2" t="s">
        <v>36</v>
      </c>
      <c r="BP7" s="2" t="s">
        <v>36</v>
      </c>
      <c r="BR7" s="2" t="s">
        <v>36</v>
      </c>
      <c r="BT7" s="2" t="s">
        <v>36</v>
      </c>
      <c r="BV7" s="2" t="s">
        <v>36</v>
      </c>
    </row>
    <row r="8" spans="2:74" ht="12.75">
      <c r="B8" s="7" t="s">
        <v>219</v>
      </c>
      <c r="H8" s="22"/>
      <c r="J8" s="22"/>
      <c r="L8" s="22"/>
      <c r="N8" s="22"/>
      <c r="P8" s="22"/>
      <c r="R8" s="22"/>
      <c r="T8" s="22"/>
      <c r="V8" s="22"/>
      <c r="X8" s="22"/>
      <c r="Z8" s="2" t="s">
        <v>83</v>
      </c>
      <c r="AB8" s="2" t="s">
        <v>83</v>
      </c>
      <c r="AD8" s="2" t="s">
        <v>83</v>
      </c>
      <c r="AF8" s="2" t="s">
        <v>83</v>
      </c>
      <c r="AH8" s="2" t="s">
        <v>83</v>
      </c>
      <c r="AJ8" s="29" t="s">
        <v>220</v>
      </c>
      <c r="AL8" s="29" t="s">
        <v>220</v>
      </c>
      <c r="AN8" s="29" t="s">
        <v>220</v>
      </c>
      <c r="AP8" s="29" t="s">
        <v>220</v>
      </c>
      <c r="AR8" s="29" t="s">
        <v>220</v>
      </c>
      <c r="AT8" s="22" t="s">
        <v>89</v>
      </c>
      <c r="AV8" s="22" t="s">
        <v>89</v>
      </c>
      <c r="AX8" s="22" t="s">
        <v>89</v>
      </c>
      <c r="AZ8" s="22" t="s">
        <v>89</v>
      </c>
      <c r="BB8" s="22" t="s">
        <v>89</v>
      </c>
      <c r="BD8" s="29" t="s">
        <v>220</v>
      </c>
      <c r="BF8" s="29" t="s">
        <v>220</v>
      </c>
      <c r="BH8" s="29" t="s">
        <v>220</v>
      </c>
      <c r="BJ8" s="29" t="s">
        <v>220</v>
      </c>
      <c r="BL8" s="29" t="s">
        <v>220</v>
      </c>
      <c r="BN8" s="2" t="s">
        <v>36</v>
      </c>
      <c r="BP8" s="2" t="s">
        <v>36</v>
      </c>
      <c r="BR8" s="2" t="s">
        <v>36</v>
      </c>
      <c r="BT8" s="2" t="s">
        <v>36</v>
      </c>
      <c r="BV8" s="2" t="s">
        <v>36</v>
      </c>
    </row>
    <row r="9" spans="2:79" ht="12.75">
      <c r="B9" s="7" t="s">
        <v>60</v>
      </c>
      <c r="F9" s="22" t="s">
        <v>143</v>
      </c>
      <c r="H9" s="22" t="s">
        <v>143</v>
      </c>
      <c r="J9" s="22" t="s">
        <v>143</v>
      </c>
      <c r="L9" s="22" t="s">
        <v>143</v>
      </c>
      <c r="N9" s="22" t="s">
        <v>143</v>
      </c>
      <c r="P9" s="22" t="s">
        <v>144</v>
      </c>
      <c r="R9" s="22" t="s">
        <v>144</v>
      </c>
      <c r="T9" s="22" t="s">
        <v>144</v>
      </c>
      <c r="V9" s="22" t="s">
        <v>144</v>
      </c>
      <c r="X9" s="22" t="s">
        <v>144</v>
      </c>
      <c r="Y9" s="22"/>
      <c r="Z9" s="22"/>
      <c r="AA9" s="22"/>
      <c r="AB9" s="22"/>
      <c r="AC9" s="22"/>
      <c r="AD9" s="22"/>
      <c r="AE9" s="22"/>
      <c r="AF9" s="22"/>
      <c r="AG9" s="22"/>
      <c r="AH9" s="22"/>
      <c r="AJ9" s="22" t="s">
        <v>145</v>
      </c>
      <c r="AL9" s="22" t="s">
        <v>145</v>
      </c>
      <c r="AN9" s="22" t="s">
        <v>145</v>
      </c>
      <c r="AP9" s="22" t="s">
        <v>145</v>
      </c>
      <c r="AR9" s="22" t="s">
        <v>145</v>
      </c>
      <c r="AT9" s="22" t="s">
        <v>89</v>
      </c>
      <c r="AV9" s="22" t="s">
        <v>89</v>
      </c>
      <c r="AX9" s="22" t="s">
        <v>89</v>
      </c>
      <c r="AZ9" s="22" t="s">
        <v>89</v>
      </c>
      <c r="BB9" s="22" t="s">
        <v>89</v>
      </c>
      <c r="BD9" s="2" t="s">
        <v>146</v>
      </c>
      <c r="BF9" s="2" t="s">
        <v>146</v>
      </c>
      <c r="BH9" s="2" t="s">
        <v>146</v>
      </c>
      <c r="BJ9" s="2" t="s">
        <v>146</v>
      </c>
      <c r="BL9" s="2" t="s">
        <v>146</v>
      </c>
      <c r="BN9" s="2" t="s">
        <v>36</v>
      </c>
      <c r="BP9" s="2" t="s">
        <v>36</v>
      </c>
      <c r="BR9" s="2" t="s">
        <v>36</v>
      </c>
      <c r="BT9" s="2" t="s">
        <v>36</v>
      </c>
      <c r="BV9" s="2" t="s">
        <v>36</v>
      </c>
      <c r="CA9" s="29"/>
    </row>
    <row r="10" spans="2:54" ht="12.75">
      <c r="B10" s="7" t="s">
        <v>121</v>
      </c>
      <c r="D10" s="7" t="s">
        <v>62</v>
      </c>
      <c r="F10" s="22">
        <v>1828363</v>
      </c>
      <c r="H10" s="2">
        <v>1844769</v>
      </c>
      <c r="J10" s="2">
        <v>1827034</v>
      </c>
      <c r="L10" s="2">
        <v>2070246</v>
      </c>
      <c r="N10" s="2">
        <f>AVERAGE(L10,J10,H10,F10)</f>
        <v>1892603</v>
      </c>
      <c r="P10" s="2">
        <v>918942</v>
      </c>
      <c r="R10" s="2">
        <v>953106</v>
      </c>
      <c r="T10" s="2">
        <v>969549</v>
      </c>
      <c r="V10" s="2">
        <v>1028217</v>
      </c>
      <c r="X10" s="2">
        <f>AVERAGE(V10,T10,R10,P10)</f>
        <v>967453.5</v>
      </c>
      <c r="AJ10" s="2">
        <v>915658</v>
      </c>
      <c r="AL10" s="2">
        <v>932681</v>
      </c>
      <c r="AN10" s="2">
        <v>944103</v>
      </c>
      <c r="AP10" s="2">
        <v>684262</v>
      </c>
      <c r="AR10" s="2">
        <f>AVERAGE(AP10,AN10,AL10,AJ10)</f>
        <v>869176</v>
      </c>
      <c r="AT10" s="2">
        <f>3816350-(AJ10+P10+F10)</f>
        <v>153387</v>
      </c>
      <c r="AV10" s="2">
        <f>3882252-(AL10+R10+H10)</f>
        <v>151696</v>
      </c>
      <c r="AX10" s="2">
        <f>3894785-(AN10+T10+J10)</f>
        <v>154099</v>
      </c>
      <c r="AZ10" s="2">
        <v>153038</v>
      </c>
      <c r="BB10" s="2">
        <f>AVERAGE(AZ10,AX10,AV10,AT10)</f>
        <v>153055</v>
      </c>
    </row>
    <row r="11" spans="2:74" ht="12.75">
      <c r="B11" s="7" t="s">
        <v>165</v>
      </c>
      <c r="D11" s="7" t="s">
        <v>77</v>
      </c>
      <c r="BD11" s="2">
        <v>346</v>
      </c>
      <c r="BF11" s="2">
        <v>350</v>
      </c>
      <c r="BH11" s="2">
        <v>348</v>
      </c>
      <c r="BJ11" s="2">
        <v>293</v>
      </c>
      <c r="BL11" s="2">
        <f>AVERAGE(BJ11,BH11,BF11,BD11)</f>
        <v>334.25</v>
      </c>
      <c r="BN11" s="2">
        <f>BD11</f>
        <v>346</v>
      </c>
      <c r="BP11" s="2">
        <f>BF11</f>
        <v>350</v>
      </c>
      <c r="BR11" s="2">
        <f>BH11</f>
        <v>348</v>
      </c>
      <c r="BT11" s="2">
        <f>BJ11</f>
        <v>293</v>
      </c>
      <c r="BV11" s="2">
        <f>BL11</f>
        <v>334.25</v>
      </c>
    </row>
    <row r="12" spans="2:54" ht="12.75">
      <c r="B12" s="7" t="s">
        <v>65</v>
      </c>
      <c r="D12" s="7" t="s">
        <v>62</v>
      </c>
      <c r="E12" s="10" t="s">
        <v>40</v>
      </c>
      <c r="F12" s="25">
        <v>59</v>
      </c>
      <c r="G12" s="10" t="s">
        <v>40</v>
      </c>
      <c r="H12" s="22">
        <v>70</v>
      </c>
      <c r="I12" s="10" t="s">
        <v>40</v>
      </c>
      <c r="J12" s="22">
        <v>68</v>
      </c>
      <c r="K12" s="10"/>
      <c r="L12" s="22">
        <v>621</v>
      </c>
      <c r="M12" s="10"/>
      <c r="N12" s="2">
        <f aca="true" t="shared" si="0" ref="N12:N23">AVERAGE(L12,J12,H12,F12)</f>
        <v>204.5</v>
      </c>
      <c r="O12" s="10" t="s">
        <v>40</v>
      </c>
      <c r="P12" s="22">
        <v>38</v>
      </c>
      <c r="Q12" s="22" t="s">
        <v>40</v>
      </c>
      <c r="R12" s="22">
        <v>44</v>
      </c>
      <c r="S12" s="22" t="s">
        <v>40</v>
      </c>
      <c r="T12" s="22">
        <v>41</v>
      </c>
      <c r="U12" s="22"/>
      <c r="V12" s="22">
        <v>51</v>
      </c>
      <c r="W12" s="10"/>
      <c r="X12" s="22">
        <v>43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10" t="s">
        <v>40</v>
      </c>
      <c r="AJ12" s="22">
        <v>36</v>
      </c>
      <c r="AK12" s="10" t="s">
        <v>40</v>
      </c>
      <c r="AL12" s="22">
        <v>34</v>
      </c>
      <c r="AM12" s="10" t="s">
        <v>40</v>
      </c>
      <c r="AN12" s="22">
        <v>34</v>
      </c>
      <c r="AO12" s="10"/>
      <c r="AP12" s="22">
        <v>14</v>
      </c>
      <c r="AQ12" s="10"/>
      <c r="AR12" s="22">
        <v>29</v>
      </c>
      <c r="AT12" s="2">
        <v>19209</v>
      </c>
      <c r="AV12" s="2">
        <v>18996</v>
      </c>
      <c r="AX12" s="2">
        <v>19209</v>
      </c>
      <c r="AZ12" s="2">
        <v>19895</v>
      </c>
      <c r="BB12" s="2">
        <v>19156</v>
      </c>
    </row>
    <row r="13" spans="2:54" ht="12.75">
      <c r="B13" s="7" t="s">
        <v>66</v>
      </c>
      <c r="D13" s="7" t="s">
        <v>62</v>
      </c>
      <c r="E13" s="10"/>
      <c r="F13" s="25">
        <v>109</v>
      </c>
      <c r="G13" s="10"/>
      <c r="H13" s="22">
        <v>118</v>
      </c>
      <c r="I13" s="10"/>
      <c r="J13" s="22">
        <v>117</v>
      </c>
      <c r="K13" s="10" t="s">
        <v>40</v>
      </c>
      <c r="L13" s="22">
        <v>166</v>
      </c>
      <c r="M13" s="10"/>
      <c r="N13" s="2">
        <f t="shared" si="0"/>
        <v>127.5</v>
      </c>
      <c r="O13" s="10"/>
      <c r="P13" s="22">
        <v>117</v>
      </c>
      <c r="Q13" s="22"/>
      <c r="R13" s="22">
        <v>42</v>
      </c>
      <c r="S13" s="22"/>
      <c r="T13" s="22">
        <v>62</v>
      </c>
      <c r="U13" s="22"/>
      <c r="V13" s="22">
        <v>312</v>
      </c>
      <c r="W13" s="10"/>
      <c r="X13" s="22">
        <v>133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10"/>
      <c r="AJ13" s="22">
        <v>61</v>
      </c>
      <c r="AK13" s="10"/>
      <c r="AL13" s="22">
        <v>84</v>
      </c>
      <c r="AM13" s="10"/>
      <c r="AN13" s="22">
        <v>83</v>
      </c>
      <c r="AO13" s="10" t="s">
        <v>40</v>
      </c>
      <c r="AP13" s="22">
        <v>55</v>
      </c>
      <c r="AQ13" s="10"/>
      <c r="AR13" s="22">
        <v>71</v>
      </c>
      <c r="AT13" s="2">
        <v>45729</v>
      </c>
      <c r="AV13" s="2">
        <v>45188</v>
      </c>
      <c r="AX13" s="2">
        <v>45984</v>
      </c>
      <c r="AZ13" s="2">
        <v>45387</v>
      </c>
      <c r="BB13" s="2">
        <f>AVERAGE(AT13,AV13,AX13,AZ13)</f>
        <v>45572</v>
      </c>
    </row>
    <row r="14" spans="2:54" ht="12.75">
      <c r="B14" s="7" t="s">
        <v>196</v>
      </c>
      <c r="D14" s="7" t="s">
        <v>62</v>
      </c>
      <c r="E14" s="10"/>
      <c r="F14" s="22">
        <v>0.37</v>
      </c>
      <c r="G14" s="10"/>
      <c r="H14" s="22">
        <v>0.46</v>
      </c>
      <c r="I14" s="10"/>
      <c r="J14" s="22">
        <v>0.88</v>
      </c>
      <c r="K14" s="10"/>
      <c r="L14" s="22">
        <v>0.11</v>
      </c>
      <c r="M14" s="10"/>
      <c r="N14" s="2">
        <f t="shared" si="0"/>
        <v>0.45499999999999996</v>
      </c>
      <c r="O14" s="10"/>
      <c r="P14" s="22">
        <v>0.32</v>
      </c>
      <c r="Q14" s="22"/>
      <c r="R14" s="22">
        <v>0.16</v>
      </c>
      <c r="S14" s="22"/>
      <c r="T14" s="22">
        <v>0.16</v>
      </c>
      <c r="U14" s="22"/>
      <c r="V14" s="22">
        <v>0.046</v>
      </c>
      <c r="W14" s="10"/>
      <c r="X14" s="22">
        <v>0.17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10"/>
      <c r="AJ14" s="22">
        <v>0.67</v>
      </c>
      <c r="AK14" s="10"/>
      <c r="AL14" s="22">
        <v>0.26</v>
      </c>
      <c r="AM14" s="10"/>
      <c r="AN14" s="22">
        <v>0.26</v>
      </c>
      <c r="AO14" s="10" t="s">
        <v>40</v>
      </c>
      <c r="AP14" s="22">
        <v>0.02</v>
      </c>
      <c r="AQ14" s="10"/>
      <c r="AR14" s="22">
        <v>0.3</v>
      </c>
      <c r="AT14" s="2">
        <v>43</v>
      </c>
      <c r="AV14" s="2">
        <v>42</v>
      </c>
      <c r="AX14" s="2">
        <v>43</v>
      </c>
      <c r="AZ14" s="2">
        <v>43</v>
      </c>
      <c r="BB14" s="2">
        <v>43</v>
      </c>
    </row>
    <row r="15" spans="2:44" ht="12.75">
      <c r="B15" s="7" t="s">
        <v>197</v>
      </c>
      <c r="D15" s="7" t="s">
        <v>62</v>
      </c>
      <c r="E15" s="10" t="s">
        <v>40</v>
      </c>
      <c r="F15" s="26">
        <v>0.44</v>
      </c>
      <c r="G15" s="10" t="s">
        <v>40</v>
      </c>
      <c r="H15" s="22">
        <v>0.44</v>
      </c>
      <c r="I15" s="10" t="s">
        <v>40</v>
      </c>
      <c r="J15" s="22">
        <v>0.44</v>
      </c>
      <c r="K15" s="10"/>
      <c r="L15" s="22">
        <v>0.33</v>
      </c>
      <c r="M15" s="10"/>
      <c r="N15" s="2">
        <f t="shared" si="0"/>
        <v>0.4125</v>
      </c>
      <c r="O15" s="10" t="s">
        <v>40</v>
      </c>
      <c r="P15" s="22">
        <v>0.22</v>
      </c>
      <c r="Q15" s="10" t="s">
        <v>40</v>
      </c>
      <c r="R15" s="22">
        <v>0.23</v>
      </c>
      <c r="S15" s="10" t="s">
        <v>40</v>
      </c>
      <c r="T15" s="22">
        <v>0.23</v>
      </c>
      <c r="U15" s="10"/>
      <c r="V15" s="22">
        <v>0.2</v>
      </c>
      <c r="W15" s="10"/>
      <c r="X15" s="22">
        <v>0.22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10" t="s">
        <v>40</v>
      </c>
      <c r="AJ15" s="22">
        <v>0.22</v>
      </c>
      <c r="AK15" s="10" t="s">
        <v>40</v>
      </c>
      <c r="AL15" s="22">
        <v>0.22</v>
      </c>
      <c r="AM15" s="10" t="s">
        <v>40</v>
      </c>
      <c r="AN15" s="22">
        <v>0.23</v>
      </c>
      <c r="AO15" s="10" t="s">
        <v>40</v>
      </c>
      <c r="AP15" s="22">
        <v>0.082</v>
      </c>
      <c r="AQ15" s="10"/>
      <c r="AR15" s="22">
        <v>0.19</v>
      </c>
    </row>
    <row r="16" spans="2:44" ht="12.75">
      <c r="B16" s="7" t="s">
        <v>198</v>
      </c>
      <c r="D16" s="7" t="s">
        <v>62</v>
      </c>
      <c r="E16" s="10" t="s">
        <v>40</v>
      </c>
      <c r="F16" s="26">
        <v>0.48</v>
      </c>
      <c r="G16" s="10" t="s">
        <v>40</v>
      </c>
      <c r="H16" s="22">
        <v>0.5</v>
      </c>
      <c r="I16" s="10" t="s">
        <v>40</v>
      </c>
      <c r="J16" s="22">
        <v>0.49</v>
      </c>
      <c r="K16" s="10" t="s">
        <v>40</v>
      </c>
      <c r="L16" s="22">
        <v>0.27</v>
      </c>
      <c r="M16" s="10"/>
      <c r="N16" s="2">
        <f t="shared" si="0"/>
        <v>0.435</v>
      </c>
      <c r="O16" s="10" t="s">
        <v>40</v>
      </c>
      <c r="P16" s="22">
        <v>0.25</v>
      </c>
      <c r="Q16" s="10" t="s">
        <v>40</v>
      </c>
      <c r="R16" s="22">
        <v>0.26</v>
      </c>
      <c r="S16" s="10" t="s">
        <v>40</v>
      </c>
      <c r="T16" s="22">
        <v>0.26</v>
      </c>
      <c r="U16" s="10" t="s">
        <v>40</v>
      </c>
      <c r="V16" s="22">
        <v>0.16</v>
      </c>
      <c r="W16" s="10"/>
      <c r="X16" s="22">
        <v>0.23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10" t="s">
        <v>40</v>
      </c>
      <c r="AJ16" s="22">
        <v>0.25</v>
      </c>
      <c r="AK16" s="10" t="s">
        <v>40</v>
      </c>
      <c r="AL16" s="22">
        <v>0.25</v>
      </c>
      <c r="AM16" s="10" t="s">
        <v>40</v>
      </c>
      <c r="AN16" s="22">
        <v>0.25</v>
      </c>
      <c r="AO16" s="10" t="s">
        <v>40</v>
      </c>
      <c r="AP16" s="22">
        <v>0.1</v>
      </c>
      <c r="AQ16" s="10"/>
      <c r="AR16" s="22">
        <v>0.21</v>
      </c>
    </row>
    <row r="17" spans="2:44" ht="12.75">
      <c r="B17" s="7" t="s">
        <v>199</v>
      </c>
      <c r="D17" s="7" t="s">
        <v>62</v>
      </c>
      <c r="E17" s="10" t="s">
        <v>40</v>
      </c>
      <c r="F17" s="26">
        <v>0.2</v>
      </c>
      <c r="G17" s="10" t="s">
        <v>40</v>
      </c>
      <c r="H17" s="22">
        <v>0.2</v>
      </c>
      <c r="I17" s="10" t="s">
        <v>40</v>
      </c>
      <c r="J17" s="22">
        <v>0.2</v>
      </c>
      <c r="K17" s="10" t="s">
        <v>40</v>
      </c>
      <c r="L17" s="22">
        <v>0.08</v>
      </c>
      <c r="M17" s="10"/>
      <c r="N17" s="2">
        <f t="shared" si="0"/>
        <v>0.17</v>
      </c>
      <c r="O17" s="10"/>
      <c r="P17" s="22">
        <v>1.5</v>
      </c>
      <c r="Q17" s="10"/>
      <c r="R17" s="22">
        <v>0.19</v>
      </c>
      <c r="S17" s="10" t="s">
        <v>40</v>
      </c>
      <c r="T17" s="22">
        <v>0.11</v>
      </c>
      <c r="U17" s="10" t="s">
        <v>40</v>
      </c>
      <c r="V17" s="22">
        <v>0.052</v>
      </c>
      <c r="W17" s="10"/>
      <c r="X17" s="22">
        <v>0.46</v>
      </c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10"/>
      <c r="AJ17" s="22">
        <v>0.43</v>
      </c>
      <c r="AK17" s="10"/>
      <c r="AL17" s="22">
        <v>2</v>
      </c>
      <c r="AM17" s="10"/>
      <c r="AN17" s="22">
        <v>0.57</v>
      </c>
      <c r="AO17" s="10" t="s">
        <v>40</v>
      </c>
      <c r="AP17" s="22">
        <v>0.034</v>
      </c>
      <c r="AQ17" s="10"/>
      <c r="AR17" s="22">
        <v>0.75</v>
      </c>
    </row>
    <row r="18" spans="2:44" ht="12.75">
      <c r="B18" s="7" t="s">
        <v>200</v>
      </c>
      <c r="D18" s="7" t="s">
        <v>62</v>
      </c>
      <c r="E18" s="10"/>
      <c r="F18" s="26">
        <v>0.04</v>
      </c>
      <c r="G18" s="10"/>
      <c r="H18" s="22">
        <v>0.04</v>
      </c>
      <c r="I18" s="10" t="s">
        <v>40</v>
      </c>
      <c r="J18" s="22">
        <v>0.04</v>
      </c>
      <c r="K18" s="10" t="s">
        <v>40</v>
      </c>
      <c r="L18" s="22">
        <v>0.02</v>
      </c>
      <c r="M18" s="10"/>
      <c r="N18" s="2">
        <f t="shared" si="0"/>
        <v>0.035</v>
      </c>
      <c r="O18" s="10"/>
      <c r="P18" s="22">
        <v>0.14</v>
      </c>
      <c r="Q18" s="10" t="s">
        <v>40</v>
      </c>
      <c r="R18" s="22">
        <v>0.02</v>
      </c>
      <c r="S18" s="10" t="s">
        <v>40</v>
      </c>
      <c r="T18" s="22">
        <v>0.02</v>
      </c>
      <c r="U18" s="10" t="s">
        <v>40</v>
      </c>
      <c r="V18" s="22">
        <v>0.03</v>
      </c>
      <c r="W18" s="10"/>
      <c r="X18" s="22">
        <v>0.1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10" t="s">
        <v>40</v>
      </c>
      <c r="AJ18" s="22">
        <v>0.02</v>
      </c>
      <c r="AK18" s="10"/>
      <c r="AL18" s="22">
        <v>0.12</v>
      </c>
      <c r="AM18" s="10"/>
      <c r="AN18" s="22">
        <v>0.06</v>
      </c>
      <c r="AO18" s="10" t="s">
        <v>40</v>
      </c>
      <c r="AP18" s="22">
        <v>0.007</v>
      </c>
      <c r="AQ18" s="10"/>
      <c r="AR18" s="22">
        <v>0.05</v>
      </c>
    </row>
    <row r="19" spans="2:44" ht="12.75">
      <c r="B19" s="7" t="s">
        <v>201</v>
      </c>
      <c r="D19" s="7" t="s">
        <v>62</v>
      </c>
      <c r="E19" s="10"/>
      <c r="F19" s="26">
        <v>0.4</v>
      </c>
      <c r="G19" s="10"/>
      <c r="H19" s="22">
        <v>0.3</v>
      </c>
      <c r="I19" s="10"/>
      <c r="J19" s="22">
        <v>0.27</v>
      </c>
      <c r="K19" s="10" t="s">
        <v>40</v>
      </c>
      <c r="L19" s="22">
        <v>0.02</v>
      </c>
      <c r="M19" s="10"/>
      <c r="N19" s="2">
        <f t="shared" si="0"/>
        <v>0.24750000000000003</v>
      </c>
      <c r="O19" s="10"/>
      <c r="P19" s="22">
        <v>0.31</v>
      </c>
      <c r="Q19" s="10"/>
      <c r="R19" s="22">
        <v>0.09</v>
      </c>
      <c r="S19" s="10"/>
      <c r="T19" s="22">
        <v>0.07</v>
      </c>
      <c r="U19" s="10" t="s">
        <v>40</v>
      </c>
      <c r="V19" s="22">
        <v>0.03</v>
      </c>
      <c r="W19" s="10"/>
      <c r="X19" s="22">
        <v>0.1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10"/>
      <c r="AJ19" s="22">
        <v>0.22</v>
      </c>
      <c r="AK19" s="10"/>
      <c r="AL19" s="22">
        <v>0.37</v>
      </c>
      <c r="AM19" s="10"/>
      <c r="AN19" s="22">
        <v>0.28</v>
      </c>
      <c r="AO19" s="10" t="s">
        <v>40</v>
      </c>
      <c r="AP19" s="22">
        <v>0.007</v>
      </c>
      <c r="AQ19" s="10"/>
      <c r="AR19" s="22">
        <v>0.22</v>
      </c>
    </row>
    <row r="20" spans="2:44" ht="12.75">
      <c r="B20" s="7" t="s">
        <v>202</v>
      </c>
      <c r="D20" s="7" t="s">
        <v>62</v>
      </c>
      <c r="E20" s="10"/>
      <c r="F20" s="26">
        <v>1.4</v>
      </c>
      <c r="G20" s="10"/>
      <c r="H20" s="22">
        <v>0.77</v>
      </c>
      <c r="I20" s="10"/>
      <c r="J20" s="22">
        <v>1</v>
      </c>
      <c r="K20" s="10" t="s">
        <v>40</v>
      </c>
      <c r="L20" s="22">
        <v>0.2</v>
      </c>
      <c r="M20" s="10"/>
      <c r="N20" s="2">
        <f t="shared" si="0"/>
        <v>0.8425</v>
      </c>
      <c r="O20" s="10"/>
      <c r="P20" s="22">
        <v>1.5</v>
      </c>
      <c r="Q20" s="10"/>
      <c r="R20" s="22">
        <v>0.23</v>
      </c>
      <c r="S20" s="10" t="s">
        <v>40</v>
      </c>
      <c r="T20" s="22">
        <v>0.19</v>
      </c>
      <c r="U20" s="10" t="s">
        <v>40</v>
      </c>
      <c r="V20" s="22">
        <v>0.11</v>
      </c>
      <c r="W20" s="10"/>
      <c r="X20" s="22">
        <v>0.5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10"/>
      <c r="AJ20" s="22">
        <v>1.8</v>
      </c>
      <c r="AK20" s="10"/>
      <c r="AL20" s="22">
        <v>3</v>
      </c>
      <c r="AM20" s="10"/>
      <c r="AN20" s="22">
        <v>1.4</v>
      </c>
      <c r="AO20" s="10" t="s">
        <v>40</v>
      </c>
      <c r="AP20" s="22">
        <v>0.075</v>
      </c>
      <c r="AQ20" s="10"/>
      <c r="AR20" s="22">
        <v>1.6</v>
      </c>
    </row>
    <row r="21" spans="2:44" ht="12.75">
      <c r="B21" s="7" t="s">
        <v>203</v>
      </c>
      <c r="D21" s="7" t="s">
        <v>62</v>
      </c>
      <c r="E21" s="10"/>
      <c r="F21" s="26">
        <v>0.04</v>
      </c>
      <c r="G21" s="10"/>
      <c r="H21" s="22">
        <v>0.04</v>
      </c>
      <c r="I21" s="10"/>
      <c r="J21" s="22">
        <v>0.04</v>
      </c>
      <c r="K21" s="10" t="s">
        <v>40</v>
      </c>
      <c r="L21" s="22">
        <v>0.02</v>
      </c>
      <c r="M21" s="10"/>
      <c r="N21" s="2">
        <f t="shared" si="0"/>
        <v>0.035</v>
      </c>
      <c r="O21" s="10" t="s">
        <v>40</v>
      </c>
      <c r="P21" s="22">
        <v>0.009</v>
      </c>
      <c r="Q21" s="10" t="s">
        <v>40</v>
      </c>
      <c r="R21" s="22">
        <v>0.02</v>
      </c>
      <c r="S21" s="10"/>
      <c r="T21" s="22">
        <v>0.02</v>
      </c>
      <c r="U21" s="10" t="s">
        <v>40</v>
      </c>
      <c r="V21" s="22">
        <v>0.26</v>
      </c>
      <c r="W21" s="10"/>
      <c r="X21" s="22">
        <v>0.08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10"/>
      <c r="AJ21" s="22">
        <v>0.009</v>
      </c>
      <c r="AK21" s="10"/>
      <c r="AL21" s="22">
        <v>0.009</v>
      </c>
      <c r="AM21" s="10"/>
      <c r="AN21" s="22">
        <v>0.009</v>
      </c>
      <c r="AO21" s="10" t="s">
        <v>40</v>
      </c>
      <c r="AP21" s="22">
        <v>0.007</v>
      </c>
      <c r="AQ21" s="10"/>
      <c r="AR21" s="22">
        <v>0.009</v>
      </c>
    </row>
    <row r="22" spans="2:44" ht="12.75">
      <c r="B22" s="7" t="s">
        <v>204</v>
      </c>
      <c r="D22" s="7" t="s">
        <v>62</v>
      </c>
      <c r="E22" s="10"/>
      <c r="F22" s="26">
        <v>1</v>
      </c>
      <c r="G22" s="10"/>
      <c r="H22" s="22">
        <v>0.79</v>
      </c>
      <c r="I22" s="10"/>
      <c r="J22" s="22">
        <v>0.79</v>
      </c>
      <c r="K22" s="10" t="s">
        <v>40</v>
      </c>
      <c r="L22" s="22">
        <v>0.11</v>
      </c>
      <c r="M22" s="10"/>
      <c r="N22" s="2">
        <f t="shared" si="0"/>
        <v>0.6725</v>
      </c>
      <c r="O22" s="10"/>
      <c r="P22" s="22">
        <v>0.51</v>
      </c>
      <c r="Q22" s="10"/>
      <c r="R22" s="22">
        <v>0.39</v>
      </c>
      <c r="S22" s="10"/>
      <c r="T22" s="22">
        <v>0.38</v>
      </c>
      <c r="U22" s="10" t="s">
        <v>40</v>
      </c>
      <c r="V22" s="22">
        <v>0.061</v>
      </c>
      <c r="W22" s="10"/>
      <c r="X22" s="22">
        <v>0.33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10"/>
      <c r="AJ22" s="22">
        <v>0.36</v>
      </c>
      <c r="AK22" s="10"/>
      <c r="AL22" s="22">
        <v>0.66</v>
      </c>
      <c r="AM22" s="10"/>
      <c r="AN22" s="22">
        <v>0.59</v>
      </c>
      <c r="AO22" s="10" t="s">
        <v>40</v>
      </c>
      <c r="AP22" s="22">
        <v>0.04</v>
      </c>
      <c r="AQ22" s="10"/>
      <c r="AR22" s="22">
        <v>0.41</v>
      </c>
    </row>
    <row r="23" spans="2:44" ht="12.75">
      <c r="B23" s="7" t="s">
        <v>205</v>
      </c>
      <c r="D23" s="7" t="s">
        <v>62</v>
      </c>
      <c r="E23" s="10" t="s">
        <v>40</v>
      </c>
      <c r="F23" s="26">
        <v>1.8</v>
      </c>
      <c r="G23" s="10" t="s">
        <v>40</v>
      </c>
      <c r="H23" s="22">
        <v>1.8</v>
      </c>
      <c r="I23" s="10" t="s">
        <v>40</v>
      </c>
      <c r="J23" s="22">
        <v>1.8</v>
      </c>
      <c r="K23" s="10" t="s">
        <v>40</v>
      </c>
      <c r="L23" s="22">
        <v>0.23</v>
      </c>
      <c r="M23" s="10"/>
      <c r="N23" s="2">
        <f t="shared" si="0"/>
        <v>1.4075</v>
      </c>
      <c r="O23" s="10" t="s">
        <v>40</v>
      </c>
      <c r="P23" s="22">
        <v>0.89</v>
      </c>
      <c r="Q23" s="10" t="s">
        <v>40</v>
      </c>
      <c r="R23" s="22">
        <v>0.92</v>
      </c>
      <c r="S23" s="10" t="s">
        <v>40</v>
      </c>
      <c r="T23" s="22">
        <v>0.94</v>
      </c>
      <c r="U23" s="10" t="s">
        <v>40</v>
      </c>
      <c r="V23" s="22">
        <v>0.14</v>
      </c>
      <c r="W23" s="10"/>
      <c r="X23" s="22">
        <v>0.72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10" t="s">
        <v>40</v>
      </c>
      <c r="AJ23" s="22">
        <v>0.91</v>
      </c>
      <c r="AK23" s="10" t="s">
        <v>40</v>
      </c>
      <c r="AL23" s="22">
        <v>0.92</v>
      </c>
      <c r="AM23" s="10" t="s">
        <v>40</v>
      </c>
      <c r="AN23" s="22">
        <v>0.92</v>
      </c>
      <c r="AO23" s="10" t="s">
        <v>40</v>
      </c>
      <c r="AP23" s="22">
        <v>0.089</v>
      </c>
      <c r="AQ23" s="10"/>
      <c r="AR23" s="33">
        <v>0.71</v>
      </c>
    </row>
    <row r="24" spans="5:43" ht="12.75">
      <c r="E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2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2:54" ht="12.75">
      <c r="B25" s="7" t="s">
        <v>74</v>
      </c>
      <c r="D25" s="7" t="s">
        <v>25</v>
      </c>
      <c r="E25" s="10"/>
      <c r="F25" s="23">
        <f>emiss!$G$16</f>
        <v>68747</v>
      </c>
      <c r="G25" s="10"/>
      <c r="H25" s="23">
        <f>emiss!$I$16</f>
        <v>70318</v>
      </c>
      <c r="I25" s="10"/>
      <c r="J25" s="23">
        <f>emiss!$K$16</f>
        <v>70550</v>
      </c>
      <c r="K25" s="10"/>
      <c r="L25" s="23">
        <f>emiss!$M$16</f>
        <v>76945</v>
      </c>
      <c r="M25" s="10"/>
      <c r="N25" s="23">
        <f>emiss!$O$16</f>
        <v>71640.2</v>
      </c>
      <c r="O25" s="10"/>
      <c r="P25" s="23">
        <f>emiss!$G$16</f>
        <v>68747</v>
      </c>
      <c r="Q25" s="10"/>
      <c r="R25" s="23">
        <f>emiss!$I$16</f>
        <v>70318</v>
      </c>
      <c r="S25" s="10"/>
      <c r="T25" s="23">
        <f>emiss!$K$16</f>
        <v>70550</v>
      </c>
      <c r="U25" s="10"/>
      <c r="V25" s="23">
        <f>emiss!$M$16</f>
        <v>76945</v>
      </c>
      <c r="W25" s="10"/>
      <c r="X25" s="23">
        <f>emiss!$O$16</f>
        <v>71640.2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0"/>
      <c r="AJ25" s="23">
        <f>emiss!$G$16</f>
        <v>68747</v>
      </c>
      <c r="AK25" s="10"/>
      <c r="AL25" s="23">
        <f>emiss!$I$16</f>
        <v>70318</v>
      </c>
      <c r="AM25" s="10"/>
      <c r="AN25" s="23">
        <f>emiss!$K$16</f>
        <v>70550</v>
      </c>
      <c r="AO25" s="10"/>
      <c r="AP25" s="23">
        <f>emiss!$M$16</f>
        <v>76945</v>
      </c>
      <c r="AQ25" s="10"/>
      <c r="AR25" s="23">
        <f>emiss!$O$16</f>
        <v>71640.2</v>
      </c>
      <c r="AT25" s="23">
        <f>emiss!$G$16</f>
        <v>68747</v>
      </c>
      <c r="AU25" s="10"/>
      <c r="AV25" s="23">
        <f>emiss!$I$16</f>
        <v>70318</v>
      </c>
      <c r="AW25" s="10"/>
      <c r="AX25" s="23">
        <f>emiss!$K$16</f>
        <v>70550</v>
      </c>
      <c r="AY25" s="10"/>
      <c r="AZ25" s="23">
        <f>emiss!$M$16</f>
        <v>76945</v>
      </c>
      <c r="BA25" s="10"/>
      <c r="BB25" s="23">
        <f>emiss!$O$16</f>
        <v>71640.2</v>
      </c>
    </row>
    <row r="26" spans="2:54" ht="12.75">
      <c r="B26" s="7" t="s">
        <v>75</v>
      </c>
      <c r="D26" s="7" t="s">
        <v>26</v>
      </c>
      <c r="E26" s="10"/>
      <c r="F26" s="22">
        <f>emiss!$G$17</f>
        <v>4.2</v>
      </c>
      <c r="G26" s="10"/>
      <c r="H26" s="22">
        <f>emiss!$I$17</f>
        <v>4.2</v>
      </c>
      <c r="I26" s="10"/>
      <c r="J26" s="22">
        <f>emiss!$K$17</f>
        <v>4.3</v>
      </c>
      <c r="K26" s="10"/>
      <c r="L26" s="22">
        <f>emiss!$M$17</f>
        <v>4.9</v>
      </c>
      <c r="M26" s="10"/>
      <c r="N26" s="22">
        <f>emiss!$O$17</f>
        <v>4.4</v>
      </c>
      <c r="O26" s="10"/>
      <c r="P26" s="22">
        <f>emiss!$G$17</f>
        <v>4.2</v>
      </c>
      <c r="Q26" s="10"/>
      <c r="R26" s="22">
        <f>emiss!$I$17</f>
        <v>4.2</v>
      </c>
      <c r="S26" s="10"/>
      <c r="T26" s="22">
        <f>emiss!$K$17</f>
        <v>4.3</v>
      </c>
      <c r="U26" s="10"/>
      <c r="V26" s="22">
        <f>emiss!$M$17</f>
        <v>4.9</v>
      </c>
      <c r="W26" s="10"/>
      <c r="X26" s="22">
        <f>emiss!$O$17</f>
        <v>4.4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10"/>
      <c r="AJ26" s="22">
        <f>emiss!$G$17</f>
        <v>4.2</v>
      </c>
      <c r="AK26" s="10"/>
      <c r="AL26" s="22">
        <f>emiss!$I$17</f>
        <v>4.2</v>
      </c>
      <c r="AM26" s="10"/>
      <c r="AN26" s="22">
        <f>emiss!$K$17</f>
        <v>4.3</v>
      </c>
      <c r="AO26" s="10"/>
      <c r="AP26" s="22">
        <f>emiss!$M$17</f>
        <v>4.9</v>
      </c>
      <c r="AQ26" s="10"/>
      <c r="AR26" s="22">
        <f>emiss!$O$17</f>
        <v>4.4</v>
      </c>
      <c r="AT26" s="22">
        <f>emiss!$G$17</f>
        <v>4.2</v>
      </c>
      <c r="AU26" s="10"/>
      <c r="AV26" s="22">
        <f>emiss!$I$17</f>
        <v>4.2</v>
      </c>
      <c r="AW26" s="10"/>
      <c r="AX26" s="22">
        <f>emiss!$K$17</f>
        <v>4.3</v>
      </c>
      <c r="AY26" s="10"/>
      <c r="AZ26" s="22">
        <f>emiss!$M$17</f>
        <v>4.9</v>
      </c>
      <c r="BA26" s="10"/>
      <c r="BB26" s="22">
        <f>emiss!$O$17</f>
        <v>4.4</v>
      </c>
    </row>
    <row r="27" spans="5:43" ht="12.75">
      <c r="E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2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2:54" ht="12.75">
      <c r="B28" s="49" t="s">
        <v>104</v>
      </c>
      <c r="C28" s="49"/>
      <c r="E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2"/>
      <c r="AI28" s="10"/>
      <c r="AJ28" s="10"/>
      <c r="AK28" s="10"/>
      <c r="AL28" s="10"/>
      <c r="AM28" s="10"/>
      <c r="AN28" s="10"/>
      <c r="AO28" s="10"/>
      <c r="AP28" s="10"/>
      <c r="AQ28" s="10"/>
      <c r="BB28" s="13"/>
    </row>
    <row r="29" spans="2:78" ht="12.75">
      <c r="B29" s="7" t="s">
        <v>65</v>
      </c>
      <c r="D29" s="7" t="s">
        <v>78</v>
      </c>
      <c r="E29" s="10" t="s">
        <v>40</v>
      </c>
      <c r="F29" s="23">
        <f>(F12/(F$25*60*0.0283))*((21-7)/(21-F$26))*1000</f>
        <v>0.4211912385894511</v>
      </c>
      <c r="G29" s="10" t="s">
        <v>40</v>
      </c>
      <c r="H29" s="23">
        <f>(H12/(H$25*60*0.0283))*((21-7)/(21-H$26))*1000</f>
        <v>0.4885540278164014</v>
      </c>
      <c r="I29" s="10" t="s">
        <v>40</v>
      </c>
      <c r="J29" s="23">
        <f>(J12/(J$25*60*0.0283))*((21-7)/(21-J$26))*1000</f>
        <v>0.47586720211924066</v>
      </c>
      <c r="L29" s="23">
        <f>(L12/(L$25*60*0.0283))*((21-7)/(21-L$26))*1000</f>
        <v>4.133097685534181</v>
      </c>
      <c r="M29" s="12"/>
      <c r="N29" s="17">
        <f>AVERAGE(L29,J29,H29,F29)</f>
        <v>1.3796775385148183</v>
      </c>
      <c r="O29" s="10" t="s">
        <v>40</v>
      </c>
      <c r="P29" s="23">
        <f>(P12/(P$25*60*0.0283))*((21-7)/(21-P$26))*1000</f>
        <v>0.2712757129898159</v>
      </c>
      <c r="Q29" s="22" t="s">
        <v>40</v>
      </c>
      <c r="R29" s="23">
        <f>(R12/(R$25*60*0.0283))*((21-7)/(21-R$26))*1000</f>
        <v>0.3070911031988809</v>
      </c>
      <c r="S29" s="22" t="s">
        <v>40</v>
      </c>
      <c r="T29" s="23">
        <f>(T12/(T$25*60*0.0283))*((21-7)/(21-T$26))*1000</f>
        <v>0.28691993068954214</v>
      </c>
      <c r="U29" s="10"/>
      <c r="V29" s="23">
        <f>(V12/(V$25*60*0.0283))*((21-7)/(21-V$26))*1000</f>
        <v>0.33943314325643037</v>
      </c>
      <c r="W29" s="10"/>
      <c r="X29" s="17">
        <f>AVERAGE(V29,T29,R29,P29)</f>
        <v>0.30117997253366735</v>
      </c>
      <c r="Y29" s="58">
        <f>SUM(P29,F29)/Z29*100</f>
        <v>100</v>
      </c>
      <c r="Z29" s="17">
        <f>SUM(P29,F29)</f>
        <v>0.692466951579267</v>
      </c>
      <c r="AA29" s="58">
        <v>100</v>
      </c>
      <c r="AB29" s="17">
        <f>SUM(R29,H29)</f>
        <v>0.7956451310152823</v>
      </c>
      <c r="AC29" s="58">
        <v>100</v>
      </c>
      <c r="AD29" s="17">
        <f>SUM(T29,J29)</f>
        <v>0.7627871328087827</v>
      </c>
      <c r="AE29" s="58"/>
      <c r="AF29" s="17">
        <f>SUM(V29,L29)</f>
        <v>4.472530828790611</v>
      </c>
      <c r="AG29" s="58">
        <f>SUM(Z29,AB29,AD29)/AH29/4*100</f>
        <v>33.478435866929395</v>
      </c>
      <c r="AH29" s="17">
        <f>SUM(X29,N29)</f>
        <v>1.6808575110484858</v>
      </c>
      <c r="AI29" s="12">
        <v>100</v>
      </c>
      <c r="AJ29" s="23">
        <f>(AJ12/(AJ$25*60*0.0283))*((21-7)/(21-AJ$26))*1000</f>
        <v>0.2569980438850888</v>
      </c>
      <c r="AK29" s="12">
        <v>100</v>
      </c>
      <c r="AL29" s="23">
        <f>(AL12/(AL$25*60*0.0283))*((21-7)/(21-AL$26))*1000</f>
        <v>0.2372976706536807</v>
      </c>
      <c r="AM29" s="12">
        <v>100</v>
      </c>
      <c r="AN29" s="23">
        <f>(AN12/(AN$25*60*0.0283))*((21-7)/(21-AN$26))*1000</f>
        <v>0.23793360105962033</v>
      </c>
      <c r="AO29" s="10"/>
      <c r="AP29" s="23">
        <f>(AP12/(AP$25*60*0.0283))*((21-7)/(21-AP$26))*1000</f>
        <v>0.0931777255998044</v>
      </c>
      <c r="AQ29" s="10">
        <f>SUM(AJ29,AL29,AN29)/AR29*100/4</f>
        <v>88.71129988610907</v>
      </c>
      <c r="AR29" s="17">
        <f>AVERAGE(AP29,AN29,AL29,AJ29)</f>
        <v>0.20635176029954855</v>
      </c>
      <c r="AS29" s="23"/>
      <c r="AT29" s="23">
        <f>(AT12/($F$25*60*0.0283))*((21-7)/(21-$F$26))*1000</f>
        <v>137.12987291635196</v>
      </c>
      <c r="AU29" s="23"/>
      <c r="AV29" s="23">
        <f>(AV12/($F$25*60*0.0283))*((21-7)/(21-$F$26))*1000</f>
        <v>135.6093011566985</v>
      </c>
      <c r="AW29" s="23"/>
      <c r="AX29" s="23">
        <f>(AX12/($F$25*60*0.0283))*((21-7)/(21-$F$26))*1000</f>
        <v>137.12987291635196</v>
      </c>
      <c r="AY29" s="23"/>
      <c r="AZ29" s="23">
        <f>(AZ12/($F$25*60*0.0283))*((21-7)/(21-$F$26))*1000</f>
        <v>142.02711341927338</v>
      </c>
      <c r="BA29" s="23"/>
      <c r="BB29" s="23">
        <f>AVERAGE(AZ29,AX29,AV29,AT29)</f>
        <v>137.97404010216894</v>
      </c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">
        <f>SUM((AJ29*AI29/100),(Z29*Y29/100))/BN29*100</f>
        <v>0.6876227897838899</v>
      </c>
      <c r="BN29" s="23">
        <f>SUM(AT29,AJ29,P29,F29)</f>
        <v>138.0793379118163</v>
      </c>
      <c r="BO29" s="2">
        <f>SUM((AL29*AK29/100),(AB29*AA29/100))/BP29*100</f>
        <v>0.7559468958835914</v>
      </c>
      <c r="BP29" s="23">
        <f>SUM(AV29,AL29,R29,H29)</f>
        <v>136.64224395836746</v>
      </c>
      <c r="BQ29" s="2">
        <f>SUM((AN29*AM29/100),(AD29*AC29/100))/BR29*100</f>
        <v>0.7244743596791213</v>
      </c>
      <c r="BR29" s="23">
        <f>SUM(AX29,AN29,T29,J29)</f>
        <v>138.13059365022036</v>
      </c>
      <c r="BS29" s="2">
        <f>SUM((AP29*AO29/100),(AF29*AE29/100))/BT29*100</f>
        <v>0</v>
      </c>
      <c r="BT29" s="23">
        <f>SUM(AZ29,AP29,V29,L29)</f>
        <v>146.5928219736638</v>
      </c>
      <c r="BU29" s="2">
        <f>SUM((AR29*AQ29/100),(AH29*AG29/100))/BV29*100</f>
        <v>0.5332299947919998</v>
      </c>
      <c r="BV29" s="23">
        <f>SUM(BB29,AR29,X29,N29)</f>
        <v>139.86124937351698</v>
      </c>
      <c r="BW29" s="23"/>
      <c r="BX29" s="23"/>
      <c r="BY29" s="23"/>
      <c r="BZ29" s="23"/>
    </row>
    <row r="30" spans="2:78" ht="12.75">
      <c r="B30" s="7" t="s">
        <v>66</v>
      </c>
      <c r="D30" s="7" t="s">
        <v>79</v>
      </c>
      <c r="E30" s="10"/>
      <c r="F30" s="23">
        <f>(F13/(F$25*60*0.0283))*((21-7)/(21-F$26))*1000000</f>
        <v>778.1329662076299</v>
      </c>
      <c r="G30" s="10"/>
      <c r="H30" s="23">
        <f>(H13/(H$25*60*0.0283))*((21-7)/(21-H$26))*1000000</f>
        <v>823.5625040333625</v>
      </c>
      <c r="I30" s="10"/>
      <c r="J30" s="23">
        <f aca="true" t="shared" si="1" ref="J30:J40">(J13/(J$25*60*0.0283))*((21-7)/(21-J$26))*1000000</f>
        <v>818.7715095286935</v>
      </c>
      <c r="K30" s="10" t="s">
        <v>40</v>
      </c>
      <c r="L30" s="23">
        <f aca="true" t="shared" si="2" ref="L30:L40">(L13/(L$25*60*0.0283))*((21-7)/(21-L$26))*1000000</f>
        <v>1104.8216035405378</v>
      </c>
      <c r="M30" s="12"/>
      <c r="N30" s="17">
        <f aca="true" t="shared" si="3" ref="N30:N40">AVERAGE(L30,J30,H30,F30)</f>
        <v>881.322145827556</v>
      </c>
      <c r="O30" s="10"/>
      <c r="P30" s="23">
        <f aca="true" t="shared" si="4" ref="P30:P40">(P13/(P$25*60*0.0283))*((21-7)/(21-P$26))*1000000</f>
        <v>835.2436426265385</v>
      </c>
      <c r="Q30" s="22"/>
      <c r="R30" s="23">
        <f aca="true" t="shared" si="5" ref="R30:R40">(R13/(R$25*60*0.0283))*((21-7)/(21-R$26))*1000000</f>
        <v>293.13241668984085</v>
      </c>
      <c r="S30" s="22"/>
      <c r="T30" s="23">
        <f aca="true" t="shared" si="6" ref="T30:T40">(T13/(T$25*60*0.0283))*((21-7)/(21-T$26))*1000000</f>
        <v>433.87891957930765</v>
      </c>
      <c r="U30" s="10"/>
      <c r="V30" s="23">
        <f aca="true" t="shared" si="7" ref="V30:V40">(V13/(V$25*60*0.0283))*((21-7)/(21-V$26))*1000000</f>
        <v>2076.532170509927</v>
      </c>
      <c r="W30" s="10"/>
      <c r="X30" s="17">
        <f aca="true" t="shared" si="8" ref="X30:X40">AVERAGE(V30,T30,R30,P30)</f>
        <v>909.6967873514035</v>
      </c>
      <c r="Y30" s="58"/>
      <c r="Z30" s="17">
        <f aca="true" t="shared" si="9" ref="Z30:Z40">SUM(P30,F30)</f>
        <v>1613.3766088341686</v>
      </c>
      <c r="AA30" s="58"/>
      <c r="AB30" s="17">
        <f aca="true" t="shared" si="10" ref="AB30:AH40">SUM(R30,H30)</f>
        <v>1116.6949207232033</v>
      </c>
      <c r="AC30" s="17"/>
      <c r="AD30" s="17">
        <f t="shared" si="10"/>
        <v>1252.6504291080012</v>
      </c>
      <c r="AE30" s="58">
        <f>L30/AF30*100</f>
        <v>34.72803347280335</v>
      </c>
      <c r="AF30" s="17">
        <f t="shared" si="10"/>
        <v>3181.3537740504644</v>
      </c>
      <c r="AG30" s="58">
        <f>(AF30*AE30/100)/AH30/4*100</f>
        <v>15.421690735277998</v>
      </c>
      <c r="AH30" s="17">
        <f t="shared" si="10"/>
        <v>1791.0189331789595</v>
      </c>
      <c r="AI30" s="10"/>
      <c r="AJ30" s="23">
        <f aca="true" t="shared" si="11" ref="AJ30:AJ40">(AJ13/(AJ$25*60*0.0283))*((21-7)/(21-AJ$26))*1000000</f>
        <v>435.46890769417826</v>
      </c>
      <c r="AK30" s="10"/>
      <c r="AL30" s="23">
        <f aca="true" t="shared" si="12" ref="AL30:AL40">(AL13/(AL$25*60*0.0283))*((21-7)/(21-AL$26))*1000000</f>
        <v>586.2648333796817</v>
      </c>
      <c r="AM30" s="10"/>
      <c r="AN30" s="23">
        <f aca="true" t="shared" si="13" ref="AN30:AN40">(AN13/(AN$25*60*0.0283))*((21-7)/(21-AN$26))*1000000</f>
        <v>580.8379084690731</v>
      </c>
      <c r="AO30" s="10">
        <v>100</v>
      </c>
      <c r="AP30" s="23">
        <f aca="true" t="shared" si="14" ref="AP30:AP40">(AP13/(AP$25*60*0.0283))*((21-7)/(21-AP$26))*1000000</f>
        <v>366.05535057066015</v>
      </c>
      <c r="AQ30" s="10">
        <f>AP30/AR30/4*100</f>
        <v>18.594449357320514</v>
      </c>
      <c r="AR30" s="17">
        <f aca="true" t="shared" si="15" ref="AR30:AR40">AVERAGE(AP30,AN30,AL30,AJ30)</f>
        <v>492.1567500283983</v>
      </c>
      <c r="AS30" s="23"/>
      <c r="AT30" s="23">
        <f>(AT13/($F$25*60*0.0283))*((21-7)/(21-$F$26))*1000000</f>
        <v>326451.76524503407</v>
      </c>
      <c r="AU30" s="23"/>
      <c r="AV30" s="23">
        <f>(AV13/($F$25*60*0.0283))*((21-7)/(21-$F$26))*1000000</f>
        <v>322589.65575220535</v>
      </c>
      <c r="AW30" s="23"/>
      <c r="AX30" s="23">
        <f>(AX13/($F$25*60*0.0283))*((21-7)/(21-$F$26))*1000000</f>
        <v>328272.1680558867</v>
      </c>
      <c r="AY30" s="23"/>
      <c r="AZ30" s="23">
        <f>(AZ13/($F$25*60*0.0283))*((21-7)/(21-$F$26))*1000000</f>
        <v>324010.2838281257</v>
      </c>
      <c r="BA30" s="23"/>
      <c r="BB30" s="23">
        <f>AVERAGE(AZ30,AX30,AV30,AT30)</f>
        <v>325330.96822031296</v>
      </c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">
        <f aca="true" t="shared" si="16" ref="BM30:BU42">SUM((AJ30*AI30/100),(Z30*Y30/100))/BN30*100</f>
        <v>0</v>
      </c>
      <c r="BN30" s="23">
        <f aca="true" t="shared" si="17" ref="BN30:BT40">SUM(AT30,AJ30,P30,F30)</f>
        <v>328500.6107615624</v>
      </c>
      <c r="BO30" s="2">
        <f t="shared" si="16"/>
        <v>0</v>
      </c>
      <c r="BP30" s="23">
        <f t="shared" si="17"/>
        <v>324292.6155063082</v>
      </c>
      <c r="BQ30" s="2">
        <f t="shared" si="16"/>
        <v>0</v>
      </c>
      <c r="BR30" s="23">
        <f t="shared" si="17"/>
        <v>330105.6563934638</v>
      </c>
      <c r="BS30" s="2">
        <f t="shared" si="16"/>
        <v>0.44904362979604495</v>
      </c>
      <c r="BT30" s="23">
        <f t="shared" si="17"/>
        <v>327557.6929527468</v>
      </c>
      <c r="BU30" s="2">
        <f t="shared" si="16"/>
        <v>0.1122415638550971</v>
      </c>
      <c r="BV30" s="23">
        <f aca="true" t="shared" si="18" ref="BV30:BV40">SUM(BB30,AR30,X30,N30)</f>
        <v>327614.1439035203</v>
      </c>
      <c r="BW30" s="23"/>
      <c r="BX30" s="23"/>
      <c r="BY30" s="23"/>
      <c r="BZ30" s="23"/>
    </row>
    <row r="31" spans="2:78" ht="12.75">
      <c r="B31" s="7" t="s">
        <v>196</v>
      </c>
      <c r="D31" s="7" t="s">
        <v>79</v>
      </c>
      <c r="E31" s="10"/>
      <c r="F31" s="23">
        <f aca="true" t="shared" si="19" ref="F31:H40">(F14/(F$25*60*0.0283))*((21-7)/(21-F$26))*1000000</f>
        <v>2.6413687843745235</v>
      </c>
      <c r="G31" s="10"/>
      <c r="H31" s="23">
        <f t="shared" si="19"/>
        <v>3.2104978970792093</v>
      </c>
      <c r="I31" s="10"/>
      <c r="J31" s="23">
        <f t="shared" si="1"/>
        <v>6.158281439190174</v>
      </c>
      <c r="K31" s="10"/>
      <c r="L31" s="23">
        <f t="shared" si="2"/>
        <v>0.7321107011413204</v>
      </c>
      <c r="M31" s="10"/>
      <c r="N31" s="17">
        <f t="shared" si="3"/>
        <v>3.185564705446307</v>
      </c>
      <c r="O31" s="10"/>
      <c r="P31" s="23">
        <f t="shared" si="4"/>
        <v>2.284427056756345</v>
      </c>
      <c r="Q31" s="22"/>
      <c r="R31" s="23">
        <f t="shared" si="5"/>
        <v>1.1166949207232033</v>
      </c>
      <c r="S31" s="22"/>
      <c r="T31" s="23">
        <f t="shared" si="6"/>
        <v>1.1196875343982133</v>
      </c>
      <c r="U31" s="10"/>
      <c r="V31" s="23">
        <f t="shared" si="7"/>
        <v>0.30615538411364307</v>
      </c>
      <c r="W31" s="10"/>
      <c r="X31" s="17">
        <f t="shared" si="8"/>
        <v>1.206741223997851</v>
      </c>
      <c r="Y31" s="58"/>
      <c r="Z31" s="17">
        <f t="shared" si="9"/>
        <v>4.925795841130869</v>
      </c>
      <c r="AA31" s="58"/>
      <c r="AB31" s="17">
        <f t="shared" si="10"/>
        <v>4.327192817802413</v>
      </c>
      <c r="AC31" s="17"/>
      <c r="AD31" s="17">
        <f t="shared" si="10"/>
        <v>7.277968973588387</v>
      </c>
      <c r="AE31" s="17"/>
      <c r="AF31" s="17">
        <f t="shared" si="10"/>
        <v>1.0382660852549634</v>
      </c>
      <c r="AG31" s="17"/>
      <c r="AH31" s="17">
        <f t="shared" si="10"/>
        <v>4.3923059294441575</v>
      </c>
      <c r="AI31" s="10"/>
      <c r="AJ31" s="23">
        <f t="shared" si="11"/>
        <v>4.7830191500835975</v>
      </c>
      <c r="AK31" s="10"/>
      <c r="AL31" s="23">
        <f t="shared" si="12"/>
        <v>1.8146292461752056</v>
      </c>
      <c r="AM31" s="10"/>
      <c r="AN31" s="23">
        <f t="shared" si="13"/>
        <v>1.8194922433970966</v>
      </c>
      <c r="AO31" s="10">
        <v>100</v>
      </c>
      <c r="AP31" s="23">
        <f t="shared" si="14"/>
        <v>0.13311103657114914</v>
      </c>
      <c r="AQ31" s="10"/>
      <c r="AR31" s="17">
        <f t="shared" si="15"/>
        <v>2.137562919056762</v>
      </c>
      <c r="AS31" s="23"/>
      <c r="AT31" s="23">
        <f>(AT14/($F$25*60*0.0283))*((21-7)/(21-$F$26))*1000000</f>
        <v>306.9698857516338</v>
      </c>
      <c r="AU31" s="23"/>
      <c r="AV31" s="23">
        <f>(AV14/($F$25*60*0.0283))*((21-7)/(21-$F$26))*1000000</f>
        <v>299.8310511992703</v>
      </c>
      <c r="AW31" s="23"/>
      <c r="AX31" s="23">
        <f>(AX14/($F$25*60*0.0283))*((21-7)/(21-$F$26))*1000000</f>
        <v>306.9698857516338</v>
      </c>
      <c r="AY31" s="23"/>
      <c r="AZ31" s="23">
        <f>(AZ14/($F$25*60*0.0283))*((21-7)/(21-$F$26))*1000000</f>
        <v>306.9698857516338</v>
      </c>
      <c r="BA31" s="23"/>
      <c r="BB31" s="23">
        <f>AVERAGE(AZ31,AX31,AV31,AT31)</f>
        <v>305.1851771135429</v>
      </c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">
        <f t="shared" si="16"/>
        <v>0</v>
      </c>
      <c r="BN31" s="23">
        <f t="shared" si="17"/>
        <v>316.67870074284826</v>
      </c>
      <c r="BO31" s="2">
        <f t="shared" si="16"/>
        <v>0</v>
      </c>
      <c r="BP31" s="23">
        <f t="shared" si="17"/>
        <v>305.97287326324795</v>
      </c>
      <c r="BQ31" s="2">
        <f t="shared" si="16"/>
        <v>0</v>
      </c>
      <c r="BR31" s="23">
        <f t="shared" si="17"/>
        <v>316.0673469686193</v>
      </c>
      <c r="BS31" s="2">
        <f t="shared" si="16"/>
        <v>0.04319805641408434</v>
      </c>
      <c r="BT31" s="23">
        <f t="shared" si="17"/>
        <v>308.14126287345994</v>
      </c>
      <c r="BU31" s="2">
        <f>SUM((AR31*AQ31/100),(AH31*AG31/100))/BV31*100</f>
        <v>0</v>
      </c>
      <c r="BV31" s="23">
        <f t="shared" si="18"/>
        <v>311.7150459620438</v>
      </c>
      <c r="BW31" s="23"/>
      <c r="BX31" s="23"/>
      <c r="BY31" s="23"/>
      <c r="BZ31" s="23"/>
    </row>
    <row r="32" spans="2:74" ht="12.75">
      <c r="B32" s="7" t="s">
        <v>197</v>
      </c>
      <c r="D32" s="7" t="s">
        <v>79</v>
      </c>
      <c r="E32" s="10" t="s">
        <v>40</v>
      </c>
      <c r="F32" s="23">
        <f t="shared" si="19"/>
        <v>3.1410872030399744</v>
      </c>
      <c r="G32" s="10" t="s">
        <v>40</v>
      </c>
      <c r="H32" s="23">
        <f t="shared" si="19"/>
        <v>3.070911031988809</v>
      </c>
      <c r="I32" s="10" t="s">
        <v>40</v>
      </c>
      <c r="J32" s="23">
        <f t="shared" si="1"/>
        <v>3.079140719595087</v>
      </c>
      <c r="K32" s="10"/>
      <c r="L32" s="23">
        <f t="shared" si="2"/>
        <v>2.196332103423961</v>
      </c>
      <c r="M32" s="10"/>
      <c r="N32" s="17">
        <f t="shared" si="3"/>
        <v>2.8718677645119577</v>
      </c>
      <c r="O32" s="10" t="s">
        <v>40</v>
      </c>
      <c r="P32" s="23">
        <f t="shared" si="4"/>
        <v>1.5705436015199872</v>
      </c>
      <c r="Q32" s="10" t="s">
        <v>40</v>
      </c>
      <c r="R32" s="23">
        <f t="shared" si="5"/>
        <v>1.6052489485396046</v>
      </c>
      <c r="S32" s="10" t="s">
        <v>40</v>
      </c>
      <c r="T32" s="23">
        <f t="shared" si="6"/>
        <v>1.6095508306974318</v>
      </c>
      <c r="U32" s="10"/>
      <c r="V32" s="23">
        <f t="shared" si="7"/>
        <v>1.3311103657114913</v>
      </c>
      <c r="W32" s="10"/>
      <c r="X32" s="17">
        <f t="shared" si="8"/>
        <v>1.5291134366171288</v>
      </c>
      <c r="Y32" s="58">
        <v>100</v>
      </c>
      <c r="Z32" s="17">
        <f t="shared" si="9"/>
        <v>4.711630804559961</v>
      </c>
      <c r="AA32" s="58">
        <v>100</v>
      </c>
      <c r="AB32" s="17">
        <f t="shared" si="10"/>
        <v>4.676159980528414</v>
      </c>
      <c r="AC32" s="58">
        <v>100</v>
      </c>
      <c r="AD32" s="17">
        <f t="shared" si="10"/>
        <v>4.688691550292519</v>
      </c>
      <c r="AE32" s="17"/>
      <c r="AF32" s="17">
        <f t="shared" si="10"/>
        <v>3.527442469135452</v>
      </c>
      <c r="AG32" s="58">
        <f>SUM(Z32,AB32,AD32)/(AH32*4)*100</f>
        <v>79.96218168217536</v>
      </c>
      <c r="AH32" s="17">
        <f>AVERAGE(AF32,AD32,AB32,Z32)</f>
        <v>4.4009812011290865</v>
      </c>
      <c r="AI32" s="10">
        <v>100</v>
      </c>
      <c r="AJ32" s="23">
        <f t="shared" si="11"/>
        <v>1.5705436015199872</v>
      </c>
      <c r="AK32" s="10">
        <v>100</v>
      </c>
      <c r="AL32" s="23">
        <f t="shared" si="12"/>
        <v>1.5354555159944046</v>
      </c>
      <c r="AM32" s="10">
        <v>100</v>
      </c>
      <c r="AN32" s="23">
        <f t="shared" si="13"/>
        <v>1.6095508306974318</v>
      </c>
      <c r="AO32" s="10">
        <v>100</v>
      </c>
      <c r="AP32" s="23">
        <f t="shared" si="14"/>
        <v>0.5457552499417115</v>
      </c>
      <c r="AQ32" s="10">
        <v>100</v>
      </c>
      <c r="AR32" s="17">
        <f t="shared" si="15"/>
        <v>1.3153262995383839</v>
      </c>
      <c r="BM32" s="2">
        <f t="shared" si="16"/>
        <v>100</v>
      </c>
      <c r="BN32" s="23">
        <f t="shared" si="17"/>
        <v>6.282174406079949</v>
      </c>
      <c r="BO32" s="2">
        <f t="shared" si="16"/>
        <v>100.00000000000003</v>
      </c>
      <c r="BP32" s="23">
        <f t="shared" si="17"/>
        <v>6.211615496522818</v>
      </c>
      <c r="BQ32" s="2">
        <f t="shared" si="16"/>
        <v>100</v>
      </c>
      <c r="BR32" s="23">
        <f t="shared" si="17"/>
        <v>6.298242380989951</v>
      </c>
      <c r="BS32" s="2">
        <f t="shared" si="16"/>
        <v>13.398692810457518</v>
      </c>
      <c r="BT32" s="23">
        <f t="shared" si="17"/>
        <v>4.0731977190771635</v>
      </c>
      <c r="BU32" s="2">
        <f t="shared" si="16"/>
        <v>84.5728975010373</v>
      </c>
      <c r="BV32" s="23">
        <f t="shared" si="18"/>
        <v>5.716307500667471</v>
      </c>
    </row>
    <row r="33" spans="2:74" ht="12.75">
      <c r="B33" s="7" t="s">
        <v>198</v>
      </c>
      <c r="D33" s="7" t="s">
        <v>79</v>
      </c>
      <c r="E33" s="10" t="s">
        <v>40</v>
      </c>
      <c r="F33" s="23">
        <f t="shared" si="19"/>
        <v>3.426640585134517</v>
      </c>
      <c r="G33" s="10" t="s">
        <v>40</v>
      </c>
      <c r="H33" s="23">
        <f t="shared" si="19"/>
        <v>3.48967162726001</v>
      </c>
      <c r="I33" s="10" t="s">
        <v>40</v>
      </c>
      <c r="J33" s="23">
        <f t="shared" si="1"/>
        <v>3.429043074094528</v>
      </c>
      <c r="K33" s="10" t="s">
        <v>40</v>
      </c>
      <c r="L33" s="23">
        <f t="shared" si="2"/>
        <v>1.7969989937105137</v>
      </c>
      <c r="M33" s="10"/>
      <c r="N33" s="17">
        <f t="shared" si="3"/>
        <v>3.0355885700498924</v>
      </c>
      <c r="O33" s="10" t="s">
        <v>40</v>
      </c>
      <c r="P33" s="23">
        <f t="shared" si="4"/>
        <v>1.7847086380908943</v>
      </c>
      <c r="Q33" s="10" t="s">
        <v>40</v>
      </c>
      <c r="R33" s="23">
        <f t="shared" si="5"/>
        <v>1.8146292461752056</v>
      </c>
      <c r="S33" s="10" t="s">
        <v>40</v>
      </c>
      <c r="T33" s="23">
        <f t="shared" si="6"/>
        <v>1.8194922433970966</v>
      </c>
      <c r="U33" s="10" t="s">
        <v>40</v>
      </c>
      <c r="V33" s="23">
        <f t="shared" si="7"/>
        <v>1.0648882925691932</v>
      </c>
      <c r="W33" s="10"/>
      <c r="X33" s="17">
        <f t="shared" si="8"/>
        <v>1.6209296050580972</v>
      </c>
      <c r="Y33" s="58">
        <v>100</v>
      </c>
      <c r="Z33" s="17">
        <f t="shared" si="9"/>
        <v>5.211349223225412</v>
      </c>
      <c r="AA33" s="58">
        <v>100</v>
      </c>
      <c r="AB33" s="17">
        <f t="shared" si="10"/>
        <v>5.304300873435215</v>
      </c>
      <c r="AC33" s="58">
        <v>100</v>
      </c>
      <c r="AD33" s="17">
        <f t="shared" si="10"/>
        <v>5.2485353174916245</v>
      </c>
      <c r="AE33" s="10">
        <v>100</v>
      </c>
      <c r="AF33" s="17">
        <f t="shared" si="10"/>
        <v>2.861887286279707</v>
      </c>
      <c r="AG33" s="2">
        <v>100</v>
      </c>
      <c r="AH33" s="17">
        <f t="shared" si="10"/>
        <v>4.65651817510799</v>
      </c>
      <c r="AI33" s="10">
        <v>100</v>
      </c>
      <c r="AJ33" s="23">
        <f t="shared" si="11"/>
        <v>1.7847086380908943</v>
      </c>
      <c r="AK33" s="10">
        <v>100</v>
      </c>
      <c r="AL33" s="23">
        <f t="shared" si="12"/>
        <v>1.744835813630005</v>
      </c>
      <c r="AM33" s="10">
        <v>100</v>
      </c>
      <c r="AN33" s="23">
        <f t="shared" si="13"/>
        <v>1.7495117724972082</v>
      </c>
      <c r="AO33" s="10">
        <v>100</v>
      </c>
      <c r="AP33" s="23">
        <f t="shared" si="14"/>
        <v>0.6655551828557457</v>
      </c>
      <c r="AQ33" s="10">
        <v>100</v>
      </c>
      <c r="AR33" s="17">
        <f t="shared" si="15"/>
        <v>1.4861528517684632</v>
      </c>
      <c r="BM33" s="2">
        <f t="shared" si="16"/>
        <v>99.99999999999999</v>
      </c>
      <c r="BN33" s="23">
        <f t="shared" si="17"/>
        <v>6.996057861316306</v>
      </c>
      <c r="BO33" s="2">
        <f t="shared" si="16"/>
        <v>99.99999999999999</v>
      </c>
      <c r="BP33" s="23">
        <f t="shared" si="17"/>
        <v>7.0491366870652215</v>
      </c>
      <c r="BQ33" s="2">
        <f t="shared" si="16"/>
        <v>100</v>
      </c>
      <c r="BR33" s="23">
        <f t="shared" si="17"/>
        <v>6.998047089988833</v>
      </c>
      <c r="BS33" s="2">
        <f t="shared" si="16"/>
        <v>100</v>
      </c>
      <c r="BT33" s="23">
        <f t="shared" si="17"/>
        <v>3.5274424691354525</v>
      </c>
      <c r="BU33" s="2">
        <f t="shared" si="16"/>
        <v>100</v>
      </c>
      <c r="BV33" s="23">
        <f t="shared" si="18"/>
        <v>6.142671026876453</v>
      </c>
    </row>
    <row r="34" spans="2:74" ht="12.75">
      <c r="B34" s="7" t="s">
        <v>199</v>
      </c>
      <c r="D34" s="7" t="s">
        <v>79</v>
      </c>
      <c r="E34" s="10" t="s">
        <v>40</v>
      </c>
      <c r="F34" s="23">
        <f t="shared" si="19"/>
        <v>1.4277669104727155</v>
      </c>
      <c r="G34" s="10" t="s">
        <v>40</v>
      </c>
      <c r="H34" s="23">
        <f t="shared" si="19"/>
        <v>1.3958686509040041</v>
      </c>
      <c r="I34" s="10" t="s">
        <v>40</v>
      </c>
      <c r="J34" s="23">
        <f t="shared" si="1"/>
        <v>1.3996094179977667</v>
      </c>
      <c r="K34" s="10" t="s">
        <v>40</v>
      </c>
      <c r="L34" s="23">
        <f t="shared" si="2"/>
        <v>0.5324441462845966</v>
      </c>
      <c r="M34" s="10"/>
      <c r="N34" s="17">
        <f t="shared" si="3"/>
        <v>1.1889222814147709</v>
      </c>
      <c r="O34" s="10"/>
      <c r="P34" s="23">
        <f t="shared" si="4"/>
        <v>10.708251828545366</v>
      </c>
      <c r="Q34" s="10"/>
      <c r="R34" s="23">
        <f t="shared" si="5"/>
        <v>1.326075218358804</v>
      </c>
      <c r="S34" s="10" t="s">
        <v>40</v>
      </c>
      <c r="T34" s="23">
        <f t="shared" si="6"/>
        <v>0.7697851798987717</v>
      </c>
      <c r="U34" s="10" t="s">
        <v>40</v>
      </c>
      <c r="V34" s="23">
        <f t="shared" si="7"/>
        <v>0.34608869508498774</v>
      </c>
      <c r="W34" s="10"/>
      <c r="X34" s="17">
        <f t="shared" si="8"/>
        <v>3.2875502304719824</v>
      </c>
      <c r="Y34" s="58">
        <f>F34/Z34*100</f>
        <v>11.76470588235294</v>
      </c>
      <c r="Z34" s="17">
        <f t="shared" si="9"/>
        <v>12.136018739018082</v>
      </c>
      <c r="AA34" s="58">
        <f>R34/AB34*100</f>
        <v>48.71794871794872</v>
      </c>
      <c r="AB34" s="17">
        <f t="shared" si="10"/>
        <v>2.721943869262808</v>
      </c>
      <c r="AC34" s="58">
        <v>100</v>
      </c>
      <c r="AD34" s="17">
        <f t="shared" si="10"/>
        <v>2.1693945978965385</v>
      </c>
      <c r="AE34" s="10">
        <v>100</v>
      </c>
      <c r="AF34" s="17">
        <f t="shared" si="10"/>
        <v>0.8785328413695843</v>
      </c>
      <c r="AG34" s="2">
        <f>SUM(AD34,(AB34*AA34/100),AF34,(Z34*Y34/100))/AH34*100/4</f>
        <v>32.40145869706402</v>
      </c>
      <c r="AH34" s="17">
        <f t="shared" si="10"/>
        <v>4.476472511886753</v>
      </c>
      <c r="AI34" s="10"/>
      <c r="AJ34" s="23">
        <f t="shared" si="11"/>
        <v>3.069698857516338</v>
      </c>
      <c r="AK34" s="10"/>
      <c r="AL34" s="23">
        <f t="shared" si="12"/>
        <v>13.95868650904004</v>
      </c>
      <c r="AM34" s="10"/>
      <c r="AN34" s="23">
        <f t="shared" si="13"/>
        <v>3.988886841293635</v>
      </c>
      <c r="AO34" s="10">
        <v>100</v>
      </c>
      <c r="AP34" s="23">
        <f t="shared" si="14"/>
        <v>0.22628876217095353</v>
      </c>
      <c r="AQ34" s="10">
        <f>AP34/AR34/4*100</f>
        <v>1.065211065556728</v>
      </c>
      <c r="AR34" s="17">
        <f t="shared" si="15"/>
        <v>5.310890242505242</v>
      </c>
      <c r="BM34" s="2">
        <f t="shared" si="16"/>
        <v>9.389671361502348</v>
      </c>
      <c r="BN34" s="23">
        <f t="shared" si="17"/>
        <v>15.20571759653442</v>
      </c>
      <c r="BO34" s="2">
        <f t="shared" si="16"/>
        <v>7.949790794979079</v>
      </c>
      <c r="BP34" s="23">
        <f t="shared" si="17"/>
        <v>16.680630378302848</v>
      </c>
      <c r="BQ34" s="2">
        <f t="shared" si="16"/>
        <v>35.22727272727273</v>
      </c>
      <c r="BR34" s="23">
        <f t="shared" si="17"/>
        <v>6.158281439190174</v>
      </c>
      <c r="BS34" s="2">
        <f t="shared" si="16"/>
        <v>100</v>
      </c>
      <c r="BT34" s="23">
        <f t="shared" si="17"/>
        <v>1.1048216035405378</v>
      </c>
      <c r="BU34" s="2">
        <f t="shared" si="16"/>
        <v>15.39755519831825</v>
      </c>
      <c r="BV34" s="23">
        <f t="shared" si="18"/>
        <v>9.787362754391994</v>
      </c>
    </row>
    <row r="35" spans="2:74" ht="12.75">
      <c r="B35" s="7" t="s">
        <v>200</v>
      </c>
      <c r="D35" s="7" t="s">
        <v>79</v>
      </c>
      <c r="E35" s="10"/>
      <c r="F35" s="23">
        <f t="shared" si="19"/>
        <v>0.2855533820945431</v>
      </c>
      <c r="G35" s="10"/>
      <c r="H35" s="23">
        <f t="shared" si="19"/>
        <v>0.2791737301808008</v>
      </c>
      <c r="I35" s="10" t="s">
        <v>40</v>
      </c>
      <c r="J35" s="23">
        <f t="shared" si="1"/>
        <v>0.27992188359955333</v>
      </c>
      <c r="K35" s="10" t="s">
        <v>40</v>
      </c>
      <c r="L35" s="23">
        <f t="shared" si="2"/>
        <v>0.13311103657114914</v>
      </c>
      <c r="M35" s="10"/>
      <c r="N35" s="17">
        <f t="shared" si="3"/>
        <v>0.24444000811151162</v>
      </c>
      <c r="O35" s="10"/>
      <c r="P35" s="23">
        <f t="shared" si="4"/>
        <v>0.9994368373309008</v>
      </c>
      <c r="Q35" s="10" t="s">
        <v>40</v>
      </c>
      <c r="R35" s="23">
        <f t="shared" si="5"/>
        <v>0.1395868650904004</v>
      </c>
      <c r="S35" s="10" t="s">
        <v>40</v>
      </c>
      <c r="T35" s="23">
        <f t="shared" si="6"/>
        <v>0.13996094179977667</v>
      </c>
      <c r="U35" s="10" t="s">
        <v>40</v>
      </c>
      <c r="V35" s="23">
        <f t="shared" si="7"/>
        <v>0.1996665548567237</v>
      </c>
      <c r="W35" s="10"/>
      <c r="X35" s="17">
        <f t="shared" si="8"/>
        <v>0.3696627997694504</v>
      </c>
      <c r="Y35" s="58">
        <f>R35/AB35*100</f>
        <v>33.33333333333333</v>
      </c>
      <c r="Z35" s="17">
        <f t="shared" si="9"/>
        <v>1.284990219425444</v>
      </c>
      <c r="AA35" s="58"/>
      <c r="AB35" s="17">
        <f t="shared" si="10"/>
        <v>0.41876059527120124</v>
      </c>
      <c r="AC35" s="58">
        <v>100</v>
      </c>
      <c r="AD35" s="17">
        <f t="shared" si="10"/>
        <v>0.41988282539933</v>
      </c>
      <c r="AE35" s="10">
        <v>100</v>
      </c>
      <c r="AF35" s="17">
        <f t="shared" si="10"/>
        <v>0.33277759142787283</v>
      </c>
      <c r="AG35" s="2">
        <f>SUM(AF35,AD35,(Z35*Y35/100))/AH35/4*100</f>
        <v>48.07788186330607</v>
      </c>
      <c r="AH35" s="17">
        <f t="shared" si="10"/>
        <v>0.614102807880962</v>
      </c>
      <c r="AI35" s="10">
        <v>100</v>
      </c>
      <c r="AJ35" s="23">
        <f t="shared" si="11"/>
        <v>0.14277669104727156</v>
      </c>
      <c r="AK35" s="10">
        <v>100</v>
      </c>
      <c r="AL35" s="23">
        <f t="shared" si="12"/>
        <v>0.8375211905424025</v>
      </c>
      <c r="AM35" s="10">
        <v>100</v>
      </c>
      <c r="AN35" s="23">
        <f t="shared" si="13"/>
        <v>0.41988282539933</v>
      </c>
      <c r="AO35" s="10">
        <v>100</v>
      </c>
      <c r="AP35" s="23">
        <f t="shared" si="14"/>
        <v>0.0465888627999022</v>
      </c>
      <c r="AQ35" s="10">
        <v>100</v>
      </c>
      <c r="AR35" s="17">
        <f t="shared" si="15"/>
        <v>0.36169239244722656</v>
      </c>
      <c r="BM35" s="2">
        <f t="shared" si="16"/>
        <v>39.99999999999999</v>
      </c>
      <c r="BN35" s="23">
        <f t="shared" si="17"/>
        <v>1.4277669104727155</v>
      </c>
      <c r="BO35" s="2">
        <f t="shared" si="16"/>
        <v>66.66666666666666</v>
      </c>
      <c r="BP35" s="23">
        <f t="shared" si="17"/>
        <v>1.2562817858136037</v>
      </c>
      <c r="BQ35" s="2">
        <f t="shared" si="16"/>
        <v>100</v>
      </c>
      <c r="BR35" s="23">
        <f t="shared" si="17"/>
        <v>0.83976565079866</v>
      </c>
      <c r="BS35" s="2">
        <f t="shared" si="16"/>
        <v>100</v>
      </c>
      <c r="BT35" s="23">
        <f t="shared" si="17"/>
        <v>0.37936645422777504</v>
      </c>
      <c r="BU35" s="2">
        <f t="shared" si="16"/>
        <v>67.32355464738221</v>
      </c>
      <c r="BV35" s="23">
        <f t="shared" si="18"/>
        <v>0.9757952003281887</v>
      </c>
    </row>
    <row r="36" spans="2:74" ht="12.75">
      <c r="B36" s="7" t="s">
        <v>201</v>
      </c>
      <c r="D36" s="7" t="s">
        <v>79</v>
      </c>
      <c r="E36" s="10"/>
      <c r="F36" s="23">
        <f t="shared" si="19"/>
        <v>2.855533820945431</v>
      </c>
      <c r="G36" s="10"/>
      <c r="H36" s="23">
        <f t="shared" si="19"/>
        <v>2.0938029763560064</v>
      </c>
      <c r="I36" s="10"/>
      <c r="J36" s="23">
        <f t="shared" si="1"/>
        <v>1.889472714296985</v>
      </c>
      <c r="K36" s="10" t="s">
        <v>40</v>
      </c>
      <c r="L36" s="23">
        <f t="shared" si="2"/>
        <v>0.13311103657114914</v>
      </c>
      <c r="M36" s="10"/>
      <c r="N36" s="17">
        <f t="shared" si="3"/>
        <v>1.742980137042393</v>
      </c>
      <c r="O36" s="10"/>
      <c r="P36" s="23">
        <f t="shared" si="4"/>
        <v>2.213038711232709</v>
      </c>
      <c r="Q36" s="10"/>
      <c r="R36" s="23">
        <f t="shared" si="5"/>
        <v>0.6281408929068018</v>
      </c>
      <c r="S36" s="10"/>
      <c r="T36" s="23">
        <f t="shared" si="6"/>
        <v>0.48986329629921843</v>
      </c>
      <c r="U36" s="10" t="s">
        <v>40</v>
      </c>
      <c r="V36" s="23">
        <f t="shared" si="7"/>
        <v>0.1996665548567237</v>
      </c>
      <c r="W36" s="10"/>
      <c r="X36" s="17">
        <f t="shared" si="8"/>
        <v>0.8826773638238632</v>
      </c>
      <c r="Y36" s="58"/>
      <c r="Z36" s="17">
        <f t="shared" si="9"/>
        <v>5.068572532178139</v>
      </c>
      <c r="AA36" s="58"/>
      <c r="AB36" s="17">
        <f t="shared" si="10"/>
        <v>2.721943869262808</v>
      </c>
      <c r="AC36" s="17"/>
      <c r="AD36" s="17">
        <f t="shared" si="10"/>
        <v>2.3793360105962034</v>
      </c>
      <c r="AE36" s="10">
        <v>100</v>
      </c>
      <c r="AF36" s="17">
        <f t="shared" si="10"/>
        <v>0.33277759142787283</v>
      </c>
      <c r="AG36" s="2">
        <f>AF36/AH36*100/4</f>
        <v>3.168516755499174</v>
      </c>
      <c r="AH36" s="17">
        <f t="shared" si="10"/>
        <v>2.6256575008662564</v>
      </c>
      <c r="AI36" s="10"/>
      <c r="AJ36" s="23">
        <f t="shared" si="11"/>
        <v>1.5705436015199872</v>
      </c>
      <c r="AK36" s="10"/>
      <c r="AL36" s="23">
        <f t="shared" si="12"/>
        <v>2.5823570041724078</v>
      </c>
      <c r="AM36" s="10"/>
      <c r="AN36" s="23">
        <f t="shared" si="13"/>
        <v>1.9594531851968737</v>
      </c>
      <c r="AO36" s="10">
        <v>100</v>
      </c>
      <c r="AP36" s="23">
        <f t="shared" si="14"/>
        <v>0.0465888627999022</v>
      </c>
      <c r="AQ36" s="10">
        <f>AP36/AR36/4*100</f>
        <v>0.7564425489819383</v>
      </c>
      <c r="AR36" s="17">
        <f t="shared" si="15"/>
        <v>1.5397356634222927</v>
      </c>
      <c r="BM36" s="2">
        <f t="shared" si="16"/>
        <v>0</v>
      </c>
      <c r="BN36" s="23">
        <f t="shared" si="17"/>
        <v>6.639116133698127</v>
      </c>
      <c r="BO36" s="2">
        <f t="shared" si="16"/>
        <v>0</v>
      </c>
      <c r="BP36" s="23">
        <f t="shared" si="17"/>
        <v>5.304300873435215</v>
      </c>
      <c r="BQ36" s="2">
        <f t="shared" si="16"/>
        <v>0</v>
      </c>
      <c r="BR36" s="23">
        <f t="shared" si="17"/>
        <v>4.338789195793077</v>
      </c>
      <c r="BS36" s="2">
        <f t="shared" si="16"/>
        <v>100</v>
      </c>
      <c r="BT36" s="23">
        <f t="shared" si="17"/>
        <v>0.37936645422777504</v>
      </c>
      <c r="BU36" s="2">
        <f t="shared" si="16"/>
        <v>2.2768946367429583</v>
      </c>
      <c r="BV36" s="23">
        <f t="shared" si="18"/>
        <v>4.165393164288549</v>
      </c>
    </row>
    <row r="37" spans="2:74" ht="12.75">
      <c r="B37" s="7" t="s">
        <v>202</v>
      </c>
      <c r="D37" s="7" t="s">
        <v>79</v>
      </c>
      <c r="E37" s="10"/>
      <c r="F37" s="23">
        <f t="shared" si="19"/>
        <v>9.994368373309007</v>
      </c>
      <c r="G37" s="10"/>
      <c r="H37" s="23">
        <f t="shared" si="19"/>
        <v>5.374094305980416</v>
      </c>
      <c r="I37" s="10"/>
      <c r="J37" s="23">
        <f t="shared" si="1"/>
        <v>6.998047089988833</v>
      </c>
      <c r="K37" s="10" t="s">
        <v>40</v>
      </c>
      <c r="L37" s="23">
        <f t="shared" si="2"/>
        <v>1.3311103657114913</v>
      </c>
      <c r="M37" s="10"/>
      <c r="N37" s="17">
        <f t="shared" si="3"/>
        <v>5.924405033747437</v>
      </c>
      <c r="O37" s="10"/>
      <c r="P37" s="23">
        <f t="shared" si="4"/>
        <v>10.708251828545366</v>
      </c>
      <c r="Q37" s="10"/>
      <c r="R37" s="23">
        <f t="shared" si="5"/>
        <v>1.6052489485396046</v>
      </c>
      <c r="S37" s="10" t="s">
        <v>40</v>
      </c>
      <c r="T37" s="23">
        <f t="shared" si="6"/>
        <v>1.3296289470978784</v>
      </c>
      <c r="U37" s="10" t="s">
        <v>40</v>
      </c>
      <c r="V37" s="23">
        <f t="shared" si="7"/>
        <v>0.7321107011413204</v>
      </c>
      <c r="W37" s="10"/>
      <c r="X37" s="17">
        <f t="shared" si="8"/>
        <v>3.593810106331042</v>
      </c>
      <c r="Y37" s="58"/>
      <c r="Z37" s="17">
        <f t="shared" si="9"/>
        <v>20.702620201854373</v>
      </c>
      <c r="AA37" s="58"/>
      <c r="AB37" s="17">
        <f t="shared" si="10"/>
        <v>6.97934325452002</v>
      </c>
      <c r="AC37" s="17"/>
      <c r="AD37" s="17">
        <f t="shared" si="10"/>
        <v>8.327676037086711</v>
      </c>
      <c r="AE37" s="10">
        <v>100</v>
      </c>
      <c r="AF37" s="17">
        <f t="shared" si="10"/>
        <v>2.0632210668528117</v>
      </c>
      <c r="AG37" s="2">
        <f>AF37/AH37*100/4</f>
        <v>5.41913855825022</v>
      </c>
      <c r="AH37" s="17">
        <f t="shared" si="10"/>
        <v>9.518215140078478</v>
      </c>
      <c r="AI37" s="10"/>
      <c r="AJ37" s="23">
        <f t="shared" si="11"/>
        <v>12.849902194254438</v>
      </c>
      <c r="AK37" s="10"/>
      <c r="AL37" s="23">
        <f t="shared" si="12"/>
        <v>20.938029763560063</v>
      </c>
      <c r="AM37" s="10"/>
      <c r="AN37" s="23">
        <f t="shared" si="13"/>
        <v>9.797265925984366</v>
      </c>
      <c r="AO37" s="10">
        <v>100</v>
      </c>
      <c r="AP37" s="23">
        <f t="shared" si="14"/>
        <v>0.4991663871418093</v>
      </c>
      <c r="AQ37" s="10">
        <f>AP37/AR37/4*100</f>
        <v>1.1322980276497883</v>
      </c>
      <c r="AR37" s="17">
        <f t="shared" si="15"/>
        <v>11.021091067735169</v>
      </c>
      <c r="BM37" s="2">
        <f t="shared" si="16"/>
        <v>0</v>
      </c>
      <c r="BN37" s="23">
        <f t="shared" si="17"/>
        <v>33.55252239610881</v>
      </c>
      <c r="BO37" s="2">
        <f t="shared" si="16"/>
        <v>0</v>
      </c>
      <c r="BP37" s="23">
        <f t="shared" si="17"/>
        <v>27.917373018080085</v>
      </c>
      <c r="BQ37" s="2">
        <f t="shared" si="16"/>
        <v>0</v>
      </c>
      <c r="BR37" s="23">
        <f t="shared" si="17"/>
        <v>18.124941963071077</v>
      </c>
      <c r="BS37" s="2">
        <f t="shared" si="16"/>
        <v>100</v>
      </c>
      <c r="BT37" s="23">
        <f t="shared" si="17"/>
        <v>2.5623874539946208</v>
      </c>
      <c r="BU37" s="2">
        <f t="shared" si="16"/>
        <v>3.1188826780086507</v>
      </c>
      <c r="BV37" s="23">
        <f t="shared" si="18"/>
        <v>20.53930620781365</v>
      </c>
    </row>
    <row r="38" spans="2:74" ht="12.75">
      <c r="B38" s="7" t="s">
        <v>203</v>
      </c>
      <c r="D38" s="7" t="s">
        <v>79</v>
      </c>
      <c r="E38" s="10"/>
      <c r="F38" s="23">
        <f t="shared" si="19"/>
        <v>0.2855533820945431</v>
      </c>
      <c r="G38" s="10"/>
      <c r="H38" s="23">
        <f t="shared" si="19"/>
        <v>0.2791737301808008</v>
      </c>
      <c r="I38" s="10"/>
      <c r="J38" s="23">
        <f t="shared" si="1"/>
        <v>0.27992188359955333</v>
      </c>
      <c r="K38" s="10" t="s">
        <v>40</v>
      </c>
      <c r="L38" s="23">
        <f t="shared" si="2"/>
        <v>0.13311103657114914</v>
      </c>
      <c r="M38" s="10"/>
      <c r="N38" s="17">
        <f t="shared" si="3"/>
        <v>0.24444000811151162</v>
      </c>
      <c r="O38" s="10" t="s">
        <v>40</v>
      </c>
      <c r="P38" s="23">
        <f t="shared" si="4"/>
        <v>0.06424951097127218</v>
      </c>
      <c r="Q38" s="10" t="s">
        <v>40</v>
      </c>
      <c r="R38" s="23">
        <f t="shared" si="5"/>
        <v>0.1395868650904004</v>
      </c>
      <c r="S38" s="10"/>
      <c r="T38" s="23">
        <f t="shared" si="6"/>
        <v>0.13996094179977667</v>
      </c>
      <c r="U38" s="10" t="s">
        <v>40</v>
      </c>
      <c r="V38" s="23">
        <f t="shared" si="7"/>
        <v>1.7304434754249391</v>
      </c>
      <c r="W38" s="10"/>
      <c r="X38" s="17">
        <f t="shared" si="8"/>
        <v>0.5185601983215972</v>
      </c>
      <c r="Y38" s="58">
        <f>P38/Z38*100</f>
        <v>18.367346938775505</v>
      </c>
      <c r="Z38" s="17">
        <f t="shared" si="9"/>
        <v>0.3498028930658153</v>
      </c>
      <c r="AA38" s="58">
        <f>R38/AB38*100</f>
        <v>33.33333333333333</v>
      </c>
      <c r="AB38" s="17">
        <f t="shared" si="10"/>
        <v>0.41876059527120124</v>
      </c>
      <c r="AC38" s="17"/>
      <c r="AD38" s="17">
        <f t="shared" si="10"/>
        <v>0.41988282539933</v>
      </c>
      <c r="AE38" s="10">
        <v>100</v>
      </c>
      <c r="AF38" s="17">
        <f t="shared" si="10"/>
        <v>1.8635545119960883</v>
      </c>
      <c r="AG38" s="2">
        <f>SUM(AF38,(AB38*AA38/100),(Z38*Y38/100))/AH38*100/4</f>
        <v>67.73887053459815</v>
      </c>
      <c r="AH38" s="17">
        <f t="shared" si="10"/>
        <v>0.7630002064331087</v>
      </c>
      <c r="AI38" s="10"/>
      <c r="AJ38" s="23">
        <f t="shared" si="11"/>
        <v>0.06424951097127218</v>
      </c>
      <c r="AK38" s="10"/>
      <c r="AL38" s="23">
        <f t="shared" si="12"/>
        <v>0.06281408929068018</v>
      </c>
      <c r="AM38" s="10"/>
      <c r="AN38" s="23">
        <f t="shared" si="13"/>
        <v>0.0629824238098995</v>
      </c>
      <c r="AO38" s="10">
        <v>100</v>
      </c>
      <c r="AP38" s="23">
        <f t="shared" si="14"/>
        <v>0.0465888627999022</v>
      </c>
      <c r="AQ38" s="10">
        <f>AP38/AR38/4*100</f>
        <v>19.688078717298925</v>
      </c>
      <c r="AR38" s="17">
        <f t="shared" si="15"/>
        <v>0.05915872171793851</v>
      </c>
      <c r="BM38" s="2">
        <f t="shared" si="16"/>
        <v>15.517241379310342</v>
      </c>
      <c r="BN38" s="23">
        <f t="shared" si="17"/>
        <v>0.4140524040370875</v>
      </c>
      <c r="BO38" s="2">
        <f t="shared" si="16"/>
        <v>28.985507246376805</v>
      </c>
      <c r="BP38" s="23">
        <f t="shared" si="17"/>
        <v>0.4815746845618814</v>
      </c>
      <c r="BQ38" s="2">
        <f t="shared" si="16"/>
        <v>0</v>
      </c>
      <c r="BR38" s="23">
        <f t="shared" si="17"/>
        <v>0.4828652492092295</v>
      </c>
      <c r="BS38" s="2">
        <f t="shared" si="16"/>
        <v>100</v>
      </c>
      <c r="BT38" s="23">
        <f t="shared" si="17"/>
        <v>1.9101433747959906</v>
      </c>
      <c r="BU38" s="2">
        <f t="shared" si="16"/>
        <v>64.28135967615745</v>
      </c>
      <c r="BV38" s="23">
        <f t="shared" si="18"/>
        <v>0.8221589281510473</v>
      </c>
    </row>
    <row r="39" spans="2:74" ht="12.75">
      <c r="B39" s="7" t="s">
        <v>204</v>
      </c>
      <c r="D39" s="7" t="s">
        <v>79</v>
      </c>
      <c r="E39" s="10"/>
      <c r="F39" s="23">
        <f t="shared" si="19"/>
        <v>7.138834552363577</v>
      </c>
      <c r="G39" s="10"/>
      <c r="H39" s="23">
        <f t="shared" si="19"/>
        <v>5.513681171070816</v>
      </c>
      <c r="I39" s="10"/>
      <c r="J39" s="23">
        <f t="shared" si="1"/>
        <v>5.528457201091179</v>
      </c>
      <c r="K39" s="10" t="s">
        <v>40</v>
      </c>
      <c r="L39" s="23">
        <f t="shared" si="2"/>
        <v>0.7321107011413204</v>
      </c>
      <c r="M39" s="10"/>
      <c r="N39" s="17">
        <f t="shared" si="3"/>
        <v>4.728270906416723</v>
      </c>
      <c r="O39" s="10"/>
      <c r="P39" s="23">
        <f t="shared" si="4"/>
        <v>3.6408056217054248</v>
      </c>
      <c r="Q39" s="10"/>
      <c r="R39" s="23">
        <f t="shared" si="5"/>
        <v>2.721943869262808</v>
      </c>
      <c r="S39" s="10"/>
      <c r="T39" s="23">
        <f t="shared" si="6"/>
        <v>2.6592578941957568</v>
      </c>
      <c r="U39" s="10" t="s">
        <v>40</v>
      </c>
      <c r="V39" s="23">
        <f t="shared" si="7"/>
        <v>0.40598866154200486</v>
      </c>
      <c r="W39" s="10"/>
      <c r="X39" s="17">
        <f t="shared" si="8"/>
        <v>2.3569990116764985</v>
      </c>
      <c r="Y39" s="58"/>
      <c r="Z39" s="17">
        <f t="shared" si="9"/>
        <v>10.779640174069002</v>
      </c>
      <c r="AA39" s="58"/>
      <c r="AB39" s="17">
        <f t="shared" si="10"/>
        <v>8.235625040333623</v>
      </c>
      <c r="AC39" s="17"/>
      <c r="AD39" s="17">
        <f t="shared" si="10"/>
        <v>8.187715095286936</v>
      </c>
      <c r="AE39" s="10">
        <v>100</v>
      </c>
      <c r="AF39" s="17">
        <f t="shared" si="10"/>
        <v>1.1380993626833251</v>
      </c>
      <c r="AG39" s="2">
        <f>AF39/AH39*100/4</f>
        <v>4.015723380477822</v>
      </c>
      <c r="AH39" s="17">
        <f t="shared" si="10"/>
        <v>7.085269918093221</v>
      </c>
      <c r="AI39" s="10"/>
      <c r="AJ39" s="23">
        <f t="shared" si="11"/>
        <v>2.569980438850888</v>
      </c>
      <c r="AK39" s="10"/>
      <c r="AL39" s="23">
        <f t="shared" si="12"/>
        <v>4.606366547983214</v>
      </c>
      <c r="AM39" s="10"/>
      <c r="AN39" s="23">
        <f t="shared" si="13"/>
        <v>4.128847783093411</v>
      </c>
      <c r="AO39" s="10">
        <v>100</v>
      </c>
      <c r="AP39" s="23">
        <f t="shared" si="14"/>
        <v>0.2662220731422983</v>
      </c>
      <c r="AQ39" s="10">
        <f>AP39/AR39/4*100</f>
        <v>2.300686914599747</v>
      </c>
      <c r="AR39" s="17">
        <f t="shared" si="15"/>
        <v>2.8928542107674526</v>
      </c>
      <c r="BM39" s="2">
        <f t="shared" si="16"/>
        <v>0</v>
      </c>
      <c r="BN39" s="23">
        <f t="shared" si="17"/>
        <v>13.349620612919889</v>
      </c>
      <c r="BO39" s="2">
        <f t="shared" si="16"/>
        <v>0</v>
      </c>
      <c r="BP39" s="23">
        <f t="shared" si="17"/>
        <v>12.841991588316837</v>
      </c>
      <c r="BQ39" s="2">
        <f t="shared" si="16"/>
        <v>0</v>
      </c>
      <c r="BR39" s="23">
        <f t="shared" si="17"/>
        <v>12.316562878380346</v>
      </c>
      <c r="BS39" s="2">
        <f t="shared" si="16"/>
        <v>100</v>
      </c>
      <c r="BT39" s="23">
        <f t="shared" si="17"/>
        <v>1.4043214358256235</v>
      </c>
      <c r="BU39" s="2">
        <f t="shared" si="16"/>
        <v>3.5185006161723607</v>
      </c>
      <c r="BV39" s="23">
        <f t="shared" si="18"/>
        <v>9.978124128860674</v>
      </c>
    </row>
    <row r="40" spans="2:74" ht="12.75">
      <c r="B40" s="7" t="s">
        <v>205</v>
      </c>
      <c r="D40" s="7" t="s">
        <v>79</v>
      </c>
      <c r="E40" s="10" t="s">
        <v>40</v>
      </c>
      <c r="F40" s="23">
        <f t="shared" si="19"/>
        <v>12.849902194254438</v>
      </c>
      <c r="G40" s="10" t="s">
        <v>40</v>
      </c>
      <c r="H40" s="23">
        <f t="shared" si="19"/>
        <v>12.562817858136038</v>
      </c>
      <c r="I40" s="10" t="s">
        <v>40</v>
      </c>
      <c r="J40" s="23">
        <f t="shared" si="1"/>
        <v>12.5964847619799</v>
      </c>
      <c r="K40" s="10" t="s">
        <v>40</v>
      </c>
      <c r="L40" s="23">
        <f t="shared" si="2"/>
        <v>1.5307769205682151</v>
      </c>
      <c r="M40" s="10"/>
      <c r="N40" s="17">
        <f t="shared" si="3"/>
        <v>9.884995433734648</v>
      </c>
      <c r="O40" s="10" t="s">
        <v>40</v>
      </c>
      <c r="P40" s="23">
        <f t="shared" si="4"/>
        <v>6.353562751603583</v>
      </c>
      <c r="Q40" s="10" t="s">
        <v>40</v>
      </c>
      <c r="R40" s="23">
        <f t="shared" si="5"/>
        <v>6.420995794158419</v>
      </c>
      <c r="S40" s="10" t="s">
        <v>40</v>
      </c>
      <c r="T40" s="23">
        <f t="shared" si="6"/>
        <v>6.578164264589502</v>
      </c>
      <c r="U40" s="10" t="s">
        <v>40</v>
      </c>
      <c r="V40" s="23">
        <f t="shared" si="7"/>
        <v>0.9317772559980442</v>
      </c>
      <c r="W40" s="10"/>
      <c r="X40" s="17">
        <f t="shared" si="8"/>
        <v>5.071125016587387</v>
      </c>
      <c r="Y40" s="58">
        <v>100</v>
      </c>
      <c r="Z40" s="17">
        <f t="shared" si="9"/>
        <v>19.203464945858023</v>
      </c>
      <c r="AA40" s="58">
        <v>100</v>
      </c>
      <c r="AB40" s="17">
        <f t="shared" si="10"/>
        <v>18.983813652294458</v>
      </c>
      <c r="AC40" s="58">
        <v>100</v>
      </c>
      <c r="AD40" s="17">
        <f t="shared" si="10"/>
        <v>19.1746490265694</v>
      </c>
      <c r="AE40" s="10">
        <v>100</v>
      </c>
      <c r="AF40" s="17">
        <f t="shared" si="10"/>
        <v>2.4625541765662593</v>
      </c>
      <c r="AG40" s="2">
        <v>100</v>
      </c>
      <c r="AH40" s="17">
        <f t="shared" si="10"/>
        <v>14.956120450322036</v>
      </c>
      <c r="AI40" s="10">
        <v>100</v>
      </c>
      <c r="AJ40" s="23">
        <f t="shared" si="11"/>
        <v>6.496339442650855</v>
      </c>
      <c r="AK40" s="10">
        <v>100</v>
      </c>
      <c r="AL40" s="23">
        <f t="shared" si="12"/>
        <v>6.420995794158419</v>
      </c>
      <c r="AM40" s="10">
        <v>100</v>
      </c>
      <c r="AN40" s="23">
        <f t="shared" si="13"/>
        <v>6.438203322789727</v>
      </c>
      <c r="AO40" s="10">
        <v>100</v>
      </c>
      <c r="AP40" s="23">
        <f t="shared" si="14"/>
        <v>0.5923441127416136</v>
      </c>
      <c r="AQ40" s="10">
        <v>100</v>
      </c>
      <c r="AR40" s="17">
        <f t="shared" si="15"/>
        <v>4.986970668085154</v>
      </c>
      <c r="BM40" s="2">
        <f t="shared" si="16"/>
        <v>100.00000000000003</v>
      </c>
      <c r="BN40" s="23">
        <f t="shared" si="17"/>
        <v>25.699804388508877</v>
      </c>
      <c r="BO40" s="2">
        <f t="shared" si="16"/>
        <v>100.00000000000003</v>
      </c>
      <c r="BP40" s="23">
        <f t="shared" si="17"/>
        <v>25.404809446452873</v>
      </c>
      <c r="BQ40" s="2">
        <f t="shared" si="16"/>
        <v>100</v>
      </c>
      <c r="BR40" s="23">
        <f t="shared" si="17"/>
        <v>25.61285234935913</v>
      </c>
      <c r="BS40" s="2">
        <f t="shared" si="16"/>
        <v>100</v>
      </c>
      <c r="BT40" s="23">
        <f t="shared" si="17"/>
        <v>3.054898289307873</v>
      </c>
      <c r="BU40" s="2">
        <f t="shared" si="16"/>
        <v>100.00000000000003</v>
      </c>
      <c r="BV40" s="23">
        <f t="shared" si="18"/>
        <v>19.94309111840719</v>
      </c>
    </row>
    <row r="41" spans="2:74" ht="12.75">
      <c r="B41" s="7" t="s">
        <v>84</v>
      </c>
      <c r="D41" s="7" t="s">
        <v>79</v>
      </c>
      <c r="E41" s="10"/>
      <c r="F41" s="23">
        <f>F36+F37</f>
        <v>12.849902194254437</v>
      </c>
      <c r="G41" s="10"/>
      <c r="H41" s="23">
        <f>H36+H37</f>
        <v>7.467897282336422</v>
      </c>
      <c r="I41" s="10"/>
      <c r="J41" s="23">
        <f>J36+J37</f>
        <v>8.887519804285818</v>
      </c>
      <c r="K41" s="10">
        <v>100</v>
      </c>
      <c r="L41" s="23">
        <f>L36+L37</f>
        <v>1.4642214022826405</v>
      </c>
      <c r="M41" s="10"/>
      <c r="N41" s="17">
        <f>AVERAGE(L41,J41,H41,F41)</f>
        <v>7.667385170789829</v>
      </c>
      <c r="O41" s="10"/>
      <c r="P41" s="23">
        <f>P36+P37</f>
        <v>12.921290539778076</v>
      </c>
      <c r="Q41" s="10"/>
      <c r="R41" s="23">
        <f>R36+R37</f>
        <v>2.2333898414464066</v>
      </c>
      <c r="S41" s="10">
        <f>T37/T41*100</f>
        <v>73.07692307692307</v>
      </c>
      <c r="T41" s="23">
        <f>T36+T37</f>
        <v>1.8194922433970968</v>
      </c>
      <c r="U41" s="10">
        <v>100</v>
      </c>
      <c r="V41" s="23">
        <f>V36+V37</f>
        <v>0.9317772559980441</v>
      </c>
      <c r="W41" s="10">
        <f>AVERAGE((P41*O41/100),(R41*Q41/100),(T41*S41/100),(V41*U41/100))/X41*100</f>
        <v>12.629356265224104</v>
      </c>
      <c r="X41" s="17">
        <f>AVERAGE(V41,T41,R41,P41)</f>
        <v>4.476487470154906</v>
      </c>
      <c r="Y41" s="58">
        <f>SUM((F41*E41/100),(P41*O41/100))/Z41*100</f>
        <v>0</v>
      </c>
      <c r="Z41" s="17">
        <f>SUM(P41,F41)</f>
        <v>25.77119273403251</v>
      </c>
      <c r="AA41" s="58">
        <f>SUM((H41*G41/100),(R41*Q41/100))/AB41*100</f>
        <v>0</v>
      </c>
      <c r="AB41" s="17">
        <f aca="true" t="shared" si="20" ref="Z41:AH42">SUM(R41,H41)</f>
        <v>9.701287123782828</v>
      </c>
      <c r="AC41" s="58">
        <f>SUM((J41*I41/100),(T41*S41/100))/AD41*100</f>
        <v>12.418300653594773</v>
      </c>
      <c r="AD41" s="17">
        <f t="shared" si="20"/>
        <v>10.707012047682914</v>
      </c>
      <c r="AE41" s="58">
        <f>SUM((L41*K41/100),(V41*U41/100))/AF41*100</f>
        <v>100</v>
      </c>
      <c r="AF41" s="17">
        <f t="shared" si="20"/>
        <v>2.3959986582806847</v>
      </c>
      <c r="AG41" s="58">
        <f>SUM((N41*M41/100),(X41*W41/100))/AH41*100</f>
        <v>4.655446968933289</v>
      </c>
      <c r="AH41" s="17">
        <f t="shared" si="20"/>
        <v>12.143872640944736</v>
      </c>
      <c r="AI41" s="10"/>
      <c r="AJ41" s="23">
        <f>AJ36+AJ37</f>
        <v>14.420445795774425</v>
      </c>
      <c r="AK41" s="10"/>
      <c r="AL41" s="23">
        <f>AL36+AL37</f>
        <v>23.52038676773247</v>
      </c>
      <c r="AM41" s="10"/>
      <c r="AN41" s="23">
        <f>AN36+AN37</f>
        <v>11.75671911118124</v>
      </c>
      <c r="AO41" s="10">
        <v>100</v>
      </c>
      <c r="AP41" s="23">
        <f>AP36/2+AP37/2</f>
        <v>0.2728776249708557</v>
      </c>
      <c r="AQ41" s="10">
        <f>AP41/AR41/4*100</f>
        <v>0.5460782082428854</v>
      </c>
      <c r="AR41" s="17">
        <f>AVERAGE(AP41,AN41,AL41,AJ41)</f>
        <v>12.492607324914749</v>
      </c>
      <c r="BM41" s="2">
        <f t="shared" si="16"/>
        <v>0</v>
      </c>
      <c r="BN41" s="23">
        <f>SUM(AT41,AJ41,P41,F41)</f>
        <v>40.19163852980694</v>
      </c>
      <c r="BO41" s="2">
        <f t="shared" si="16"/>
        <v>0</v>
      </c>
      <c r="BP41" s="23">
        <f>SUM(AV41,AL41,R41,H41)</f>
        <v>33.2216738915153</v>
      </c>
      <c r="BQ41" s="2">
        <f t="shared" si="16"/>
        <v>5.919003115264798</v>
      </c>
      <c r="BR41" s="23">
        <f>SUM(AX41,AN41,T41,J41)</f>
        <v>22.463731158864157</v>
      </c>
      <c r="BS41" s="2">
        <f t="shared" si="16"/>
        <v>100</v>
      </c>
      <c r="BT41" s="23">
        <f>SUM(AZ41,AP41,V41,L41)</f>
        <v>2.6688762832515405</v>
      </c>
      <c r="BU41" s="2">
        <f t="shared" si="16"/>
        <v>2.5716780883254375</v>
      </c>
      <c r="BV41" s="23">
        <f>SUM(BB41,AR41,X41,N41)</f>
        <v>24.636479965859483</v>
      </c>
    </row>
    <row r="42" spans="2:74" ht="12.75">
      <c r="B42" s="7" t="s">
        <v>85</v>
      </c>
      <c r="D42" s="7" t="s">
        <v>79</v>
      </c>
      <c r="E42" s="10">
        <f>F33/F42*100</f>
        <v>53.93258426966292</v>
      </c>
      <c r="F42" s="23">
        <f>F33+F35+F31</f>
        <v>6.353562751603584</v>
      </c>
      <c r="G42" s="10">
        <f>H33/H42*100</f>
        <v>50</v>
      </c>
      <c r="H42" s="23">
        <f>H33+H35+H31</f>
        <v>6.97934325452002</v>
      </c>
      <c r="I42" s="10">
        <f>SUM(J33,J35)/J42*100</f>
        <v>37.5886524822695</v>
      </c>
      <c r="J42" s="23">
        <f>J33+J35+J31</f>
        <v>9.867246396884255</v>
      </c>
      <c r="K42" s="10">
        <f>SUM(L33,L35)/L42*100</f>
        <v>72.50000000000001</v>
      </c>
      <c r="L42" s="23">
        <f>L33+L35+L31</f>
        <v>2.662220731422983</v>
      </c>
      <c r="M42" s="10">
        <f>AVERAGE((F42*E42/100),(H42*G42/100),(J42*I42/100),(L42*K42/100))/N42*100</f>
        <v>48.54692620475402</v>
      </c>
      <c r="N42" s="17">
        <f>AVERAGE(L42,J42,H42,F42)</f>
        <v>6.465593283607711</v>
      </c>
      <c r="O42" s="10">
        <f>P33/P42*100</f>
        <v>35.21126760563381</v>
      </c>
      <c r="P42" s="23">
        <f>P33+P35+P31</f>
        <v>5.068572532178139</v>
      </c>
      <c r="Q42" s="10">
        <f>R33/R42*100</f>
        <v>59.09090909090909</v>
      </c>
      <c r="R42" s="23">
        <f>R33+R35+R31</f>
        <v>3.0709110319888095</v>
      </c>
      <c r="S42" s="10">
        <f>SUM(T33,T35)/T42*100</f>
        <v>63.63636363636363</v>
      </c>
      <c r="T42" s="23">
        <f>T33+T35+T31</f>
        <v>3.0791407195950864</v>
      </c>
      <c r="U42" s="10">
        <f>SUM(V33,V35)/V42*100</f>
        <v>80.50847457627118</v>
      </c>
      <c r="V42" s="23">
        <f>V33+V35+V31</f>
        <v>1.57071023153956</v>
      </c>
      <c r="W42" s="10">
        <f>AVERAGE((P42*O42/100),(R42*Q42/100),(T42*S42/100),(V42*U42/100))/X42*100</f>
        <v>53.35184491988388</v>
      </c>
      <c r="X42" s="17">
        <f>AVERAGE(V42,T42,R42,P42)</f>
        <v>3.197333628825399</v>
      </c>
      <c r="Y42" s="58">
        <f>SUM((F42*E42/100),(P42*O42/100))/Z42*100</f>
        <v>45.625</v>
      </c>
      <c r="Z42" s="17">
        <f t="shared" si="20"/>
        <v>11.422135283781724</v>
      </c>
      <c r="AA42" s="58">
        <f>SUM((H42*G42/100),(R42*Q42/100))/AB42*100</f>
        <v>52.77777777777777</v>
      </c>
      <c r="AB42" s="17">
        <f t="shared" si="20"/>
        <v>10.05025428650883</v>
      </c>
      <c r="AC42" s="58">
        <f>SUM((J42*I42/100),(T42*S42/100))/AD42*100</f>
        <v>43.78378378378378</v>
      </c>
      <c r="AD42" s="17">
        <f t="shared" si="20"/>
        <v>12.946387116479341</v>
      </c>
      <c r="AE42" s="58">
        <f>SUM((L42*K42/100),(V42*U42/100))/AF42*100</f>
        <v>75.47169811320755</v>
      </c>
      <c r="AF42" s="17">
        <f t="shared" si="20"/>
        <v>4.232930962962543</v>
      </c>
      <c r="AG42" s="58">
        <f>SUM((N42*M42/100),(X42*W42/100))/AH42*100</f>
        <v>50.13680971840142</v>
      </c>
      <c r="AH42" s="17">
        <f t="shared" si="20"/>
        <v>9.66292691243311</v>
      </c>
      <c r="AI42" s="10">
        <f>SUM(AJ33,AJ35)/AJ42*100</f>
        <v>28.723404255319153</v>
      </c>
      <c r="AJ42" s="23">
        <f>AJ33+AJ35+AJ31</f>
        <v>6.710504479221763</v>
      </c>
      <c r="AK42" s="10">
        <f>SUM(AL33,AL35)/AL42*100</f>
        <v>73.26732673267325</v>
      </c>
      <c r="AL42" s="23">
        <f>AL33/2+AL35+AL31</f>
        <v>3.5245683435326107</v>
      </c>
      <c r="AM42" s="10">
        <f>SUM(AN33,AN35)/AN42*100</f>
        <v>69.6629213483146</v>
      </c>
      <c r="AN42" s="23">
        <f>AN33/2+AN35+AN31</f>
        <v>3.114130955045031</v>
      </c>
      <c r="AO42" s="10">
        <v>100</v>
      </c>
      <c r="AP42" s="23">
        <f>AP33/2+AP35/2+AP31/2</f>
        <v>0.4226275411133985</v>
      </c>
      <c r="AQ42" s="10">
        <f>SUM((AJ42*AI42/100),(AL42*AK42/100),(AN42*AM42/100))/AR42/4*100</f>
        <v>48.499264742188224</v>
      </c>
      <c r="AR42" s="17">
        <f>AVERAGE(AP42,AN42,AL42,AJ42)</f>
        <v>3.4429578297282006</v>
      </c>
      <c r="AT42" s="13">
        <f>AT31</f>
        <v>306.9698857516338</v>
      </c>
      <c r="AV42" s="13">
        <f>AV31</f>
        <v>299.8310511992703</v>
      </c>
      <c r="AX42" s="13">
        <f>AX31</f>
        <v>306.9698857516338</v>
      </c>
      <c r="AZ42" s="13">
        <f>AZ31</f>
        <v>306.9698857516338</v>
      </c>
      <c r="BB42" s="23">
        <f>BB33/2+BB35/2+BB31</f>
        <v>305.1851771135429</v>
      </c>
      <c r="BL42" s="13"/>
      <c r="BM42" s="2">
        <f t="shared" si="16"/>
        <v>2.1958717610891525</v>
      </c>
      <c r="BN42" s="23">
        <f>SUM(AT42,AJ42,P42,F42)</f>
        <v>325.1025255146373</v>
      </c>
      <c r="BO42" s="2">
        <f t="shared" si="16"/>
        <v>2.516435885915426</v>
      </c>
      <c r="BP42" s="23">
        <f>SUM(AV42,AL42,R42,H42)</f>
        <v>313.40587382931176</v>
      </c>
      <c r="BQ42" s="2">
        <f t="shared" si="16"/>
        <v>2.4263390219696706</v>
      </c>
      <c r="BR42" s="23">
        <f>SUM(AX42,AN42,T42,J42)</f>
        <v>323.03040382315817</v>
      </c>
      <c r="BS42" s="2">
        <f t="shared" si="16"/>
        <v>1.1607821137521572</v>
      </c>
      <c r="BT42" s="23">
        <f>SUM(AZ42,AP42,V42,L42)</f>
        <v>311.62544425570974</v>
      </c>
      <c r="BU42" s="2">
        <f t="shared" si="16"/>
        <v>2.0467092208419864</v>
      </c>
      <c r="BV42" s="23">
        <f>SUM(BB42,AR42,X42,N42)</f>
        <v>318.2910618557042</v>
      </c>
    </row>
    <row r="43" spans="5:43" ht="12.75">
      <c r="E43" s="10"/>
      <c r="F43" s="2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22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54" ht="12.75">
      <c r="A44" s="2" t="s">
        <v>120</v>
      </c>
      <c r="B44" s="21" t="s">
        <v>149</v>
      </c>
      <c r="C44" s="21" t="s">
        <v>148</v>
      </c>
      <c r="F44" s="22" t="s">
        <v>193</v>
      </c>
      <c r="H44" s="22" t="s">
        <v>194</v>
      </c>
      <c r="I44" s="22"/>
      <c r="J44" s="22" t="s">
        <v>195</v>
      </c>
      <c r="L44" s="22" t="s">
        <v>59</v>
      </c>
      <c r="N44" s="22" t="s">
        <v>193</v>
      </c>
      <c r="P44" s="22" t="s">
        <v>194</v>
      </c>
      <c r="Q44" s="22"/>
      <c r="R44" s="22" t="s">
        <v>195</v>
      </c>
      <c r="T44" s="22" t="s">
        <v>59</v>
      </c>
      <c r="V44" s="22" t="s">
        <v>193</v>
      </c>
      <c r="X44" s="22" t="s">
        <v>194</v>
      </c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 t="s">
        <v>195</v>
      </c>
      <c r="AL44" s="22" t="s">
        <v>59</v>
      </c>
      <c r="AN44" s="22" t="s">
        <v>193</v>
      </c>
      <c r="AP44" s="22" t="s">
        <v>194</v>
      </c>
      <c r="AQ44" s="22"/>
      <c r="AR44" s="22" t="s">
        <v>195</v>
      </c>
      <c r="AT44" s="22" t="s">
        <v>59</v>
      </c>
      <c r="AV44" s="22" t="s">
        <v>193</v>
      </c>
      <c r="AX44" s="22" t="s">
        <v>194</v>
      </c>
      <c r="AY44" s="22"/>
      <c r="AZ44" s="22" t="s">
        <v>195</v>
      </c>
      <c r="BB44" s="22" t="s">
        <v>59</v>
      </c>
    </row>
    <row r="45" spans="2:20" ht="12.75">
      <c r="B45" s="21"/>
      <c r="C45" s="21"/>
      <c r="H45" s="22"/>
      <c r="I45" s="22"/>
      <c r="J45" s="22"/>
      <c r="L45" s="22"/>
      <c r="N45" s="22"/>
      <c r="P45" s="22"/>
      <c r="Q45" s="22"/>
      <c r="R45" s="22"/>
      <c r="T45" s="22"/>
    </row>
    <row r="46" spans="2:54" ht="12.75">
      <c r="B46" s="7" t="s">
        <v>208</v>
      </c>
      <c r="C46" s="21"/>
      <c r="F46" s="22" t="s">
        <v>210</v>
      </c>
      <c r="H46" s="22" t="s">
        <v>210</v>
      </c>
      <c r="I46" s="22"/>
      <c r="J46" s="22" t="s">
        <v>210</v>
      </c>
      <c r="L46" s="22" t="s">
        <v>210</v>
      </c>
      <c r="N46" s="22" t="s">
        <v>213</v>
      </c>
      <c r="P46" s="22" t="s">
        <v>213</v>
      </c>
      <c r="Q46" s="22"/>
      <c r="R46" s="22" t="s">
        <v>213</v>
      </c>
      <c r="T46" s="22" t="s">
        <v>213</v>
      </c>
      <c r="V46" s="2" t="s">
        <v>214</v>
      </c>
      <c r="X46" s="2" t="s">
        <v>214</v>
      </c>
      <c r="AJ46" s="2" t="s">
        <v>214</v>
      </c>
      <c r="AL46" s="2" t="s">
        <v>214</v>
      </c>
      <c r="AN46" s="2" t="s">
        <v>215</v>
      </c>
      <c r="AP46" s="2" t="s">
        <v>215</v>
      </c>
      <c r="AR46" s="2" t="s">
        <v>215</v>
      </c>
      <c r="AT46" s="2" t="s">
        <v>215</v>
      </c>
      <c r="AV46" s="2" t="s">
        <v>216</v>
      </c>
      <c r="AX46" s="2" t="s">
        <v>216</v>
      </c>
      <c r="AZ46" s="2" t="s">
        <v>216</v>
      </c>
      <c r="BB46" s="2" t="s">
        <v>216</v>
      </c>
    </row>
    <row r="47" spans="2:54" ht="12.75">
      <c r="B47" s="7" t="s">
        <v>209</v>
      </c>
      <c r="F47" s="22" t="s">
        <v>211</v>
      </c>
      <c r="H47" s="22" t="s">
        <v>211</v>
      </c>
      <c r="J47" s="22" t="s">
        <v>211</v>
      </c>
      <c r="L47" s="22" t="s">
        <v>211</v>
      </c>
      <c r="N47" s="22" t="s">
        <v>211</v>
      </c>
      <c r="P47" s="22" t="s">
        <v>211</v>
      </c>
      <c r="R47" s="22" t="s">
        <v>211</v>
      </c>
      <c r="T47" s="22" t="s">
        <v>211</v>
      </c>
      <c r="V47" s="2" t="s">
        <v>212</v>
      </c>
      <c r="X47" s="2" t="s">
        <v>212</v>
      </c>
      <c r="AJ47" s="2" t="s">
        <v>212</v>
      </c>
      <c r="AL47" s="2" t="s">
        <v>212</v>
      </c>
      <c r="AN47" s="2" t="s">
        <v>212</v>
      </c>
      <c r="AP47" s="2" t="s">
        <v>212</v>
      </c>
      <c r="AR47" s="2" t="s">
        <v>212</v>
      </c>
      <c r="AT47" s="2" t="s">
        <v>212</v>
      </c>
      <c r="AV47" s="2" t="s">
        <v>167</v>
      </c>
      <c r="AX47" s="2" t="s">
        <v>36</v>
      </c>
      <c r="AZ47" s="2" t="s">
        <v>36</v>
      </c>
      <c r="BB47" s="29" t="s">
        <v>36</v>
      </c>
    </row>
    <row r="48" spans="2:54" ht="12.75">
      <c r="B48" s="7" t="s">
        <v>219</v>
      </c>
      <c r="H48" s="22"/>
      <c r="J48" s="22"/>
      <c r="L48" s="22"/>
      <c r="N48" s="22"/>
      <c r="P48" s="22"/>
      <c r="R48" s="22"/>
      <c r="T48" s="22"/>
      <c r="AN48" s="29" t="s">
        <v>220</v>
      </c>
      <c r="AP48" s="29" t="s">
        <v>220</v>
      </c>
      <c r="AR48" s="29" t="s">
        <v>220</v>
      </c>
      <c r="AT48" s="29" t="s">
        <v>220</v>
      </c>
      <c r="AV48" s="2" t="s">
        <v>167</v>
      </c>
      <c r="AX48" s="2" t="s">
        <v>36</v>
      </c>
      <c r="AZ48" s="2" t="s">
        <v>36</v>
      </c>
      <c r="BB48" s="29" t="s">
        <v>36</v>
      </c>
    </row>
    <row r="49" spans="2:74" ht="12.75">
      <c r="B49" s="7" t="s">
        <v>60</v>
      </c>
      <c r="F49" s="22" t="s">
        <v>143</v>
      </c>
      <c r="H49" s="22" t="s">
        <v>143</v>
      </c>
      <c r="J49" s="22" t="s">
        <v>143</v>
      </c>
      <c r="L49" s="22" t="s">
        <v>143</v>
      </c>
      <c r="N49" s="2" t="s">
        <v>166</v>
      </c>
      <c r="P49" s="2" t="s">
        <v>166</v>
      </c>
      <c r="R49" s="2" t="s">
        <v>166</v>
      </c>
      <c r="T49" s="2" t="s">
        <v>166</v>
      </c>
      <c r="V49" s="2" t="s">
        <v>145</v>
      </c>
      <c r="X49" s="2" t="s">
        <v>145</v>
      </c>
      <c r="AJ49" s="2" t="s">
        <v>145</v>
      </c>
      <c r="AL49" s="2" t="s">
        <v>145</v>
      </c>
      <c r="AN49" s="2" t="s">
        <v>146</v>
      </c>
      <c r="AP49" s="2" t="s">
        <v>146</v>
      </c>
      <c r="AR49" s="2" t="s">
        <v>146</v>
      </c>
      <c r="AT49" s="2" t="s">
        <v>146</v>
      </c>
      <c r="AV49" s="2" t="s">
        <v>167</v>
      </c>
      <c r="AX49" s="2" t="s">
        <v>36</v>
      </c>
      <c r="AZ49" s="2" t="s">
        <v>36</v>
      </c>
      <c r="BB49" s="29" t="s">
        <v>36</v>
      </c>
      <c r="BV49" s="29"/>
    </row>
    <row r="50" spans="2:54" ht="12.75">
      <c r="B50" s="7" t="s">
        <v>121</v>
      </c>
      <c r="D50" s="7" t="s">
        <v>62</v>
      </c>
      <c r="F50" s="22">
        <v>1841807</v>
      </c>
      <c r="H50" s="2">
        <v>1829937</v>
      </c>
      <c r="J50" s="2">
        <v>1852095</v>
      </c>
      <c r="L50" s="2">
        <v>1841280</v>
      </c>
      <c r="N50" s="2">
        <v>937494</v>
      </c>
      <c r="P50" s="2">
        <v>934881</v>
      </c>
      <c r="R50" s="2">
        <v>913971</v>
      </c>
      <c r="T50" s="2">
        <v>928782</v>
      </c>
      <c r="V50" s="2">
        <v>923972</v>
      </c>
      <c r="X50" s="2">
        <v>913453</v>
      </c>
      <c r="AJ50" s="2">
        <v>925496</v>
      </c>
      <c r="AL50" s="2">
        <v>920974</v>
      </c>
      <c r="AV50" s="2">
        <f>SUM(V50,N50,F50)</f>
        <v>3703273</v>
      </c>
      <c r="AX50" s="2">
        <f>SUM(X50,P50,H50)</f>
        <v>3678271</v>
      </c>
      <c r="AZ50" s="2">
        <f>SUM(AJ50,R50,J50)</f>
        <v>3691562</v>
      </c>
      <c r="BB50" s="2">
        <f>SUM(AL50,T50,L50)</f>
        <v>3691036</v>
      </c>
    </row>
    <row r="51" spans="2:54" ht="12.75">
      <c r="B51" s="7" t="s">
        <v>165</v>
      </c>
      <c r="D51" s="7" t="s">
        <v>77</v>
      </c>
      <c r="AN51" s="2">
        <v>107</v>
      </c>
      <c r="AP51" s="2">
        <v>142</v>
      </c>
      <c r="AR51" s="2">
        <v>152</v>
      </c>
      <c r="AT51" s="2">
        <v>134</v>
      </c>
      <c r="AV51" s="2">
        <f>AN51</f>
        <v>107</v>
      </c>
      <c r="AX51" s="2">
        <f>AP51</f>
        <v>142</v>
      </c>
      <c r="AZ51" s="2">
        <f>AR51</f>
        <v>152</v>
      </c>
      <c r="BB51" s="2">
        <f>AT51</f>
        <v>134</v>
      </c>
    </row>
    <row r="52" spans="5:44" ht="12.75">
      <c r="E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2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54" ht="12.75">
      <c r="A53" s="2" t="s">
        <v>120</v>
      </c>
      <c r="B53" s="21" t="s">
        <v>150</v>
      </c>
      <c r="C53" s="21" t="s">
        <v>139</v>
      </c>
      <c r="F53" s="22" t="s">
        <v>190</v>
      </c>
      <c r="H53" s="22" t="s">
        <v>191</v>
      </c>
      <c r="I53" s="22"/>
      <c r="J53" s="22" t="s">
        <v>218</v>
      </c>
      <c r="L53" s="22" t="s">
        <v>59</v>
      </c>
      <c r="N53" s="22" t="s">
        <v>190</v>
      </c>
      <c r="P53" s="22" t="s">
        <v>191</v>
      </c>
      <c r="Q53" s="22"/>
      <c r="R53" s="22" t="s">
        <v>218</v>
      </c>
      <c r="T53" s="22" t="s">
        <v>59</v>
      </c>
      <c r="V53" s="22" t="s">
        <v>190</v>
      </c>
      <c r="X53" s="22" t="s">
        <v>191</v>
      </c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 t="s">
        <v>218</v>
      </c>
      <c r="AL53" s="22" t="s">
        <v>59</v>
      </c>
      <c r="AN53" s="22" t="s">
        <v>190</v>
      </c>
      <c r="AP53" s="22" t="s">
        <v>191</v>
      </c>
      <c r="AQ53" s="22"/>
      <c r="AR53" s="22" t="s">
        <v>218</v>
      </c>
      <c r="AT53" s="22" t="s">
        <v>59</v>
      </c>
      <c r="AV53" s="22" t="s">
        <v>190</v>
      </c>
      <c r="AX53" s="22" t="s">
        <v>191</v>
      </c>
      <c r="AY53" s="22"/>
      <c r="AZ53" s="22" t="s">
        <v>218</v>
      </c>
      <c r="BB53" s="22" t="s">
        <v>59</v>
      </c>
    </row>
    <row r="54" spans="2:54" ht="12.75">
      <c r="B54" s="21"/>
      <c r="C54" s="21"/>
      <c r="H54" s="22"/>
      <c r="I54" s="22"/>
      <c r="J54" s="22"/>
      <c r="L54" s="22"/>
      <c r="N54" s="22"/>
      <c r="P54" s="22"/>
      <c r="Q54" s="22"/>
      <c r="R54" s="22"/>
      <c r="T54" s="22"/>
      <c r="V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L54" s="22"/>
      <c r="AN54" s="22"/>
      <c r="AP54" s="22"/>
      <c r="AQ54" s="22"/>
      <c r="AR54" s="22"/>
      <c r="AT54" s="22"/>
      <c r="AV54" s="22"/>
      <c r="AX54" s="22"/>
      <c r="AY54" s="22"/>
      <c r="AZ54" s="22"/>
      <c r="BB54" s="22"/>
    </row>
    <row r="55" spans="2:54" ht="12.75">
      <c r="B55" s="7" t="s">
        <v>208</v>
      </c>
      <c r="C55" s="21"/>
      <c r="F55" s="22" t="s">
        <v>210</v>
      </c>
      <c r="H55" s="22" t="s">
        <v>210</v>
      </c>
      <c r="I55" s="22"/>
      <c r="J55" s="22" t="s">
        <v>210</v>
      </c>
      <c r="L55" s="22" t="s">
        <v>210</v>
      </c>
      <c r="N55" s="22" t="s">
        <v>213</v>
      </c>
      <c r="P55" s="22" t="s">
        <v>213</v>
      </c>
      <c r="Q55" s="22"/>
      <c r="R55" s="22" t="s">
        <v>213</v>
      </c>
      <c r="T55" s="22" t="s">
        <v>213</v>
      </c>
      <c r="V55" s="2" t="s">
        <v>214</v>
      </c>
      <c r="X55" s="2" t="s">
        <v>214</v>
      </c>
      <c r="AJ55" s="2" t="s">
        <v>214</v>
      </c>
      <c r="AL55" s="2" t="s">
        <v>214</v>
      </c>
      <c r="AN55" s="2" t="s">
        <v>215</v>
      </c>
      <c r="AP55" s="2" t="s">
        <v>215</v>
      </c>
      <c r="AR55" s="2" t="s">
        <v>215</v>
      </c>
      <c r="AT55" s="2" t="s">
        <v>215</v>
      </c>
      <c r="AV55" s="2" t="s">
        <v>216</v>
      </c>
      <c r="AX55" s="2" t="s">
        <v>216</v>
      </c>
      <c r="AZ55" s="2" t="s">
        <v>216</v>
      </c>
      <c r="BB55" s="2" t="s">
        <v>216</v>
      </c>
    </row>
    <row r="56" spans="2:54" ht="12.75">
      <c r="B56" s="7" t="s">
        <v>209</v>
      </c>
      <c r="F56" s="22" t="s">
        <v>211</v>
      </c>
      <c r="H56" s="22" t="s">
        <v>211</v>
      </c>
      <c r="J56" s="22" t="s">
        <v>211</v>
      </c>
      <c r="L56" s="22" t="s">
        <v>211</v>
      </c>
      <c r="N56" s="22" t="s">
        <v>211</v>
      </c>
      <c r="P56" s="22" t="s">
        <v>211</v>
      </c>
      <c r="R56" s="22" t="s">
        <v>211</v>
      </c>
      <c r="T56" s="22" t="s">
        <v>211</v>
      </c>
      <c r="V56" s="2" t="s">
        <v>212</v>
      </c>
      <c r="X56" s="2" t="s">
        <v>212</v>
      </c>
      <c r="AJ56" s="2" t="s">
        <v>212</v>
      </c>
      <c r="AL56" s="2" t="s">
        <v>212</v>
      </c>
      <c r="AN56" s="2" t="s">
        <v>212</v>
      </c>
      <c r="AP56" s="2" t="s">
        <v>212</v>
      </c>
      <c r="AR56" s="2" t="s">
        <v>212</v>
      </c>
      <c r="AT56" s="2" t="s">
        <v>212</v>
      </c>
      <c r="AV56" s="2" t="s">
        <v>167</v>
      </c>
      <c r="AX56" s="2" t="s">
        <v>36</v>
      </c>
      <c r="AZ56" s="2" t="s">
        <v>36</v>
      </c>
      <c r="BB56" s="29" t="s">
        <v>36</v>
      </c>
    </row>
    <row r="57" spans="2:54" ht="12.75">
      <c r="B57" s="7" t="s">
        <v>219</v>
      </c>
      <c r="H57" s="22"/>
      <c r="J57" s="22"/>
      <c r="L57" s="22"/>
      <c r="N57" s="22"/>
      <c r="P57" s="22"/>
      <c r="R57" s="22"/>
      <c r="T57" s="22"/>
      <c r="V57" s="2" t="s">
        <v>220</v>
      </c>
      <c r="X57" s="33" t="s">
        <v>220</v>
      </c>
      <c r="AJ57" s="2" t="s">
        <v>220</v>
      </c>
      <c r="AL57" s="2" t="s">
        <v>220</v>
      </c>
      <c r="AV57" s="2" t="s">
        <v>167</v>
      </c>
      <c r="AX57" s="2" t="s">
        <v>36</v>
      </c>
      <c r="AZ57" s="2" t="s">
        <v>36</v>
      </c>
      <c r="BB57" s="29" t="s">
        <v>36</v>
      </c>
    </row>
    <row r="58" spans="2:74" ht="12.75">
      <c r="B58" s="7" t="s">
        <v>60</v>
      </c>
      <c r="F58" s="22" t="s">
        <v>143</v>
      </c>
      <c r="H58" s="22" t="s">
        <v>143</v>
      </c>
      <c r="J58" s="22" t="s">
        <v>143</v>
      </c>
      <c r="L58" s="22" t="s">
        <v>143</v>
      </c>
      <c r="N58" s="2" t="s">
        <v>166</v>
      </c>
      <c r="P58" s="2" t="s">
        <v>166</v>
      </c>
      <c r="R58" s="2" t="s">
        <v>166</v>
      </c>
      <c r="T58" s="2" t="s">
        <v>166</v>
      </c>
      <c r="V58" s="2" t="s">
        <v>145</v>
      </c>
      <c r="X58" s="2" t="s">
        <v>145</v>
      </c>
      <c r="AJ58" s="2" t="s">
        <v>145</v>
      </c>
      <c r="AL58" s="2" t="s">
        <v>145</v>
      </c>
      <c r="AN58" s="2" t="s">
        <v>146</v>
      </c>
      <c r="AP58" s="2" t="s">
        <v>146</v>
      </c>
      <c r="AR58" s="2" t="s">
        <v>146</v>
      </c>
      <c r="AT58" s="2" t="s">
        <v>146</v>
      </c>
      <c r="AV58" s="2" t="s">
        <v>167</v>
      </c>
      <c r="AX58" s="2" t="s">
        <v>36</v>
      </c>
      <c r="AZ58" s="2" t="s">
        <v>36</v>
      </c>
      <c r="BB58" s="29" t="s">
        <v>36</v>
      </c>
      <c r="BV58" s="29"/>
    </row>
    <row r="59" spans="2:54" ht="12.75">
      <c r="B59" s="7" t="s">
        <v>121</v>
      </c>
      <c r="D59" s="7" t="s">
        <v>62</v>
      </c>
      <c r="F59" s="22">
        <v>1848788</v>
      </c>
      <c r="H59" s="2">
        <v>1843263</v>
      </c>
      <c r="J59" s="2">
        <v>1851378</v>
      </c>
      <c r="L59" s="2">
        <v>1847810</v>
      </c>
      <c r="N59" s="2">
        <v>983865</v>
      </c>
      <c r="P59" s="2">
        <v>917935</v>
      </c>
      <c r="R59" s="2">
        <v>957797</v>
      </c>
      <c r="T59" s="2">
        <v>953199</v>
      </c>
      <c r="V59" s="2">
        <v>921505</v>
      </c>
      <c r="X59" s="2">
        <v>944125</v>
      </c>
      <c r="AJ59" s="2">
        <v>919037</v>
      </c>
      <c r="AL59" s="2">
        <v>928222</v>
      </c>
      <c r="AV59" s="2">
        <f>SUM(V59,N59,F59)</f>
        <v>3754158</v>
      </c>
      <c r="AX59" s="2">
        <f>SUM(X59,P59,H59)</f>
        <v>3705323</v>
      </c>
      <c r="AZ59" s="2">
        <f>SUM(AJ59,R59,J59)</f>
        <v>3728212</v>
      </c>
      <c r="BB59" s="2">
        <f>SUM(AL59,T59,L59)</f>
        <v>3729231</v>
      </c>
    </row>
    <row r="60" spans="2:54" ht="12.75">
      <c r="B60" s="7" t="s">
        <v>70</v>
      </c>
      <c r="D60" s="7" t="s">
        <v>73</v>
      </c>
      <c r="F60" s="23">
        <v>2.98</v>
      </c>
      <c r="H60" s="2">
        <v>2.85</v>
      </c>
      <c r="J60" s="2">
        <v>2.96</v>
      </c>
      <c r="L60" s="2">
        <v>2.93</v>
      </c>
      <c r="N60" s="2">
        <v>3.24</v>
      </c>
      <c r="P60" s="2">
        <v>3.31</v>
      </c>
      <c r="R60" s="2">
        <v>3.2</v>
      </c>
      <c r="T60" s="2">
        <v>3.25</v>
      </c>
      <c r="V60" s="2">
        <v>3.1</v>
      </c>
      <c r="X60" s="2">
        <v>3.02</v>
      </c>
      <c r="AJ60" s="2">
        <v>2.98</v>
      </c>
      <c r="AL60" s="2">
        <v>3.03</v>
      </c>
      <c r="AV60" s="2">
        <f>V60</f>
        <v>3.1</v>
      </c>
      <c r="AX60" s="2">
        <f>X60</f>
        <v>3.02</v>
      </c>
      <c r="AZ60" s="2">
        <f>AJ60</f>
        <v>2.98</v>
      </c>
      <c r="BB60" s="2">
        <f>AL60</f>
        <v>3.03</v>
      </c>
    </row>
    <row r="61" spans="2:44" ht="12.75">
      <c r="B61" s="7" t="s">
        <v>87</v>
      </c>
      <c r="D61" s="7" t="s">
        <v>26</v>
      </c>
      <c r="F61" s="22">
        <v>12.3</v>
      </c>
      <c r="H61" s="2">
        <v>10.84</v>
      </c>
      <c r="J61" s="2">
        <v>11.57</v>
      </c>
      <c r="L61" s="2">
        <v>11.57</v>
      </c>
      <c r="N61" s="2">
        <v>0.598</v>
      </c>
      <c r="P61" s="2">
        <v>0.526</v>
      </c>
      <c r="R61" s="2">
        <v>0.559</v>
      </c>
      <c r="T61" s="2">
        <v>0.561</v>
      </c>
      <c r="V61" s="2">
        <v>49.37</v>
      </c>
      <c r="X61" s="2">
        <v>51.58</v>
      </c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10"/>
      <c r="AJ61" s="22">
        <v>51.63</v>
      </c>
      <c r="AK61" s="22"/>
      <c r="AL61" s="22">
        <v>50.86</v>
      </c>
      <c r="AM61" s="10"/>
      <c r="AN61" s="10"/>
      <c r="AO61" s="10"/>
      <c r="AP61" s="10"/>
      <c r="AQ61" s="10"/>
      <c r="AR61" s="22"/>
    </row>
    <row r="62" spans="2:44" ht="12.75">
      <c r="B62" s="7" t="s">
        <v>69</v>
      </c>
      <c r="D62" s="7" t="s">
        <v>151</v>
      </c>
      <c r="F62" s="26">
        <v>1</v>
      </c>
      <c r="H62" s="29">
        <v>0.97</v>
      </c>
      <c r="J62" s="29">
        <v>0.99</v>
      </c>
      <c r="L62" s="29">
        <v>0.99</v>
      </c>
      <c r="N62" s="29">
        <v>0.86</v>
      </c>
      <c r="P62" s="29">
        <v>0.86</v>
      </c>
      <c r="R62" s="29">
        <v>0.86</v>
      </c>
      <c r="T62" s="29">
        <v>0.86</v>
      </c>
      <c r="V62" s="29">
        <v>0.87</v>
      </c>
      <c r="X62" s="29">
        <v>0.87</v>
      </c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10"/>
      <c r="AJ62" s="22">
        <v>0.87</v>
      </c>
      <c r="AK62" s="22"/>
      <c r="AL62" s="22">
        <v>0.87</v>
      </c>
      <c r="AM62" s="10"/>
      <c r="AN62" s="10"/>
      <c r="AO62" s="10"/>
      <c r="AP62" s="10"/>
      <c r="AQ62" s="10"/>
      <c r="AR62" s="22"/>
    </row>
    <row r="63" spans="2:44" ht="12.75">
      <c r="B63" s="7" t="s">
        <v>63</v>
      </c>
      <c r="D63" s="7" t="s">
        <v>64</v>
      </c>
      <c r="F63" s="23">
        <v>8380</v>
      </c>
      <c r="H63" s="29">
        <v>8360</v>
      </c>
      <c r="J63" s="29">
        <v>8360</v>
      </c>
      <c r="L63" s="29">
        <v>8367</v>
      </c>
      <c r="N63" s="29">
        <v>16100</v>
      </c>
      <c r="P63" s="29">
        <v>16300</v>
      </c>
      <c r="R63" s="29">
        <v>17400</v>
      </c>
      <c r="T63" s="29">
        <v>16600</v>
      </c>
      <c r="V63" s="29">
        <v>8110</v>
      </c>
      <c r="X63" s="29">
        <v>8880</v>
      </c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10"/>
      <c r="AJ63" s="22">
        <v>9160</v>
      </c>
      <c r="AK63" s="22"/>
      <c r="AL63" s="22">
        <v>8717</v>
      </c>
      <c r="AM63" s="10"/>
      <c r="AN63" s="10"/>
      <c r="AO63" s="10"/>
      <c r="AP63" s="10"/>
      <c r="AQ63" s="10"/>
      <c r="AR63" s="33"/>
    </row>
    <row r="64" spans="2:74" ht="12.75">
      <c r="B64" s="7" t="s">
        <v>165</v>
      </c>
      <c r="D64" s="7" t="s">
        <v>77</v>
      </c>
      <c r="X64" s="29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N64" s="2">
        <v>267</v>
      </c>
      <c r="AP64" s="2">
        <v>250</v>
      </c>
      <c r="AR64" s="22">
        <v>253</v>
      </c>
      <c r="AT64" s="2">
        <v>257</v>
      </c>
      <c r="BV64" s="13"/>
    </row>
    <row r="65" spans="24:44" ht="12.75">
      <c r="X65" s="29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R65" s="33"/>
    </row>
    <row r="66" spans="2:74" ht="12.75">
      <c r="B66" s="7" t="s">
        <v>76</v>
      </c>
      <c r="D66" s="7" t="s">
        <v>77</v>
      </c>
      <c r="E66" s="10"/>
      <c r="F66" s="23">
        <f>((F59/454)*F63)/1000000</f>
        <v>34.125205814977974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BV66" s="13"/>
    </row>
    <row r="67" spans="5:54" ht="12.75">
      <c r="E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22"/>
      <c r="AI67" s="10"/>
      <c r="AJ67" s="10"/>
      <c r="AK67" s="10"/>
      <c r="AL67" s="10"/>
      <c r="AM67" s="10"/>
      <c r="AN67" s="10"/>
      <c r="AO67" s="10"/>
      <c r="AP67" s="10"/>
      <c r="AQ67" s="10"/>
      <c r="BB67" s="13"/>
    </row>
    <row r="68" spans="2:54" ht="12.75">
      <c r="B68" s="49"/>
      <c r="C68" s="49"/>
      <c r="E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22"/>
      <c r="AI68" s="10"/>
      <c r="AJ68" s="10"/>
      <c r="AK68" s="10"/>
      <c r="AL68" s="10"/>
      <c r="AM68" s="10"/>
      <c r="AN68" s="10"/>
      <c r="AO68" s="10"/>
      <c r="AP68" s="10"/>
      <c r="AQ68" s="10"/>
      <c r="BB68" s="13"/>
    </row>
    <row r="69" spans="5:43" ht="12.75">
      <c r="E69" s="10"/>
      <c r="F69" s="2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2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5:43" ht="12.75">
      <c r="E70" s="10"/>
      <c r="F70" s="2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2"/>
      <c r="AI70" s="10"/>
      <c r="AJ70" s="10"/>
      <c r="AK70" s="10"/>
      <c r="AL70" s="10"/>
      <c r="AM70" s="10"/>
      <c r="AN70" s="10"/>
      <c r="AO70" s="10"/>
      <c r="AP70" s="10"/>
      <c r="AQ70" s="10"/>
    </row>
    <row r="72" spans="2:3" ht="12.75">
      <c r="B72" s="21"/>
      <c r="C72" s="21"/>
    </row>
    <row r="74" spans="24:54" ht="12.75"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R74" s="22"/>
      <c r="BB74" s="22"/>
    </row>
    <row r="77" spans="5:24" ht="12.75">
      <c r="E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22"/>
    </row>
    <row r="78" spans="5:44" ht="12.75">
      <c r="E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R78" s="22"/>
    </row>
    <row r="79" spans="7:44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22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R79" s="23"/>
    </row>
    <row r="80" spans="6:44" ht="12.75">
      <c r="F80" s="23"/>
      <c r="X80" s="22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R80" s="23"/>
    </row>
    <row r="82" ht="12.75" customHeight="1">
      <c r="D82" s="24"/>
    </row>
    <row r="84" spans="6:54" ht="12.75">
      <c r="F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R84" s="23"/>
      <c r="BB84" s="23"/>
    </row>
    <row r="85" spans="6:54" ht="12.75">
      <c r="F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R85" s="23"/>
      <c r="BB85" s="23"/>
    </row>
    <row r="86" spans="24:44" ht="12.75"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R86" s="22"/>
    </row>
    <row r="87" spans="5:54" ht="12.75">
      <c r="E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2"/>
      <c r="AI87" s="10"/>
      <c r="AJ87" s="10"/>
      <c r="AK87" s="10"/>
      <c r="AL87" s="10"/>
      <c r="AM87" s="10"/>
      <c r="AN87" s="10"/>
      <c r="AO87" s="10"/>
      <c r="AP87" s="10"/>
      <c r="AQ87" s="10"/>
      <c r="BB87" s="13"/>
    </row>
    <row r="88" spans="5:54" ht="12.75">
      <c r="E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22"/>
      <c r="AI88" s="10"/>
      <c r="AJ88" s="10"/>
      <c r="AK88" s="10"/>
      <c r="AL88" s="10"/>
      <c r="AM88" s="10"/>
      <c r="AN88" s="10"/>
      <c r="AO88" s="10"/>
      <c r="AP88" s="10"/>
      <c r="AQ88" s="10"/>
      <c r="BB88" s="13"/>
    </row>
    <row r="89" spans="2:54" ht="12.75">
      <c r="B89" s="49"/>
      <c r="C89" s="49"/>
      <c r="E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2"/>
      <c r="AI89" s="10"/>
      <c r="AJ89" s="10"/>
      <c r="AK89" s="10"/>
      <c r="AL89" s="10"/>
      <c r="AM89" s="10"/>
      <c r="AN89" s="10"/>
      <c r="AO89" s="10"/>
      <c r="AP89" s="10"/>
      <c r="AQ89" s="10"/>
      <c r="BB89" s="13"/>
    </row>
    <row r="90" spans="5:54" ht="12.75">
      <c r="E90" s="10"/>
      <c r="F90" s="2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2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10"/>
      <c r="AJ90" s="10"/>
      <c r="AK90" s="10"/>
      <c r="AL90" s="10"/>
      <c r="AM90" s="10"/>
      <c r="AN90" s="10"/>
      <c r="AO90" s="10"/>
      <c r="AP90" s="10"/>
      <c r="AQ90" s="10"/>
      <c r="AR90" s="23"/>
      <c r="BB90" s="13"/>
    </row>
    <row r="91" spans="5:54" ht="12.75">
      <c r="E91" s="10"/>
      <c r="F91" s="2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22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10"/>
      <c r="AJ91" s="10"/>
      <c r="AK91" s="10"/>
      <c r="AL91" s="10"/>
      <c r="AM91" s="10"/>
      <c r="AN91" s="10"/>
      <c r="AO91" s="10"/>
      <c r="AP91" s="10"/>
      <c r="AQ91" s="10"/>
      <c r="AR91" s="23"/>
      <c r="BB91" s="13"/>
    </row>
    <row r="92" spans="6:54" ht="12.75">
      <c r="F92" s="23"/>
      <c r="X92" s="22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R92" s="23"/>
      <c r="BB92" s="13"/>
    </row>
    <row r="93" ht="12.75">
      <c r="X93" s="22"/>
    </row>
    <row r="95" ht="14.25">
      <c r="D95" s="24"/>
    </row>
    <row r="97" spans="2:3" ht="12.75">
      <c r="B97" s="21"/>
      <c r="C97" s="21"/>
    </row>
    <row r="99" ht="12.75">
      <c r="X99" s="22"/>
    </row>
    <row r="102" ht="14.25">
      <c r="D102" s="2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1" sqref="C1"/>
    </sheetView>
  </sheetViews>
  <sheetFormatPr defaultColWidth="9.140625" defaultRowHeight="12.75"/>
  <cols>
    <col min="1" max="1" width="16.140625" style="6" customWidth="1"/>
    <col min="2" max="16384" width="9.140625" style="6" customWidth="1"/>
  </cols>
  <sheetData>
    <row r="1" ht="12.75">
      <c r="A1" s="1" t="s">
        <v>71</v>
      </c>
    </row>
    <row r="3" spans="1:3" ht="12.75">
      <c r="A3" s="1" t="s">
        <v>152</v>
      </c>
      <c r="C3" s="20" t="s">
        <v>59</v>
      </c>
    </row>
    <row r="5" spans="1:3" ht="12.75">
      <c r="A5" s="6" t="s">
        <v>96</v>
      </c>
      <c r="B5" s="6" t="s">
        <v>98</v>
      </c>
      <c r="C5" s="6">
        <v>1545</v>
      </c>
    </row>
    <row r="6" spans="1:3" ht="12.75">
      <c r="A6" s="6" t="s">
        <v>97</v>
      </c>
      <c r="B6" s="6" t="s">
        <v>99</v>
      </c>
      <c r="C6" s="6">
        <v>271</v>
      </c>
    </row>
    <row r="8" ht="12.75">
      <c r="A8" s="1" t="s">
        <v>149</v>
      </c>
    </row>
    <row r="10" spans="1:3" ht="12.75">
      <c r="A10" s="6" t="s">
        <v>96</v>
      </c>
      <c r="B10" s="6" t="s">
        <v>98</v>
      </c>
      <c r="C10" s="6">
        <v>1194</v>
      </c>
    </row>
    <row r="11" spans="1:3" ht="12.75">
      <c r="A11" s="6" t="s">
        <v>97</v>
      </c>
      <c r="B11" s="6" t="s">
        <v>99</v>
      </c>
      <c r="C11" s="6">
        <v>143</v>
      </c>
    </row>
    <row r="13" ht="12.75">
      <c r="A13" s="1" t="s">
        <v>141</v>
      </c>
    </row>
    <row r="15" spans="1:3" ht="12.75">
      <c r="A15" s="6" t="s">
        <v>96</v>
      </c>
      <c r="B15" s="6" t="s">
        <v>98</v>
      </c>
      <c r="C15" s="6">
        <v>1547</v>
      </c>
    </row>
    <row r="16" spans="1:3" ht="12.75">
      <c r="A16" s="6" t="s">
        <v>97</v>
      </c>
      <c r="B16" s="6" t="s">
        <v>99</v>
      </c>
      <c r="C16" s="6">
        <v>259</v>
      </c>
    </row>
    <row r="18" ht="12.75">
      <c r="A18" s="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L48"/>
  <sheetViews>
    <sheetView workbookViewId="0" topLeftCell="A10">
      <selection activeCell="C1" sqref="C1"/>
    </sheetView>
  </sheetViews>
  <sheetFormatPr defaultColWidth="9.140625" defaultRowHeight="12.75"/>
  <cols>
    <col min="1" max="1" width="0.85546875" style="6" customWidth="1"/>
    <col min="2" max="2" width="20.00390625" style="6" customWidth="1"/>
    <col min="3" max="3" width="8.7109375" style="6" customWidth="1"/>
    <col min="4" max="4" width="4.8515625" style="6" customWidth="1"/>
    <col min="5" max="5" width="8.28125" style="6" customWidth="1"/>
    <col min="6" max="6" width="8.421875" style="6" customWidth="1"/>
    <col min="7" max="7" width="8.28125" style="6" customWidth="1"/>
    <col min="8" max="8" width="8.421875" style="6" customWidth="1"/>
    <col min="9" max="9" width="4.57421875" style="6" customWidth="1"/>
    <col min="10" max="10" width="8.00390625" style="6" customWidth="1"/>
    <col min="11" max="11" width="8.421875" style="6" customWidth="1"/>
    <col min="12" max="12" width="9.140625" style="6" customWidth="1"/>
    <col min="13" max="13" width="8.421875" style="6" customWidth="1"/>
    <col min="14" max="14" width="6.421875" style="20" customWidth="1"/>
    <col min="15" max="15" width="8.57421875" style="6" customWidth="1"/>
    <col min="16" max="16" width="8.7109375" style="6" customWidth="1"/>
    <col min="17" max="17" width="8.421875" style="6" customWidth="1"/>
    <col min="18" max="18" width="8.7109375" style="6" customWidth="1"/>
    <col min="65" max="16384" width="9.140625" style="6" customWidth="1"/>
  </cols>
  <sheetData>
    <row r="1" spans="1:18" ht="12.75">
      <c r="A1" s="47" t="s">
        <v>91</v>
      </c>
      <c r="B1" s="2"/>
      <c r="C1" s="2"/>
      <c r="D1" s="2"/>
      <c r="E1" s="3"/>
      <c r="F1" s="4"/>
      <c r="G1" s="3"/>
      <c r="H1" s="4"/>
      <c r="I1" s="3"/>
      <c r="J1" s="3"/>
      <c r="K1" s="3"/>
      <c r="L1" s="3"/>
      <c r="M1" s="3"/>
      <c r="N1" s="5"/>
      <c r="O1" s="3"/>
      <c r="P1" s="3"/>
      <c r="Q1" s="3"/>
      <c r="R1" s="3"/>
    </row>
    <row r="2" spans="1:18" ht="12.75">
      <c r="A2" s="2" t="s">
        <v>224</v>
      </c>
      <c r="B2" s="2"/>
      <c r="C2" s="2"/>
      <c r="D2" s="2"/>
      <c r="E2" s="3"/>
      <c r="F2" s="4"/>
      <c r="G2" s="3"/>
      <c r="H2" s="4"/>
      <c r="I2" s="3"/>
      <c r="J2" s="3"/>
      <c r="K2" s="3"/>
      <c r="L2" s="3"/>
      <c r="M2" s="3"/>
      <c r="N2" s="5"/>
      <c r="O2" s="3"/>
      <c r="P2" s="3"/>
      <c r="Q2" s="3"/>
      <c r="R2" s="3"/>
    </row>
    <row r="3" spans="1:18" ht="12.75">
      <c r="A3" s="2" t="s">
        <v>28</v>
      </c>
      <c r="B3" s="2"/>
      <c r="C3" s="7" t="s">
        <v>140</v>
      </c>
      <c r="D3" s="7"/>
      <c r="E3" s="3"/>
      <c r="F3" s="4"/>
      <c r="G3" s="3"/>
      <c r="H3" s="4"/>
      <c r="I3" s="3"/>
      <c r="J3" s="3"/>
      <c r="K3" s="3"/>
      <c r="L3" s="3"/>
      <c r="M3" s="3"/>
      <c r="N3" s="5"/>
      <c r="O3" s="3"/>
      <c r="P3" s="3"/>
      <c r="Q3" s="3"/>
      <c r="R3" s="3"/>
    </row>
    <row r="4" spans="1:18" ht="12.75">
      <c r="A4" s="2" t="s">
        <v>29</v>
      </c>
      <c r="B4" s="2"/>
      <c r="C4" s="7" t="s">
        <v>141</v>
      </c>
      <c r="D4" s="7"/>
      <c r="E4" s="8"/>
      <c r="F4" s="9"/>
      <c r="G4" s="8"/>
      <c r="H4" s="9"/>
      <c r="I4" s="8"/>
      <c r="J4" s="8"/>
      <c r="K4" s="8"/>
      <c r="L4" s="8"/>
      <c r="M4" s="8"/>
      <c r="N4" s="5"/>
      <c r="O4" s="8"/>
      <c r="P4" s="8"/>
      <c r="Q4" s="8"/>
      <c r="R4" s="8"/>
    </row>
    <row r="5" spans="1:18" ht="12.75">
      <c r="A5" s="2" t="s">
        <v>30</v>
      </c>
      <c r="B5" s="2"/>
      <c r="C5" s="6" t="s">
        <v>142</v>
      </c>
      <c r="J5" s="3"/>
      <c r="K5" s="3"/>
      <c r="L5" s="3"/>
      <c r="M5" s="3"/>
      <c r="N5" s="5"/>
      <c r="O5" s="3"/>
      <c r="P5" s="3"/>
      <c r="Q5" s="3"/>
      <c r="R5" s="3"/>
    </row>
    <row r="6" spans="1:18" ht="12.75">
      <c r="A6" s="2"/>
      <c r="B6" s="2"/>
      <c r="C6" s="10"/>
      <c r="D6" s="10"/>
      <c r="E6" s="5"/>
      <c r="F6" s="4"/>
      <c r="G6" s="5"/>
      <c r="H6" s="4"/>
      <c r="I6" s="3"/>
      <c r="J6" s="5"/>
      <c r="K6" s="3"/>
      <c r="L6" s="5"/>
      <c r="M6" s="3"/>
      <c r="N6" s="5"/>
      <c r="O6" s="5"/>
      <c r="P6" s="3"/>
      <c r="Q6" s="5"/>
      <c r="R6" s="3"/>
    </row>
    <row r="7" spans="3:64" s="2" customFormat="1" ht="12.75">
      <c r="C7" s="10" t="s">
        <v>31</v>
      </c>
      <c r="D7" s="10"/>
      <c r="E7" s="11" t="s">
        <v>32</v>
      </c>
      <c r="F7" s="11"/>
      <c r="G7" s="11"/>
      <c r="H7" s="11"/>
      <c r="I7" s="12"/>
      <c r="J7" s="11" t="s">
        <v>33</v>
      </c>
      <c r="K7" s="11"/>
      <c r="L7" s="11"/>
      <c r="M7" s="11"/>
      <c r="N7" s="12"/>
      <c r="O7" s="11" t="s">
        <v>34</v>
      </c>
      <c r="P7" s="11"/>
      <c r="Q7" s="11"/>
      <c r="R7" s="11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</row>
    <row r="8" spans="3:64" s="2" customFormat="1" ht="12.75">
      <c r="C8" s="10" t="s">
        <v>35</v>
      </c>
      <c r="E8" s="5" t="s">
        <v>36</v>
      </c>
      <c r="F8" s="9" t="s">
        <v>37</v>
      </c>
      <c r="G8" s="5" t="s">
        <v>36</v>
      </c>
      <c r="H8" s="9" t="s">
        <v>37</v>
      </c>
      <c r="I8" s="3"/>
      <c r="J8" s="5" t="s">
        <v>36</v>
      </c>
      <c r="K8" s="5" t="s">
        <v>38</v>
      </c>
      <c r="L8" s="5" t="s">
        <v>36</v>
      </c>
      <c r="M8" s="5" t="s">
        <v>38</v>
      </c>
      <c r="N8" s="5"/>
      <c r="O8" s="5" t="s">
        <v>36</v>
      </c>
      <c r="P8" s="5" t="s">
        <v>38</v>
      </c>
      <c r="Q8" s="5" t="s">
        <v>36</v>
      </c>
      <c r="R8" s="5" t="s">
        <v>38</v>
      </c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</row>
    <row r="9" spans="3:64" s="2" customFormat="1" ht="12.75">
      <c r="C9" s="10"/>
      <c r="E9" s="5" t="s">
        <v>222</v>
      </c>
      <c r="F9" s="5" t="s">
        <v>222</v>
      </c>
      <c r="G9" s="5" t="s">
        <v>90</v>
      </c>
      <c r="H9" s="9" t="s">
        <v>90</v>
      </c>
      <c r="I9" s="3"/>
      <c r="J9" s="5" t="s">
        <v>222</v>
      </c>
      <c r="K9" s="5" t="s">
        <v>222</v>
      </c>
      <c r="L9" s="5" t="s">
        <v>90</v>
      </c>
      <c r="M9" s="9" t="s">
        <v>90</v>
      </c>
      <c r="N9" s="5"/>
      <c r="O9" s="5" t="s">
        <v>222</v>
      </c>
      <c r="P9" s="5" t="s">
        <v>222</v>
      </c>
      <c r="Q9" s="5" t="s">
        <v>90</v>
      </c>
      <c r="R9" s="9" t="s">
        <v>90</v>
      </c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</row>
    <row r="10" spans="1:18" ht="12.75">
      <c r="A10" s="2" t="s">
        <v>67</v>
      </c>
      <c r="B10" s="2"/>
      <c r="C10" s="2"/>
      <c r="D10" s="2"/>
      <c r="E10" s="3"/>
      <c r="F10" s="4"/>
      <c r="G10" s="3"/>
      <c r="H10" s="4"/>
      <c r="I10" s="3"/>
      <c r="J10" s="3"/>
      <c r="K10" s="3"/>
      <c r="L10" s="3"/>
      <c r="M10" s="3"/>
      <c r="N10" s="5"/>
      <c r="O10" s="13"/>
      <c r="P10" s="3"/>
      <c r="Q10" s="3"/>
      <c r="R10" s="3"/>
    </row>
    <row r="11" spans="1:18" ht="12.75">
      <c r="A11" s="2"/>
      <c r="B11" s="2" t="s">
        <v>39</v>
      </c>
      <c r="C11" s="10">
        <v>1</v>
      </c>
      <c r="D11" s="10" t="s">
        <v>40</v>
      </c>
      <c r="E11" s="14">
        <v>0.0073</v>
      </c>
      <c r="F11" s="4">
        <f aca="true" t="shared" si="0" ref="F11:H27">IF(E11="","",E11*$C11)</f>
        <v>0.0073</v>
      </c>
      <c r="G11" s="14">
        <f aca="true" t="shared" si="1" ref="G11:G18">IF(E11=0,"",IF(D11="nd",E11/2,E11))</f>
        <v>0.00365</v>
      </c>
      <c r="H11" s="4">
        <f t="shared" si="0"/>
        <v>0.00365</v>
      </c>
      <c r="I11" s="10" t="s">
        <v>40</v>
      </c>
      <c r="J11" s="14">
        <v>0.007</v>
      </c>
      <c r="K11" s="4">
        <f aca="true" t="shared" si="2" ref="K11:M27">IF(J11="","",J11*$C11)</f>
        <v>0.007</v>
      </c>
      <c r="L11" s="14">
        <f>IF(J11=0,"",IF(I11="nd",J11/2,J11))</f>
        <v>0.0035</v>
      </c>
      <c r="M11" s="4">
        <f t="shared" si="2"/>
        <v>0.0035</v>
      </c>
      <c r="N11" s="10" t="s">
        <v>40</v>
      </c>
      <c r="O11" s="14">
        <v>0.0094</v>
      </c>
      <c r="P11" s="14">
        <f aca="true" t="shared" si="3" ref="P11:R27">IF(O11="","",O11*$C11)</f>
        <v>0.0094</v>
      </c>
      <c r="Q11" s="14">
        <f>IF(O11=0,"",IF(N11="nd",O11/2,O11))</f>
        <v>0.0047</v>
      </c>
      <c r="R11" s="14">
        <f t="shared" si="3"/>
        <v>0.0047</v>
      </c>
    </row>
    <row r="12" spans="1:18" ht="12.75">
      <c r="A12" s="2"/>
      <c r="B12" s="2" t="s">
        <v>41</v>
      </c>
      <c r="C12" s="10">
        <v>0.5</v>
      </c>
      <c r="D12" s="10" t="s">
        <v>40</v>
      </c>
      <c r="E12" s="14">
        <v>0.0072</v>
      </c>
      <c r="F12" s="4">
        <f t="shared" si="0"/>
        <v>0.0036</v>
      </c>
      <c r="G12" s="14">
        <f t="shared" si="1"/>
        <v>0.0036</v>
      </c>
      <c r="H12" s="4">
        <f t="shared" si="0"/>
        <v>0.0018</v>
      </c>
      <c r="I12" s="10" t="s">
        <v>40</v>
      </c>
      <c r="J12" s="14">
        <v>0.0092</v>
      </c>
      <c r="K12" s="4">
        <f t="shared" si="2"/>
        <v>0.0046</v>
      </c>
      <c r="L12" s="14">
        <f aca="true" t="shared" si="4" ref="L12:L27">IF(J12=0,"",IF(I12="nd",J12/2,J12))</f>
        <v>0.0046</v>
      </c>
      <c r="M12" s="4">
        <f t="shared" si="2"/>
        <v>0.0023</v>
      </c>
      <c r="N12" s="10" t="s">
        <v>40</v>
      </c>
      <c r="O12" s="14">
        <v>0.0171</v>
      </c>
      <c r="P12" s="14">
        <f t="shared" si="3"/>
        <v>0.00855</v>
      </c>
      <c r="Q12" s="14">
        <f aca="true" t="shared" si="5" ref="Q12:Q27">IF(O12=0,"",IF(N12="nd",O12/2,O12))</f>
        <v>0.00855</v>
      </c>
      <c r="R12" s="14">
        <f t="shared" si="3"/>
        <v>0.004275</v>
      </c>
    </row>
    <row r="13" spans="1:18" ht="12.75">
      <c r="A13" s="2"/>
      <c r="B13" s="2" t="s">
        <v>42</v>
      </c>
      <c r="C13" s="10">
        <v>0.1</v>
      </c>
      <c r="D13" s="10" t="s">
        <v>40</v>
      </c>
      <c r="E13" s="14">
        <v>0.0136</v>
      </c>
      <c r="F13" s="4">
        <f t="shared" si="0"/>
        <v>0.00136</v>
      </c>
      <c r="G13" s="14">
        <f t="shared" si="1"/>
        <v>0.0068</v>
      </c>
      <c r="H13" s="4">
        <f t="shared" si="0"/>
        <v>0.00068</v>
      </c>
      <c r="I13" s="10" t="s">
        <v>40</v>
      </c>
      <c r="J13" s="14">
        <v>0.0111</v>
      </c>
      <c r="K13" s="14">
        <f t="shared" si="2"/>
        <v>0.00111</v>
      </c>
      <c r="L13" s="14">
        <f t="shared" si="4"/>
        <v>0.00555</v>
      </c>
      <c r="M13" s="14">
        <f t="shared" si="2"/>
        <v>0.000555</v>
      </c>
      <c r="N13" s="10"/>
      <c r="O13" s="14">
        <v>0.027</v>
      </c>
      <c r="P13" s="14">
        <f t="shared" si="3"/>
        <v>0.0027</v>
      </c>
      <c r="Q13" s="14">
        <f t="shared" si="5"/>
        <v>0.027</v>
      </c>
      <c r="R13" s="14">
        <f t="shared" si="3"/>
        <v>0.0027</v>
      </c>
    </row>
    <row r="14" spans="1:18" ht="12.75">
      <c r="A14" s="2"/>
      <c r="B14" s="2" t="s">
        <v>43</v>
      </c>
      <c r="C14" s="10">
        <v>0.1</v>
      </c>
      <c r="D14" s="10" t="s">
        <v>40</v>
      </c>
      <c r="E14" s="14">
        <v>0.0141</v>
      </c>
      <c r="F14" s="4">
        <f t="shared" si="0"/>
        <v>0.00141</v>
      </c>
      <c r="G14" s="14">
        <f t="shared" si="1"/>
        <v>0.00705</v>
      </c>
      <c r="H14" s="4">
        <f t="shared" si="0"/>
        <v>0.000705</v>
      </c>
      <c r="I14" s="10" t="s">
        <v>40</v>
      </c>
      <c r="J14" s="14">
        <v>0.0194</v>
      </c>
      <c r="K14" s="14">
        <f t="shared" si="2"/>
        <v>0.00194</v>
      </c>
      <c r="L14" s="14">
        <f t="shared" si="4"/>
        <v>0.0097</v>
      </c>
      <c r="M14" s="14">
        <f t="shared" si="2"/>
        <v>0.00097</v>
      </c>
      <c r="N14" s="10"/>
      <c r="O14" s="14">
        <v>0.042</v>
      </c>
      <c r="P14" s="14">
        <f t="shared" si="3"/>
        <v>0.004200000000000001</v>
      </c>
      <c r="Q14" s="14">
        <f t="shared" si="5"/>
        <v>0.042</v>
      </c>
      <c r="R14" s="14">
        <f t="shared" si="3"/>
        <v>0.004200000000000001</v>
      </c>
    </row>
    <row r="15" spans="1:18" ht="12.75">
      <c r="A15" s="2"/>
      <c r="B15" s="2" t="s">
        <v>44</v>
      </c>
      <c r="C15" s="10">
        <v>0.1</v>
      </c>
      <c r="D15" s="10" t="s">
        <v>40</v>
      </c>
      <c r="E15" s="14">
        <v>0.0343</v>
      </c>
      <c r="F15" s="4">
        <f t="shared" si="0"/>
        <v>0.00343</v>
      </c>
      <c r="G15" s="14">
        <f t="shared" si="1"/>
        <v>0.01715</v>
      </c>
      <c r="H15" s="4">
        <f t="shared" si="0"/>
        <v>0.001715</v>
      </c>
      <c r="I15" s="10" t="s">
        <v>40</v>
      </c>
      <c r="J15" s="14">
        <v>0.038</v>
      </c>
      <c r="K15" s="14">
        <f t="shared" si="2"/>
        <v>0.0038</v>
      </c>
      <c r="L15" s="14">
        <f t="shared" si="4"/>
        <v>0.019</v>
      </c>
      <c r="M15" s="14">
        <f t="shared" si="2"/>
        <v>0.0019</v>
      </c>
      <c r="N15" s="10"/>
      <c r="O15" s="14">
        <v>0.079</v>
      </c>
      <c r="P15" s="14">
        <f t="shared" si="3"/>
        <v>0.0079</v>
      </c>
      <c r="Q15" s="14">
        <f t="shared" si="5"/>
        <v>0.079</v>
      </c>
      <c r="R15" s="14">
        <f t="shared" si="3"/>
        <v>0.0079</v>
      </c>
    </row>
    <row r="16" spans="1:18" ht="12.75">
      <c r="A16" s="2"/>
      <c r="B16" s="2" t="s">
        <v>45</v>
      </c>
      <c r="C16" s="10">
        <v>0.01</v>
      </c>
      <c r="D16" s="10"/>
      <c r="E16" s="14">
        <v>0.111</v>
      </c>
      <c r="F16" s="4">
        <f t="shared" si="0"/>
        <v>0.00111</v>
      </c>
      <c r="G16" s="14">
        <f t="shared" si="1"/>
        <v>0.111</v>
      </c>
      <c r="H16" s="4">
        <f t="shared" si="0"/>
        <v>0.00111</v>
      </c>
      <c r="I16" s="10"/>
      <c r="J16" s="14">
        <v>0.132</v>
      </c>
      <c r="K16" s="14">
        <f t="shared" si="2"/>
        <v>0.00132</v>
      </c>
      <c r="L16" s="14">
        <f t="shared" si="4"/>
        <v>0.132</v>
      </c>
      <c r="M16" s="14">
        <f t="shared" si="2"/>
        <v>0.00132</v>
      </c>
      <c r="N16" s="10"/>
      <c r="O16" s="14">
        <v>0.239</v>
      </c>
      <c r="P16" s="14">
        <f t="shared" si="3"/>
        <v>0.0023899999999999998</v>
      </c>
      <c r="Q16" s="14">
        <f t="shared" si="5"/>
        <v>0.239</v>
      </c>
      <c r="R16" s="14">
        <f t="shared" si="3"/>
        <v>0.0023899999999999998</v>
      </c>
    </row>
    <row r="17" spans="1:18" ht="12.75">
      <c r="A17" s="2"/>
      <c r="B17" s="2" t="s">
        <v>46</v>
      </c>
      <c r="C17" s="10">
        <v>0.001</v>
      </c>
      <c r="D17" s="10"/>
      <c r="E17" s="14">
        <v>0.135</v>
      </c>
      <c r="F17" s="4">
        <f t="shared" si="0"/>
        <v>0.000135</v>
      </c>
      <c r="G17" s="14">
        <f t="shared" si="1"/>
        <v>0.135</v>
      </c>
      <c r="H17" s="4">
        <f t="shared" si="0"/>
        <v>0.000135</v>
      </c>
      <c r="I17" s="10"/>
      <c r="J17" s="14">
        <v>0.152</v>
      </c>
      <c r="K17" s="4">
        <f t="shared" si="2"/>
        <v>0.000152</v>
      </c>
      <c r="L17" s="14">
        <f>IF(J17=0,"",IF(I17="nd",J17/2,J17))</f>
        <v>0.152</v>
      </c>
      <c r="M17" s="4">
        <f t="shared" si="2"/>
        <v>0.000152</v>
      </c>
      <c r="N17" s="10"/>
      <c r="O17" s="14">
        <v>0.246</v>
      </c>
      <c r="P17" s="14">
        <f t="shared" si="3"/>
        <v>0.000246</v>
      </c>
      <c r="Q17" s="14">
        <f>IF(O17=0,"",IF(N17="nd",O17/2,O17))</f>
        <v>0.246</v>
      </c>
      <c r="R17" s="14">
        <f t="shared" si="3"/>
        <v>0.000246</v>
      </c>
    </row>
    <row r="18" spans="1:18" ht="12.75">
      <c r="A18" s="2"/>
      <c r="B18" s="2" t="s">
        <v>47</v>
      </c>
      <c r="C18" s="10">
        <v>0.1</v>
      </c>
      <c r="D18" s="10"/>
      <c r="E18" s="14">
        <v>0.1</v>
      </c>
      <c r="F18" s="4">
        <f t="shared" si="0"/>
        <v>0.010000000000000002</v>
      </c>
      <c r="G18" s="14">
        <f t="shared" si="1"/>
        <v>0.1</v>
      </c>
      <c r="H18" s="4">
        <f t="shared" si="0"/>
        <v>0.010000000000000002</v>
      </c>
      <c r="I18" s="10"/>
      <c r="J18" s="14">
        <v>0.105</v>
      </c>
      <c r="K18" s="14">
        <f t="shared" si="2"/>
        <v>0.0105</v>
      </c>
      <c r="L18" s="14">
        <f>IF(J18=0,"",IF(I18="nd",J18/2,J18))</f>
        <v>0.105</v>
      </c>
      <c r="M18" s="14">
        <f t="shared" si="2"/>
        <v>0.0105</v>
      </c>
      <c r="N18" s="10"/>
      <c r="O18" s="14">
        <v>0.122</v>
      </c>
      <c r="P18" s="14">
        <f t="shared" si="3"/>
        <v>0.0122</v>
      </c>
      <c r="Q18" s="14">
        <f t="shared" si="5"/>
        <v>0.122</v>
      </c>
      <c r="R18" s="14">
        <f t="shared" si="3"/>
        <v>0.0122</v>
      </c>
    </row>
    <row r="19" spans="1:18" ht="12.75">
      <c r="A19" s="2"/>
      <c r="B19" s="2" t="s">
        <v>48</v>
      </c>
      <c r="C19" s="10">
        <v>0.05</v>
      </c>
      <c r="D19" s="10"/>
      <c r="E19" s="14">
        <v>0.039</v>
      </c>
      <c r="F19" s="4">
        <f t="shared" si="0"/>
        <v>0.0019500000000000001</v>
      </c>
      <c r="G19" s="14">
        <f aca="true" t="shared" si="6" ref="G19:G27">IF(E19=0,"",IF(D19="nd",E19/2,E19))</f>
        <v>0.039</v>
      </c>
      <c r="H19" s="4">
        <f t="shared" si="0"/>
        <v>0.0019500000000000001</v>
      </c>
      <c r="I19" s="10" t="s">
        <v>40</v>
      </c>
      <c r="J19" s="14">
        <v>0.051</v>
      </c>
      <c r="K19" s="14">
        <f t="shared" si="2"/>
        <v>0.00255</v>
      </c>
      <c r="L19" s="14">
        <f>IF(J19=0,"",IF(I19="nd",J19/2,J19))</f>
        <v>0.0255</v>
      </c>
      <c r="M19" s="14">
        <f t="shared" si="2"/>
        <v>0.001275</v>
      </c>
      <c r="N19" s="10"/>
      <c r="O19" s="14">
        <v>0.093</v>
      </c>
      <c r="P19" s="14">
        <f t="shared" si="3"/>
        <v>0.0046500000000000005</v>
      </c>
      <c r="Q19" s="14">
        <f t="shared" si="5"/>
        <v>0.093</v>
      </c>
      <c r="R19" s="14">
        <f t="shared" si="3"/>
        <v>0.0046500000000000005</v>
      </c>
    </row>
    <row r="20" spans="1:18" ht="12.75">
      <c r="A20" s="2"/>
      <c r="B20" s="2" t="s">
        <v>49</v>
      </c>
      <c r="C20" s="10">
        <v>0.5</v>
      </c>
      <c r="D20" s="10"/>
      <c r="E20" s="14">
        <v>0.07</v>
      </c>
      <c r="F20" s="4">
        <f t="shared" si="0"/>
        <v>0.035</v>
      </c>
      <c r="G20" s="14">
        <f t="shared" si="6"/>
        <v>0.07</v>
      </c>
      <c r="H20" s="4">
        <f t="shared" si="0"/>
        <v>0.035</v>
      </c>
      <c r="I20" s="10"/>
      <c r="J20" s="14">
        <v>0.08</v>
      </c>
      <c r="K20" s="14">
        <f t="shared" si="2"/>
        <v>0.04</v>
      </c>
      <c r="L20" s="14">
        <f t="shared" si="4"/>
        <v>0.08</v>
      </c>
      <c r="M20" s="14">
        <f t="shared" si="2"/>
        <v>0.04</v>
      </c>
      <c r="N20" s="10"/>
      <c r="O20" s="14">
        <v>0.153</v>
      </c>
      <c r="P20" s="14">
        <f t="shared" si="3"/>
        <v>0.0765</v>
      </c>
      <c r="Q20" s="14">
        <f t="shared" si="5"/>
        <v>0.153</v>
      </c>
      <c r="R20" s="14">
        <f t="shared" si="3"/>
        <v>0.0765</v>
      </c>
    </row>
    <row r="21" spans="1:18" ht="12.75">
      <c r="A21" s="2"/>
      <c r="B21" s="2" t="s">
        <v>50</v>
      </c>
      <c r="C21" s="10">
        <v>0.1</v>
      </c>
      <c r="D21" s="10"/>
      <c r="E21" s="14">
        <v>0.285</v>
      </c>
      <c r="F21" s="4">
        <f t="shared" si="0"/>
        <v>0.028499999999999998</v>
      </c>
      <c r="G21" s="14">
        <f t="shared" si="6"/>
        <v>0.285</v>
      </c>
      <c r="H21" s="4">
        <f t="shared" si="0"/>
        <v>0.028499999999999998</v>
      </c>
      <c r="I21" s="10"/>
      <c r="J21" s="14">
        <v>0.313</v>
      </c>
      <c r="K21" s="14">
        <f t="shared" si="2"/>
        <v>0.0313</v>
      </c>
      <c r="L21" s="14">
        <f t="shared" si="4"/>
        <v>0.313</v>
      </c>
      <c r="M21" s="14">
        <f t="shared" si="2"/>
        <v>0.0313</v>
      </c>
      <c r="N21" s="10"/>
      <c r="O21" s="14">
        <v>0.64</v>
      </c>
      <c r="P21" s="14">
        <f t="shared" si="3"/>
        <v>0.064</v>
      </c>
      <c r="Q21" s="14">
        <f t="shared" si="5"/>
        <v>0.64</v>
      </c>
      <c r="R21" s="14">
        <f t="shared" si="3"/>
        <v>0.064</v>
      </c>
    </row>
    <row r="22" spans="1:18" ht="12.75">
      <c r="A22" s="2"/>
      <c r="B22" s="2" t="s">
        <v>51</v>
      </c>
      <c r="C22" s="10">
        <v>0.1</v>
      </c>
      <c r="D22" s="10" t="s">
        <v>40</v>
      </c>
      <c r="E22" s="14">
        <v>0.088</v>
      </c>
      <c r="F22" s="4">
        <f t="shared" si="0"/>
        <v>0.0088</v>
      </c>
      <c r="G22" s="14">
        <f t="shared" si="6"/>
        <v>0.044</v>
      </c>
      <c r="H22" s="4">
        <f t="shared" si="0"/>
        <v>0.0044</v>
      </c>
      <c r="I22" s="10"/>
      <c r="J22" s="14">
        <v>0.009</v>
      </c>
      <c r="K22" s="14">
        <f t="shared" si="2"/>
        <v>0.0009</v>
      </c>
      <c r="L22" s="14">
        <f t="shared" si="4"/>
        <v>0.009</v>
      </c>
      <c r="M22" s="14">
        <f t="shared" si="2"/>
        <v>0.0009</v>
      </c>
      <c r="N22" s="10"/>
      <c r="O22" s="14">
        <v>0.183</v>
      </c>
      <c r="P22" s="14">
        <f t="shared" si="3"/>
        <v>0.0183</v>
      </c>
      <c r="Q22" s="14">
        <f t="shared" si="5"/>
        <v>0.183</v>
      </c>
      <c r="R22" s="14">
        <f t="shared" si="3"/>
        <v>0.0183</v>
      </c>
    </row>
    <row r="23" spans="1:18" ht="12.75">
      <c r="A23" s="2"/>
      <c r="B23" s="2" t="s">
        <v>52</v>
      </c>
      <c r="C23" s="10">
        <v>0.1</v>
      </c>
      <c r="D23" s="10"/>
      <c r="E23" s="14">
        <v>0.112</v>
      </c>
      <c r="F23" s="4">
        <f t="shared" si="0"/>
        <v>0.011200000000000002</v>
      </c>
      <c r="G23" s="14">
        <f t="shared" si="6"/>
        <v>0.112</v>
      </c>
      <c r="H23" s="4">
        <f t="shared" si="0"/>
        <v>0.011200000000000002</v>
      </c>
      <c r="I23" s="10"/>
      <c r="J23" s="14">
        <v>0.114</v>
      </c>
      <c r="K23" s="14">
        <f t="shared" si="2"/>
        <v>0.0114</v>
      </c>
      <c r="L23" s="14">
        <f t="shared" si="4"/>
        <v>0.114</v>
      </c>
      <c r="M23" s="14">
        <f t="shared" si="2"/>
        <v>0.0114</v>
      </c>
      <c r="N23" s="10"/>
      <c r="O23" s="14">
        <v>0.229</v>
      </c>
      <c r="P23" s="14">
        <f t="shared" si="3"/>
        <v>0.022900000000000004</v>
      </c>
      <c r="Q23" s="14">
        <f t="shared" si="5"/>
        <v>0.229</v>
      </c>
      <c r="R23" s="14">
        <f t="shared" si="3"/>
        <v>0.022900000000000004</v>
      </c>
    </row>
    <row r="24" spans="1:18" ht="12.75">
      <c r="A24" s="2"/>
      <c r="B24" s="2" t="s">
        <v>53</v>
      </c>
      <c r="C24" s="10">
        <v>0.1</v>
      </c>
      <c r="D24" s="10" t="s">
        <v>40</v>
      </c>
      <c r="E24" s="14">
        <v>0.0086</v>
      </c>
      <c r="F24" s="4">
        <f t="shared" si="0"/>
        <v>0.0008600000000000001</v>
      </c>
      <c r="G24" s="14">
        <f t="shared" si="6"/>
        <v>0.0043</v>
      </c>
      <c r="H24" s="4">
        <f t="shared" si="0"/>
        <v>0.00043000000000000004</v>
      </c>
      <c r="I24" s="10" t="s">
        <v>40</v>
      </c>
      <c r="J24" s="14">
        <v>0.009</v>
      </c>
      <c r="K24" s="14">
        <f t="shared" si="2"/>
        <v>0.0009</v>
      </c>
      <c r="L24" s="14">
        <f t="shared" si="4"/>
        <v>0.0045</v>
      </c>
      <c r="M24" s="14">
        <f t="shared" si="2"/>
        <v>0.00045</v>
      </c>
      <c r="N24" s="10" t="s">
        <v>40</v>
      </c>
      <c r="O24" s="14">
        <v>0.0085</v>
      </c>
      <c r="P24" s="4">
        <f t="shared" si="3"/>
        <v>0.0008500000000000001</v>
      </c>
      <c r="Q24" s="14">
        <f t="shared" si="5"/>
        <v>0.00425</v>
      </c>
      <c r="R24" s="4">
        <f t="shared" si="3"/>
        <v>0.00042500000000000003</v>
      </c>
    </row>
    <row r="25" spans="1:18" ht="12.75">
      <c r="A25" s="2"/>
      <c r="B25" s="2" t="s">
        <v>54</v>
      </c>
      <c r="C25" s="10">
        <v>0.01</v>
      </c>
      <c r="D25" s="10"/>
      <c r="E25" s="14">
        <v>0.359</v>
      </c>
      <c r="F25" s="4">
        <f t="shared" si="0"/>
        <v>0.00359</v>
      </c>
      <c r="G25" s="14">
        <f t="shared" si="6"/>
        <v>0.359</v>
      </c>
      <c r="H25" s="4">
        <f t="shared" si="0"/>
        <v>0.00359</v>
      </c>
      <c r="I25" s="10"/>
      <c r="J25" s="14">
        <v>0.4</v>
      </c>
      <c r="K25" s="14">
        <f t="shared" si="2"/>
        <v>0.004</v>
      </c>
      <c r="L25" s="14">
        <f t="shared" si="4"/>
        <v>0.4</v>
      </c>
      <c r="M25" s="14">
        <f t="shared" si="2"/>
        <v>0.004</v>
      </c>
      <c r="N25" s="10"/>
      <c r="O25" s="14">
        <v>0.83</v>
      </c>
      <c r="P25" s="4">
        <f t="shared" si="3"/>
        <v>0.0083</v>
      </c>
      <c r="Q25" s="14">
        <f t="shared" si="5"/>
        <v>0.83</v>
      </c>
      <c r="R25" s="4">
        <f t="shared" si="3"/>
        <v>0.0083</v>
      </c>
    </row>
    <row r="26" spans="1:18" ht="12.75">
      <c r="A26" s="2"/>
      <c r="B26" s="2" t="s">
        <v>55</v>
      </c>
      <c r="C26" s="10">
        <v>0.01</v>
      </c>
      <c r="D26" s="10" t="s">
        <v>40</v>
      </c>
      <c r="E26" s="14">
        <v>0.0228</v>
      </c>
      <c r="F26" s="4">
        <f t="shared" si="0"/>
        <v>0.000228</v>
      </c>
      <c r="G26" s="14">
        <f t="shared" si="6"/>
        <v>0.0114</v>
      </c>
      <c r="H26" s="4">
        <f t="shared" si="0"/>
        <v>0.000114</v>
      </c>
      <c r="I26" s="10" t="s">
        <v>40</v>
      </c>
      <c r="J26" s="14">
        <v>0.021</v>
      </c>
      <c r="K26" s="4">
        <f t="shared" si="2"/>
        <v>0.00021</v>
      </c>
      <c r="L26" s="14">
        <f t="shared" si="4"/>
        <v>0.0105</v>
      </c>
      <c r="M26" s="4">
        <f t="shared" si="2"/>
        <v>0.000105</v>
      </c>
      <c r="N26" s="10"/>
      <c r="O26" s="14">
        <v>0.043</v>
      </c>
      <c r="P26" s="4">
        <f t="shared" si="3"/>
        <v>0.00043</v>
      </c>
      <c r="Q26" s="14">
        <f t="shared" si="5"/>
        <v>0.043</v>
      </c>
      <c r="R26" s="4">
        <f t="shared" si="3"/>
        <v>0.00043</v>
      </c>
    </row>
    <row r="27" spans="1:18" ht="12.75">
      <c r="A27" s="2"/>
      <c r="B27" s="2" t="s">
        <v>56</v>
      </c>
      <c r="C27" s="10">
        <v>0.001</v>
      </c>
      <c r="D27" s="10"/>
      <c r="E27" s="14">
        <v>0.059</v>
      </c>
      <c r="F27" s="4">
        <f t="shared" si="0"/>
        <v>5.9E-05</v>
      </c>
      <c r="G27" s="14">
        <f t="shared" si="6"/>
        <v>0.059</v>
      </c>
      <c r="H27" s="4">
        <f t="shared" si="0"/>
        <v>5.9E-05</v>
      </c>
      <c r="I27" s="10"/>
      <c r="J27" s="14">
        <v>0.08</v>
      </c>
      <c r="K27" s="4">
        <f t="shared" si="2"/>
        <v>8E-05</v>
      </c>
      <c r="L27" s="14">
        <f t="shared" si="4"/>
        <v>0.08</v>
      </c>
      <c r="M27" s="4">
        <f t="shared" si="2"/>
        <v>8E-05</v>
      </c>
      <c r="N27" s="10"/>
      <c r="O27" s="14">
        <v>0.13</v>
      </c>
      <c r="P27" s="4">
        <f t="shared" si="3"/>
        <v>0.00013000000000000002</v>
      </c>
      <c r="Q27" s="14">
        <f t="shared" si="5"/>
        <v>0.13</v>
      </c>
      <c r="R27" s="4">
        <f t="shared" si="3"/>
        <v>0.00013000000000000002</v>
      </c>
    </row>
    <row r="28" spans="1:18" ht="12.75">
      <c r="A28" s="2"/>
      <c r="B28" s="2"/>
      <c r="C28" s="2"/>
      <c r="D28" s="2"/>
      <c r="E28" s="17"/>
      <c r="F28" s="4"/>
      <c r="G28" s="17"/>
      <c r="H28" s="4"/>
      <c r="I28" s="17"/>
      <c r="K28" s="13"/>
      <c r="L28" s="13"/>
      <c r="M28" s="13"/>
      <c r="N28" s="18"/>
      <c r="P28" s="3"/>
      <c r="Q28" s="17"/>
      <c r="R28" s="3"/>
    </row>
    <row r="29" spans="1:18" ht="12.75">
      <c r="A29" s="2"/>
      <c r="B29" s="2" t="s">
        <v>57</v>
      </c>
      <c r="C29" s="2"/>
      <c r="D29" s="2"/>
      <c r="E29" s="17"/>
      <c r="F29" s="17">
        <v>144.892</v>
      </c>
      <c r="G29" s="17"/>
      <c r="H29" s="17">
        <v>144.892</v>
      </c>
      <c r="I29" s="17"/>
      <c r="J29" s="17"/>
      <c r="K29" s="17">
        <v>143.648</v>
      </c>
      <c r="L29" s="17"/>
      <c r="M29" s="17">
        <v>143.648</v>
      </c>
      <c r="N29" s="18"/>
      <c r="O29" s="17"/>
      <c r="P29" s="17">
        <v>142.036</v>
      </c>
      <c r="Q29" s="17"/>
      <c r="R29" s="17">
        <v>142.036</v>
      </c>
    </row>
    <row r="30" spans="1:18" ht="12.75">
      <c r="A30" s="2"/>
      <c r="B30" s="2" t="s">
        <v>80</v>
      </c>
      <c r="C30" s="2"/>
      <c r="D30" s="2"/>
      <c r="E30" s="17"/>
      <c r="F30" s="17">
        <v>4.2</v>
      </c>
      <c r="G30" s="17"/>
      <c r="H30" s="17">
        <v>4.2</v>
      </c>
      <c r="I30" s="17"/>
      <c r="J30" s="17"/>
      <c r="K30" s="13">
        <v>4.9</v>
      </c>
      <c r="L30" s="13"/>
      <c r="M30" s="13">
        <v>4.9</v>
      </c>
      <c r="N30" s="18"/>
      <c r="O30" s="17"/>
      <c r="P30" s="17">
        <v>4.1</v>
      </c>
      <c r="Q30" s="17"/>
      <c r="R30" s="17">
        <v>4.1</v>
      </c>
    </row>
    <row r="31" spans="1:18" ht="12.75">
      <c r="A31" s="2"/>
      <c r="B31" s="2"/>
      <c r="C31" s="2"/>
      <c r="D31" s="2"/>
      <c r="E31" s="17"/>
      <c r="G31" s="17"/>
      <c r="J31" s="17"/>
      <c r="K31" s="16"/>
      <c r="L31" s="13"/>
      <c r="M31" s="16"/>
      <c r="N31" s="18"/>
      <c r="O31" s="17"/>
      <c r="P31" s="17"/>
      <c r="Q31" s="17"/>
      <c r="R31" s="17"/>
    </row>
    <row r="32" spans="1:18" ht="12.75">
      <c r="A32" s="2"/>
      <c r="B32" s="2" t="s">
        <v>68</v>
      </c>
      <c r="C32" s="4"/>
      <c r="D32" s="4"/>
      <c r="E32" s="13"/>
      <c r="F32" s="17">
        <f>SUM(F11:F27)</f>
        <v>0.11853200000000001</v>
      </c>
      <c r="G32" s="13"/>
      <c r="H32" s="17">
        <f>SUM(H11:H27)</f>
        <v>0.105038</v>
      </c>
      <c r="I32" s="4"/>
      <c r="J32" s="13"/>
      <c r="K32" s="14">
        <f>SUM(K11:K27)</f>
        <v>0.12176200000000001</v>
      </c>
      <c r="L32" s="13"/>
      <c r="M32" s="14">
        <f>SUM(M11:M27)</f>
        <v>0.110707</v>
      </c>
      <c r="N32" s="9"/>
      <c r="O32" s="17"/>
      <c r="P32" s="4">
        <f>SUM(P11:P27)</f>
        <v>0.24364600000000003</v>
      </c>
      <c r="Q32" s="17"/>
      <c r="R32" s="4">
        <f>SUM(R11:R27)</f>
        <v>0.23424600000000004</v>
      </c>
    </row>
    <row r="33" spans="1:18" ht="12.75">
      <c r="A33" s="2"/>
      <c r="B33" s="2" t="s">
        <v>58</v>
      </c>
      <c r="C33" s="4"/>
      <c r="D33" s="13">
        <f>(F33-H33)*2/F33*100</f>
        <v>22.768535079134782</v>
      </c>
      <c r="E33" s="17"/>
      <c r="F33" s="14">
        <f>(F32/F29/0.0283*(21-7)/(21-F30))</f>
        <v>0.024089263577888667</v>
      </c>
      <c r="G33" s="14"/>
      <c r="H33" s="14">
        <f>(H32/H29/0.0283*(21-7)/(21-H30))</f>
        <v>0.021346877363870257</v>
      </c>
      <c r="I33" s="13">
        <f>(K33-M33)*2/K33*100</f>
        <v>18.158374533926867</v>
      </c>
      <c r="J33" s="17"/>
      <c r="K33" s="14">
        <f>K32/K29/0.0283*(21-7)/(21-K30)</f>
        <v>0.026045212994150604</v>
      </c>
      <c r="L33" s="13"/>
      <c r="M33" s="14">
        <f>M32/M29/0.0283*(21-7)/(21-M30)</f>
        <v>0.023680519332332176</v>
      </c>
      <c r="N33" s="13">
        <f>(P33-R33)*2/P33*100</f>
        <v>7.716112720914786</v>
      </c>
      <c r="O33" s="17"/>
      <c r="P33" s="14">
        <f>P32/P29/0.0283*(21-7)/(21-P30)</f>
        <v>0.05021295130695556</v>
      </c>
      <c r="Q33" s="14"/>
      <c r="R33" s="14">
        <f>R32/R29/0.0283*(21-7)/(21-R30)</f>
        <v>0.048275707345284184</v>
      </c>
    </row>
    <row r="34" spans="1:18" ht="12.75">
      <c r="A34" s="2"/>
      <c r="B34" s="2"/>
      <c r="C34" s="2"/>
      <c r="D34" s="2"/>
      <c r="E34" s="14"/>
      <c r="F34" s="4"/>
      <c r="G34" s="14"/>
      <c r="H34" s="4"/>
      <c r="I34" s="14"/>
      <c r="J34" s="14"/>
      <c r="K34" s="14"/>
      <c r="L34" s="14"/>
      <c r="M34" s="14"/>
      <c r="N34" s="19"/>
      <c r="O34" s="14"/>
      <c r="P34" s="3"/>
      <c r="Q34" s="14"/>
      <c r="R34" s="3"/>
    </row>
    <row r="35" spans="1:18" ht="12.75">
      <c r="A35" s="17"/>
      <c r="B35" s="17" t="s">
        <v>101</v>
      </c>
      <c r="C35" s="15">
        <f>AVERAGE(R33,M33,H33)</f>
        <v>0.031101034680495538</v>
      </c>
      <c r="D35" s="17"/>
      <c r="E35" s="17"/>
      <c r="F35" s="4"/>
      <c r="G35" s="17"/>
      <c r="H35" s="4"/>
      <c r="I35" s="17"/>
      <c r="J35" s="17"/>
      <c r="K35" s="17"/>
      <c r="L35" s="17"/>
      <c r="M35" s="17"/>
      <c r="N35" s="18"/>
      <c r="O35" s="17"/>
      <c r="P35" s="3"/>
      <c r="Q35" s="17"/>
      <c r="R35" s="3"/>
    </row>
    <row r="36" spans="1:18" ht="12.75">
      <c r="A36" s="2"/>
      <c r="B36" s="2"/>
      <c r="C36" s="17"/>
      <c r="D36" s="2"/>
      <c r="E36" s="3"/>
      <c r="F36" s="4"/>
      <c r="G36" s="3"/>
      <c r="H36" s="4"/>
      <c r="I36" s="3"/>
      <c r="J36" s="3"/>
      <c r="K36" s="3"/>
      <c r="L36" s="3"/>
      <c r="M36" s="3"/>
      <c r="N36" s="5"/>
      <c r="O36" s="3"/>
      <c r="P36" s="3"/>
      <c r="Q36" s="3"/>
      <c r="R36" s="3"/>
    </row>
    <row r="37" spans="1:18" ht="12.75">
      <c r="A37" s="2"/>
      <c r="B37" s="2"/>
      <c r="C37" s="2"/>
      <c r="D37" s="2"/>
      <c r="E37" s="2"/>
      <c r="F37" s="4"/>
      <c r="G37" s="2"/>
      <c r="H37" s="4"/>
      <c r="I37" s="2"/>
      <c r="J37" s="2"/>
      <c r="K37" s="2"/>
      <c r="L37" s="2"/>
      <c r="M37" s="2"/>
      <c r="N37" s="10"/>
      <c r="O37" s="2"/>
      <c r="P37" s="2"/>
      <c r="Q37" s="2"/>
      <c r="R37" s="2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2004-02-24T22:33:46Z</cp:lastPrinted>
  <dcterms:created xsi:type="dcterms:W3CDTF">2000-01-10T00:44:42Z</dcterms:created>
  <dcterms:modified xsi:type="dcterms:W3CDTF">2004-02-24T22:33:55Z</dcterms:modified>
  <cp:category/>
  <cp:version/>
  <cp:contentType/>
  <cp:contentStatus/>
</cp:coreProperties>
</file>