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85" windowWidth="17400" windowHeight="7545" activeTab="2"/>
  </bookViews>
  <sheets>
    <sheet name="Table A PT Reproducibility" sheetId="1" r:id="rId1"/>
    <sheet name="Table B Enzyme Perf &amp; Cost Cont" sheetId="2" r:id="rId2"/>
    <sheet name="Table C Process Detail Economic" sheetId="3" r:id="rId3"/>
    <sheet name="State of the Art" sheetId="4" r:id="rId4"/>
  </sheets>
  <definedNames/>
  <calcPr fullCalcOnLoad="1"/>
</workbook>
</file>

<file path=xl/sharedStrings.xml><?xml version="1.0" encoding="utf-8"?>
<sst xmlns="http://schemas.openxmlformats.org/spreadsheetml/2006/main" count="424" uniqueCount="264">
  <si>
    <t>Data for MRC evaluation of criteria</t>
  </si>
  <si>
    <t>Published State of the Art</t>
  </si>
  <si>
    <t>Example</t>
  </si>
  <si>
    <t>From Applicant</t>
  </si>
  <si>
    <t>Parameter/Performance</t>
  </si>
  <si>
    <t>Benchmark</t>
  </si>
  <si>
    <t>Target</t>
  </si>
  <si>
    <t>Benchmark (Current)</t>
  </si>
  <si>
    <t>SSF</t>
  </si>
  <si>
    <t>Total Solids (%)</t>
  </si>
  <si>
    <t>Scale demonstrated (&gt;1L, &gt;10L, &gt;100L, etc.)</t>
  </si>
  <si>
    <t>&lt;1L</t>
  </si>
  <si>
    <t>&gt;1L</t>
  </si>
  <si>
    <t>References/Notes</t>
  </si>
  <si>
    <t xml:space="preserve">An example only. </t>
  </si>
  <si>
    <r>
      <t>Feed (</t>
    </r>
    <r>
      <rPr>
        <b/>
        <i/>
        <sz val="10"/>
        <rFont val="Arial"/>
        <family val="2"/>
      </rPr>
      <t xml:space="preserve">e.g. </t>
    </r>
    <r>
      <rPr>
        <b/>
        <sz val="10"/>
        <rFont val="Arial"/>
        <family val="2"/>
      </rPr>
      <t>pure cellulose, hydrolysate of what feed)</t>
    </r>
  </si>
  <si>
    <t>Hydrolysis</t>
  </si>
  <si>
    <t>Avicel</t>
  </si>
  <si>
    <t>Xylan (wt %)</t>
  </si>
  <si>
    <t>Cellulose (wt %)</t>
  </si>
  <si>
    <t>Lignin (wt %)</t>
  </si>
  <si>
    <t>Xylan to xylose monomers (%)</t>
  </si>
  <si>
    <t>Xylan to xylose oligomers (%)</t>
  </si>
  <si>
    <t>Initial composition</t>
  </si>
  <si>
    <t>Process Conditions</t>
  </si>
  <si>
    <t>Hydrolysis temperature (C)</t>
  </si>
  <si>
    <t>Journal of Imaginary Data</t>
  </si>
  <si>
    <t>Enzyme Loading (mg protein/g glucan)</t>
  </si>
  <si>
    <t>Dilute Acid pretreated Poplar</t>
  </si>
  <si>
    <t>Xylose oligomers to monomeric xylose (%)</t>
  </si>
  <si>
    <t>Spezyme data on Alk PT matl from somewhere</t>
  </si>
  <si>
    <t>Spezyme data on DA PT matl from somewhere</t>
  </si>
  <si>
    <t>AFEX pretreated corn stover</t>
  </si>
  <si>
    <t>DA PT Corn stover hydrolysate</t>
  </si>
  <si>
    <t>Pretreatment Reactor Description</t>
  </si>
  <si>
    <t>Pretreatment Process</t>
  </si>
  <si>
    <t>Catalyst Type</t>
  </si>
  <si>
    <t>Catalyst Concentration</t>
  </si>
  <si>
    <t>Run 1</t>
  </si>
  <si>
    <t>Run 2</t>
  </si>
  <si>
    <t>Run 3</t>
  </si>
  <si>
    <t>g catalyst/g feedstock</t>
  </si>
  <si>
    <t>Pretreatment Time</t>
  </si>
  <si>
    <t>Pretreatment Temperature Target</t>
  </si>
  <si>
    <t>Pretreatment Temperature Range</t>
  </si>
  <si>
    <t>wt %</t>
  </si>
  <si>
    <t>% of theoretical</t>
  </si>
  <si>
    <t>Hydrolysis Time (hours)</t>
  </si>
  <si>
    <t>Final Target
(48 months)</t>
  </si>
  <si>
    <t>Intermediate Target
(~12 months)</t>
  </si>
  <si>
    <t>Stage Gate Target
(~24 months)</t>
  </si>
  <si>
    <r>
      <t>Process type (</t>
    </r>
    <r>
      <rPr>
        <b/>
        <i/>
        <sz val="10"/>
        <rFont val="Arial"/>
        <family val="2"/>
      </rPr>
      <t xml:space="preserve">e.g. </t>
    </r>
    <r>
      <rPr>
        <b/>
        <sz val="10"/>
        <rFont val="Arial"/>
        <family val="2"/>
      </rPr>
      <t>SSF, Hydrolysis, hybrid)</t>
    </r>
  </si>
  <si>
    <t>Hydrolysis followed by SSF</t>
  </si>
  <si>
    <t>41-65</t>
  </si>
  <si>
    <t>Represents one possible target case described in NREL's 2002 design report (NREL TP-510-32438).  Assumes cellulase activity only.</t>
  </si>
  <si>
    <t>Cellulose to glucose (%)</t>
  </si>
  <si>
    <t>Cellobiose or other glucose oligomers to monomeric glucose (%)</t>
  </si>
  <si>
    <t>Celluose to cellobiose or other glucose oligomers (%)</t>
  </si>
  <si>
    <t>Glucose (wt %)</t>
  </si>
  <si>
    <t>Glucose oligomers (wt %)</t>
  </si>
  <si>
    <t>Xylose (wt %)</t>
  </si>
  <si>
    <t>Xylose oligomers (wt %)</t>
  </si>
  <si>
    <t>Others (wt %)</t>
  </si>
  <si>
    <t>J0507B</t>
  </si>
  <si>
    <t>J0601A</t>
  </si>
  <si>
    <t>Enzyme Loading (mg protein/g glucan+xylan)</t>
  </si>
  <si>
    <t>Feedstock Type</t>
  </si>
  <si>
    <t>Feed Rate (dry ton/day)</t>
  </si>
  <si>
    <t>Description</t>
  </si>
  <si>
    <t>Installed Capital Cost (MM$)</t>
  </si>
  <si>
    <t>Pretreatment</t>
  </si>
  <si>
    <t>Neutralization/Conditioning</t>
  </si>
  <si>
    <t>Line 2:  Total Installed Capital</t>
  </si>
  <si>
    <t>Operating Costs (2005$)</t>
  </si>
  <si>
    <t>MM$/yr</t>
  </si>
  <si>
    <t>Waste Disposal</t>
  </si>
  <si>
    <t>Steam</t>
  </si>
  <si>
    <t>Electricity</t>
  </si>
  <si>
    <t>Corn Stover</t>
  </si>
  <si>
    <t>Equipment Costs (2002$)</t>
  </si>
  <si>
    <t>Dilute Acid</t>
  </si>
  <si>
    <t>Operating Costs (2002$)</t>
  </si>
  <si>
    <t>$3/MM Btu</t>
  </si>
  <si>
    <t>$0.04/kWh</t>
  </si>
  <si>
    <t>Enzyme Cost</t>
  </si>
  <si>
    <t>Enzyme Price</t>
  </si>
  <si>
    <t>$/L-product</t>
  </si>
  <si>
    <t>Broth Price</t>
  </si>
  <si>
    <t>$/L-broth</t>
  </si>
  <si>
    <t>Post-ferm Treatment Cost</t>
  </si>
  <si>
    <t>Broth-to-Product Ratio</t>
  </si>
  <si>
    <t>L-broth/L-product</t>
  </si>
  <si>
    <t>GM</t>
  </si>
  <si>
    <t>Manufacturer's Gross Profit Margin</t>
  </si>
  <si>
    <t>%</t>
  </si>
  <si>
    <t>Y</t>
  </si>
  <si>
    <t>Ethanol Process Yield</t>
  </si>
  <si>
    <t>Glucose Conversion to Ethanol</t>
  </si>
  <si>
    <t>Xylose Conversion to Ethanol</t>
  </si>
  <si>
    <t>Theoretical Cellulose per gallon ethanol</t>
  </si>
  <si>
    <t>Enzyme Concentration</t>
  </si>
  <si>
    <r>
      <t>C</t>
    </r>
    <r>
      <rPr>
        <b/>
        <vertAlign val="subscript"/>
        <sz val="14"/>
        <rFont val="Arial"/>
        <family val="2"/>
      </rPr>
      <t>E</t>
    </r>
    <r>
      <rPr>
        <b/>
        <sz val="14"/>
        <rFont val="Arial"/>
        <family val="2"/>
      </rPr>
      <t>=(E</t>
    </r>
    <r>
      <rPr>
        <b/>
        <vertAlign val="subscript"/>
        <sz val="14"/>
        <rFont val="Arial"/>
        <family val="2"/>
      </rPr>
      <t>L</t>
    </r>
    <r>
      <rPr>
        <b/>
        <sz val="14"/>
        <rFont val="Arial"/>
        <family val="2"/>
      </rPr>
      <t>*E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>/Y/B</t>
    </r>
    <r>
      <rPr>
        <b/>
        <vertAlign val="subscript"/>
        <sz val="14"/>
        <rFont val="Arial"/>
        <family val="2"/>
      </rPr>
      <t>N</t>
    </r>
    <r>
      <rPr>
        <b/>
        <sz val="14"/>
        <rFont val="Arial"/>
        <family val="2"/>
      </rPr>
      <t>)</t>
    </r>
  </si>
  <si>
    <r>
      <t>E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>=(B</t>
    </r>
    <r>
      <rPr>
        <b/>
        <vertAlign val="subscript"/>
        <sz val="14"/>
        <rFont val="Arial"/>
        <family val="2"/>
      </rPr>
      <t>P+</t>
    </r>
    <r>
      <rPr>
        <b/>
        <sz val="14"/>
        <rFont val="Arial"/>
        <family val="2"/>
      </rPr>
      <t>P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>)*T</t>
    </r>
    <r>
      <rPr>
        <b/>
        <vertAlign val="subscript"/>
        <sz val="14"/>
        <rFont val="Arial"/>
        <family val="2"/>
      </rPr>
      <t xml:space="preserve">B/P </t>
    </r>
    <r>
      <rPr>
        <b/>
        <sz val="14"/>
        <rFont val="Arial"/>
        <family val="2"/>
      </rPr>
      <t>/ (1-GM)</t>
    </r>
  </si>
  <si>
    <t>g cellulose converted/
g cellulose total</t>
  </si>
  <si>
    <t>g xylan converted/
g xylan total</t>
  </si>
  <si>
    <t>g glucose converted/
g glucose total</t>
  </si>
  <si>
    <t>g xylose converted/
g xylose total</t>
  </si>
  <si>
    <t>g protein/
L-product</t>
  </si>
  <si>
    <t>Pretreatment Chemicals</t>
  </si>
  <si>
    <t>Feed Rate (MM dry ton/year)</t>
  </si>
  <si>
    <t>Line 1:  Estimated annual ethanol production (MM gal/yr)</t>
  </si>
  <si>
    <t>Separation &amp; Overliming</t>
  </si>
  <si>
    <t>J0601A with only glucose and xylose fermented and no contamination losses</t>
  </si>
  <si>
    <t>Annualized per Annual Gallon (line 3 divided by line 1)</t>
  </si>
  <si>
    <t>J0507B, roughly</t>
  </si>
  <si>
    <r>
      <t>Y=(F</t>
    </r>
    <r>
      <rPr>
        <b/>
        <vertAlign val="subscript"/>
        <sz val="14"/>
        <rFont val="Arial"/>
        <family val="2"/>
      </rPr>
      <t>C</t>
    </r>
    <r>
      <rPr>
        <b/>
        <sz val="14"/>
        <rFont val="Arial"/>
        <family val="2"/>
      </rPr>
      <t>*C</t>
    </r>
    <r>
      <rPr>
        <b/>
        <vertAlign val="subscript"/>
        <sz val="14"/>
        <rFont val="Arial"/>
        <family val="2"/>
      </rPr>
      <t>C</t>
    </r>
    <r>
      <rPr>
        <b/>
        <sz val="14"/>
        <rFont val="Arial"/>
        <family val="2"/>
      </rPr>
      <t>*C</t>
    </r>
    <r>
      <rPr>
        <b/>
        <vertAlign val="subscript"/>
        <sz val="14"/>
        <rFont val="Arial"/>
        <family val="2"/>
      </rPr>
      <t>G</t>
    </r>
    <r>
      <rPr>
        <b/>
        <sz val="14"/>
        <rFont val="Arial"/>
        <family val="2"/>
      </rPr>
      <t>/R</t>
    </r>
    <r>
      <rPr>
        <b/>
        <vertAlign val="subscript"/>
        <sz val="14"/>
        <rFont val="Arial"/>
        <family val="2"/>
      </rPr>
      <t>C</t>
    </r>
    <r>
      <rPr>
        <b/>
        <sz val="14"/>
        <rFont val="Arial"/>
        <family val="2"/>
      </rPr>
      <t xml:space="preserve"> + F</t>
    </r>
    <r>
      <rPr>
        <b/>
        <vertAlign val="subscript"/>
        <sz val="14"/>
        <rFont val="Arial"/>
        <family val="2"/>
      </rPr>
      <t>H</t>
    </r>
    <r>
      <rPr>
        <b/>
        <sz val="14"/>
        <rFont val="Arial"/>
        <family val="2"/>
      </rPr>
      <t>*C</t>
    </r>
    <r>
      <rPr>
        <b/>
        <vertAlign val="subscript"/>
        <sz val="14"/>
        <rFont val="Arial"/>
        <family val="2"/>
      </rPr>
      <t>H</t>
    </r>
    <r>
      <rPr>
        <b/>
        <sz val="14"/>
        <rFont val="Arial"/>
        <family val="2"/>
      </rPr>
      <t>*C</t>
    </r>
    <r>
      <rPr>
        <b/>
        <vertAlign val="subscript"/>
        <sz val="14"/>
        <rFont val="Arial"/>
        <family val="2"/>
      </rPr>
      <t>X</t>
    </r>
    <r>
      <rPr>
        <b/>
        <sz val="14"/>
        <rFont val="Arial"/>
        <family val="2"/>
      </rPr>
      <t>/R</t>
    </r>
    <r>
      <rPr>
        <b/>
        <vertAlign val="subscript"/>
        <sz val="14"/>
        <rFont val="Arial"/>
        <family val="2"/>
      </rPr>
      <t>H</t>
    </r>
    <r>
      <rPr>
        <b/>
        <sz val="14"/>
        <rFont val="Arial"/>
        <family val="2"/>
      </rPr>
      <t>) / (F</t>
    </r>
    <r>
      <rPr>
        <b/>
        <vertAlign val="subscript"/>
        <sz val="14"/>
        <rFont val="Arial"/>
        <family val="2"/>
      </rPr>
      <t>C</t>
    </r>
    <r>
      <rPr>
        <b/>
        <sz val="14"/>
        <rFont val="Arial"/>
        <family val="2"/>
      </rPr>
      <t>+F</t>
    </r>
    <r>
      <rPr>
        <b/>
        <vertAlign val="subscript"/>
        <sz val="14"/>
        <rFont val="Arial"/>
        <family val="2"/>
      </rPr>
      <t>H</t>
    </r>
    <r>
      <rPr>
        <b/>
        <sz val="14"/>
        <rFont val="Arial"/>
        <family val="2"/>
      </rPr>
      <t>)</t>
    </r>
  </si>
  <si>
    <t>$20/dry ton for gypsum disposal</t>
  </si>
  <si>
    <t>Line 3:  Annualized capital cost</t>
  </si>
  <si>
    <t>Capital Charge Factor (CCF) - 10 year life</t>
  </si>
  <si>
    <t>Combined Capital and Operating Costs ($/gal etoh) (line 3 plus line 4)</t>
  </si>
  <si>
    <t>Intermediate Target</t>
  </si>
  <si>
    <t>Final Target</t>
  </si>
  <si>
    <t>SWAG</t>
  </si>
  <si>
    <t>10 yr life (multiply line 2 by CCF)</t>
  </si>
  <si>
    <t>Enzyme effective cost can be reduced via loading and cocentration improvements</t>
  </si>
  <si>
    <t>Hydrolysis time can be reduced</t>
  </si>
  <si>
    <t>Feedstock remains constant</t>
  </si>
  <si>
    <t>Rationale for value reduction or constant value</t>
  </si>
  <si>
    <t>Use this to get capital costs on some rational per gallon basis</t>
  </si>
  <si>
    <t>No PT or conditioning R&amp;D</t>
  </si>
  <si>
    <t>Steam, mostly for PT should not change</t>
  </si>
  <si>
    <t>Equipment Costs (2005$)</t>
  </si>
  <si>
    <t>No PT or conditioning R&amp;D so hold $ constant - imps. can be allowed but not towards success of project</t>
  </si>
  <si>
    <t>Electricity, mostly for agitation should not change much unless solids loading is changed</t>
  </si>
  <si>
    <t>Sugar Yields in PT &amp;Enzymatic Hydrolysis (% of theoretical)</t>
  </si>
  <si>
    <t>Reactor Feed Rate</t>
  </si>
  <si>
    <t>g, kg/hour</t>
  </si>
  <si>
    <t>Feedstock Size</t>
  </si>
  <si>
    <t>measured</t>
  </si>
  <si>
    <t>set point</t>
  </si>
  <si>
    <t>minutes</t>
  </si>
  <si>
    <t xml:space="preserve">          Cellulose</t>
  </si>
  <si>
    <t xml:space="preserve">           Xylan</t>
  </si>
  <si>
    <t xml:space="preserve">          Lignin</t>
  </si>
  <si>
    <t xml:space="preserve">          Arabinan</t>
  </si>
  <si>
    <t xml:space="preserve">          Mannan/Galactan</t>
  </si>
  <si>
    <t xml:space="preserve">          Ash</t>
  </si>
  <si>
    <t xml:space="preserve">          Extractives</t>
  </si>
  <si>
    <t xml:space="preserve">          Other</t>
  </si>
  <si>
    <t>largest dimension</t>
  </si>
  <si>
    <t>Data</t>
  </si>
  <si>
    <t>Results reported as</t>
  </si>
  <si>
    <t>Feedstock Composition:</t>
  </si>
  <si>
    <t>dry wt %</t>
  </si>
  <si>
    <t>Feedstock Moisture</t>
  </si>
  <si>
    <t>-----</t>
  </si>
  <si>
    <r>
      <t>C</t>
    </r>
    <r>
      <rPr>
        <b/>
        <vertAlign val="subscript"/>
        <sz val="10"/>
        <rFont val="Arial"/>
        <family val="0"/>
      </rPr>
      <t>E</t>
    </r>
  </si>
  <si>
    <r>
      <t>E</t>
    </r>
    <r>
      <rPr>
        <b/>
        <vertAlign val="subscript"/>
        <sz val="10"/>
        <rFont val="Arial"/>
        <family val="0"/>
      </rPr>
      <t>P</t>
    </r>
  </si>
  <si>
    <r>
      <t>E</t>
    </r>
    <r>
      <rPr>
        <b/>
        <vertAlign val="subscript"/>
        <sz val="10"/>
        <rFont val="Arial"/>
        <family val="0"/>
      </rPr>
      <t>L</t>
    </r>
  </si>
  <si>
    <r>
      <t>B</t>
    </r>
    <r>
      <rPr>
        <b/>
        <vertAlign val="subscript"/>
        <sz val="10"/>
        <rFont val="Arial"/>
        <family val="0"/>
      </rPr>
      <t>P</t>
    </r>
  </si>
  <si>
    <r>
      <t>P</t>
    </r>
    <r>
      <rPr>
        <b/>
        <vertAlign val="subscript"/>
        <sz val="10"/>
        <rFont val="Arial"/>
        <family val="0"/>
      </rPr>
      <t>P</t>
    </r>
  </si>
  <si>
    <r>
      <t>T</t>
    </r>
    <r>
      <rPr>
        <b/>
        <vertAlign val="subscript"/>
        <sz val="10"/>
        <rFont val="Arial"/>
        <family val="0"/>
      </rPr>
      <t>B/P</t>
    </r>
  </si>
  <si>
    <r>
      <t>B</t>
    </r>
    <r>
      <rPr>
        <b/>
        <vertAlign val="subscript"/>
        <sz val="10"/>
        <rFont val="Arial"/>
        <family val="0"/>
      </rPr>
      <t>N</t>
    </r>
  </si>
  <si>
    <r>
      <t>F</t>
    </r>
    <r>
      <rPr>
        <b/>
        <vertAlign val="subscript"/>
        <sz val="10"/>
        <rFont val="Arial"/>
        <family val="0"/>
      </rPr>
      <t>C</t>
    </r>
  </si>
  <si>
    <r>
      <t>F</t>
    </r>
    <r>
      <rPr>
        <b/>
        <vertAlign val="subscript"/>
        <sz val="10"/>
        <rFont val="Arial"/>
        <family val="0"/>
      </rPr>
      <t>H</t>
    </r>
  </si>
  <si>
    <r>
      <t>C</t>
    </r>
    <r>
      <rPr>
        <b/>
        <vertAlign val="subscript"/>
        <sz val="10"/>
        <rFont val="Arial"/>
        <family val="0"/>
      </rPr>
      <t>C</t>
    </r>
  </si>
  <si>
    <r>
      <t>C</t>
    </r>
    <r>
      <rPr>
        <b/>
        <vertAlign val="subscript"/>
        <sz val="10"/>
        <rFont val="Arial"/>
        <family val="0"/>
      </rPr>
      <t>H</t>
    </r>
  </si>
  <si>
    <r>
      <t>C</t>
    </r>
    <r>
      <rPr>
        <b/>
        <vertAlign val="subscript"/>
        <sz val="10"/>
        <rFont val="Arial"/>
        <family val="0"/>
      </rPr>
      <t>G</t>
    </r>
  </si>
  <si>
    <r>
      <t>C</t>
    </r>
    <r>
      <rPr>
        <b/>
        <vertAlign val="subscript"/>
        <sz val="10"/>
        <rFont val="Arial"/>
        <family val="0"/>
      </rPr>
      <t>X</t>
    </r>
  </si>
  <si>
    <r>
      <t>R</t>
    </r>
    <r>
      <rPr>
        <b/>
        <vertAlign val="subscript"/>
        <sz val="10"/>
        <rFont val="Arial"/>
        <family val="0"/>
      </rPr>
      <t>C</t>
    </r>
  </si>
  <si>
    <r>
      <t>R</t>
    </r>
    <r>
      <rPr>
        <b/>
        <vertAlign val="subscript"/>
        <sz val="10"/>
        <rFont val="Arial"/>
        <family val="0"/>
      </rPr>
      <t>H</t>
    </r>
  </si>
  <si>
    <t>wt fraction</t>
  </si>
  <si>
    <t>Table A:  Pretreatment Reproducibility Data</t>
  </si>
  <si>
    <t>Table C:  Process Details and Cost Estimate</t>
  </si>
  <si>
    <t>Enzyme Costs ($/gal etoh)</t>
  </si>
  <si>
    <t>Annualized PerGallon Ethanol Capital Costs (line 3 divided by line 1)</t>
  </si>
  <si>
    <t>Line 4: Total Operating Costs ($/gal)</t>
  </si>
  <si>
    <t>To calculate ethanol per gram cellulose:</t>
  </si>
  <si>
    <t>g cellulose</t>
  </si>
  <si>
    <t>g feed</t>
  </si>
  <si>
    <t>g glucose</t>
  </si>
  <si>
    <t>g glucose converted</t>
  </si>
  <si>
    <t>1 kg</t>
  </si>
  <si>
    <t>1000 g</t>
  </si>
  <si>
    <t>1 L ethanol</t>
  </si>
  <si>
    <t>0.789 kg ethanol</t>
  </si>
  <si>
    <t>3.785 L</t>
  </si>
  <si>
    <t>gallon</t>
  </si>
  <si>
    <t>g cellulose converted</t>
  </si>
  <si>
    <t>g ethanol</t>
  </si>
  <si>
    <t>To calculate ethanol per gram xylan:</t>
  </si>
  <si>
    <r>
      <t>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    x </t>
    </r>
  </si>
  <si>
    <t>Cx      x</t>
  </si>
  <si>
    <t xml:space="preserve">.001   x </t>
  </si>
  <si>
    <t xml:space="preserve">1.2674   x </t>
  </si>
  <si>
    <t xml:space="preserve">Fc      x </t>
  </si>
  <si>
    <t xml:space="preserve">Cc          x </t>
  </si>
  <si>
    <r>
      <t>C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      x </t>
    </r>
  </si>
  <si>
    <t>g xylan</t>
  </si>
  <si>
    <t>g xylan converted</t>
  </si>
  <si>
    <t>g xylose</t>
  </si>
  <si>
    <t>g xylose converted</t>
  </si>
  <si>
    <t xml:space="preserve">0.5119     x </t>
  </si>
  <si>
    <t xml:space="preserve">1.111      x </t>
  </si>
  <si>
    <t xml:space="preserve">1.136      x </t>
  </si>
  <si>
    <t>Y       x</t>
  </si>
  <si>
    <t>(Fc + FH)         x</t>
  </si>
  <si>
    <t>kg</t>
  </si>
  <si>
    <t>2.205 lb</t>
  </si>
  <si>
    <t>2000 lb</t>
  </si>
  <si>
    <t>ton</t>
  </si>
  <si>
    <t>1000          x</t>
  </si>
  <si>
    <t>.4535      x</t>
  </si>
  <si>
    <t>g cellulose + xylan</t>
  </si>
  <si>
    <t>g biomass</t>
  </si>
  <si>
    <r>
      <t>C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        x </t>
    </r>
  </si>
  <si>
    <r>
      <t>To calculate yield Y</t>
    </r>
    <r>
      <rPr>
        <b/>
        <vertAlign val="subscript"/>
        <sz val="10"/>
        <rFont val="Arial"/>
        <family val="2"/>
      </rPr>
      <t xml:space="preserve">T </t>
    </r>
    <r>
      <rPr>
        <b/>
        <sz val="10"/>
        <rFont val="Arial"/>
        <family val="2"/>
      </rPr>
      <t>(gallon ethanol per ton biomass) from yield Y (gallon ethanol per g celluose + xylan):</t>
    </r>
  </si>
  <si>
    <t>Table C-ex:  Process Details and Cost Estimate for Dilute Acid Pretreatment - Example</t>
  </si>
  <si>
    <t>Table B-ex:  Enzyme Performance &amp; Cost Contribution Example</t>
  </si>
  <si>
    <t>Table B:  Enzyme Performance &amp; Cost Contribution</t>
  </si>
  <si>
    <t>Metric Formulas</t>
  </si>
  <si>
    <t>Acid, Lime costs</t>
  </si>
  <si>
    <t>Total non-enzyme operating costs (MM$/yr)</t>
  </si>
  <si>
    <t>Total non-enzyme operating costs ($/gal etoh)</t>
  </si>
  <si>
    <t>Sum of operating costs</t>
  </si>
  <si>
    <t>Operating costs divided by annual etoh production</t>
  </si>
  <si>
    <t>Non-enzyme operating costs plus enzyme costs</t>
  </si>
  <si>
    <t>Pretreated Material Composition:</t>
  </si>
  <si>
    <t>Final Total Solids Concentration</t>
  </si>
  <si>
    <t>Initial Total Solids Concentration</t>
  </si>
  <si>
    <t xml:space="preserve">          Xylan</t>
  </si>
  <si>
    <t xml:space="preserve">          Glucose</t>
  </si>
  <si>
    <t xml:space="preserve">          Xylose</t>
  </si>
  <si>
    <t xml:space="preserve">          Arabinose</t>
  </si>
  <si>
    <t xml:space="preserve">          Galactose/Mannose</t>
  </si>
  <si>
    <t xml:space="preserve">          Cellulose Oligomers</t>
  </si>
  <si>
    <t xml:space="preserve">          Xylose Oligomers</t>
  </si>
  <si>
    <t xml:space="preserve">          Other Oligomers</t>
  </si>
  <si>
    <t>e.g.. batch, fed-batch, continuous</t>
  </si>
  <si>
    <t>e.g. horizontal, vertical, agitated</t>
  </si>
  <si>
    <t>e.g. acid, base, none</t>
  </si>
  <si>
    <t>Pretreatment Data</t>
  </si>
  <si>
    <t>Enzymatic Hydrolysis &amp;/or SSF</t>
  </si>
  <si>
    <t>Cellulose Fraction in Raw Feedstock</t>
  </si>
  <si>
    <t>Xylan Fraction in Raw Feedstock</t>
  </si>
  <si>
    <t>Theoretical Xylan per gallon ethanol</t>
  </si>
  <si>
    <t>$/gal ethanol</t>
  </si>
  <si>
    <t>gal ethanol/
ton biomass</t>
  </si>
  <si>
    <t>g cellulose/
gallon ethanol</t>
  </si>
  <si>
    <t>g xylan/gallon ethanol</t>
  </si>
  <si>
    <t>% Improvement in cost contribution from benchmark</t>
  </si>
  <si>
    <t>Xylan Conversion to Xylose (including pretreatment conversion)</t>
  </si>
  <si>
    <t>Cellulose Conversion to Glucose  (including pretreatment conversion)</t>
  </si>
  <si>
    <t>g protein/
(g cellulose + g xylan entering enzymatic hydrolysis)</t>
  </si>
  <si>
    <t>gal ethanol/
(g cellulose + g xylan in raw feedstock)</t>
  </si>
  <si>
    <t>Enzymatic Hydrolysis Data
(7 day residence time)</t>
  </si>
  <si>
    <t>Enzyme Loading (7 day residence time)</t>
  </si>
  <si>
    <t>Cellulose Conversion in Pretreatment</t>
  </si>
  <si>
    <t>Xylan Conversion in Pretreatment</t>
  </si>
  <si>
    <t>Cellulose Conversion in Enzymatic Hydrolysis</t>
  </si>
  <si>
    <t>Xylan Conversion in Enzymatic Hydrolysis</t>
  </si>
  <si>
    <t>Enzyme Loading (benchmark loading from Table B)</t>
  </si>
  <si>
    <t>Estimated yield (gal/dry ton) (from enzyme metrics table B)</t>
  </si>
  <si>
    <t>From enzyme metrics table B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</si>
</sst>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#,##0.0"/>
    <numFmt numFmtId="171" formatCode="&quot;$&quot;#,##0.00"/>
    <numFmt numFmtId="172" formatCode="0.00000000"/>
    <numFmt numFmtId="173" formatCode="0.0000000"/>
    <numFmt numFmtId="174" formatCode="0.000000"/>
    <numFmt numFmtId="175" formatCode="0.00000"/>
    <numFmt numFmtId="176" formatCode="&quot;$&quot;#,##0.000"/>
    <numFmt numFmtId="177" formatCode="&quot;$&quot;#,##0"/>
    <numFmt numFmtId="178" formatCode="&quot;$&quot;#,##0.0"/>
    <numFmt numFmtId="179" formatCode="0.000"/>
    <numFmt numFmtId="180" formatCode="mmmm\-yy"/>
    <numFmt numFmtId="181" formatCode="#,##0.000"/>
    <numFmt numFmtId="182" formatCode="0.000E+00"/>
    <numFmt numFmtId="183" formatCode="#,##0.0000"/>
    <numFmt numFmtId="184" formatCode="0.0000"/>
    <numFmt numFmtId="185" formatCode="&quot;$&quot;#,##0.0000"/>
    <numFmt numFmtId="186" formatCode="&quot;$&quot;#,##0.00000"/>
    <numFmt numFmtId="187" formatCode="0.0E+00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bscript"/>
      <sz val="14"/>
      <name val="Arial"/>
      <family val="2"/>
    </font>
    <font>
      <b/>
      <sz val="14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49" fontId="1" fillId="0" borderId="6" xfId="0" applyNumberFormat="1" applyFont="1" applyBorder="1" applyAlignment="1">
      <alignment horizontal="left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3" xfId="0" applyFont="1" applyBorder="1" applyAlignment="1">
      <alignment wrapText="1"/>
    </xf>
    <xf numFmtId="0" fontId="0" fillId="5" borderId="14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6" borderId="13" xfId="0" applyFont="1" applyFill="1" applyBorder="1" applyAlignment="1">
      <alignment/>
    </xf>
    <xf numFmtId="0" fontId="0" fillId="6" borderId="14" xfId="0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0" fillId="6" borderId="17" xfId="0" applyFill="1" applyBorder="1" applyAlignment="1">
      <alignment horizontal="center" wrapText="1"/>
    </xf>
    <xf numFmtId="0" fontId="0" fillId="0" borderId="13" xfId="0" applyFont="1" applyBorder="1" applyAlignment="1">
      <alignment horizontal="right"/>
    </xf>
    <xf numFmtId="1" fontId="0" fillId="5" borderId="16" xfId="0" applyNumberFormat="1" applyFill="1" applyBorder="1" applyAlignment="1">
      <alignment horizontal="center" wrapText="1"/>
    </xf>
    <xf numFmtId="0" fontId="1" fillId="6" borderId="13" xfId="0" applyFont="1" applyFill="1" applyBorder="1" applyAlignment="1">
      <alignment/>
    </xf>
    <xf numFmtId="0" fontId="1" fillId="6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5" borderId="14" xfId="0" applyNumberFormat="1" applyFill="1" applyBorder="1" applyAlignment="1">
      <alignment horizontal="center" wrapText="1"/>
    </xf>
    <xf numFmtId="0" fontId="0" fillId="5" borderId="16" xfId="0" applyNumberFormat="1" applyFill="1" applyBorder="1" applyAlignment="1">
      <alignment horizontal="center" wrapText="1"/>
    </xf>
    <xf numFmtId="1" fontId="0" fillId="5" borderId="16" xfId="0" applyNumberFormat="1" applyFill="1" applyBorder="1" applyAlignment="1">
      <alignment horizontal="center"/>
    </xf>
    <xf numFmtId="9" fontId="0" fillId="6" borderId="14" xfId="0" applyNumberFormat="1" applyFill="1" applyBorder="1" applyAlignment="1">
      <alignment horizontal="center" wrapText="1"/>
    </xf>
    <xf numFmtId="9" fontId="0" fillId="6" borderId="15" xfId="0" applyNumberFormat="1" applyFill="1" applyBorder="1" applyAlignment="1">
      <alignment horizontal="center" wrapText="1"/>
    </xf>
    <xf numFmtId="9" fontId="0" fillId="6" borderId="16" xfId="0" applyNumberFormat="1" applyFill="1" applyBorder="1" applyAlignment="1">
      <alignment horizontal="center" wrapText="1"/>
    </xf>
    <xf numFmtId="0" fontId="0" fillId="0" borderId="13" xfId="0" applyBorder="1" applyAlignment="1">
      <alignment horizontal="right" wrapText="1"/>
    </xf>
    <xf numFmtId="0" fontId="1" fillId="0" borderId="18" xfId="0" applyFont="1" applyBorder="1" applyAlignment="1">
      <alignment/>
    </xf>
    <xf numFmtId="0" fontId="0" fillId="5" borderId="19" xfId="0" applyFill="1" applyBorder="1" applyAlignment="1">
      <alignment/>
    </xf>
    <xf numFmtId="49" fontId="0" fillId="5" borderId="20" xfId="0" applyNumberFormat="1" applyFill="1" applyBorder="1" applyAlignment="1">
      <alignment wrapText="1"/>
    </xf>
    <xf numFmtId="0" fontId="0" fillId="5" borderId="21" xfId="0" applyFill="1" applyBorder="1" applyAlignment="1">
      <alignment/>
    </xf>
    <xf numFmtId="0" fontId="0" fillId="5" borderId="20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6" borderId="20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1" fillId="0" borderId="8" xfId="0" applyFont="1" applyBorder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0" fillId="0" borderId="13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 wrapText="1"/>
    </xf>
    <xf numFmtId="1" fontId="0" fillId="5" borderId="14" xfId="21" applyNumberFormat="1" applyFill="1" applyBorder="1" applyAlignment="1">
      <alignment horizontal="center" wrapText="1"/>
    </xf>
    <xf numFmtId="1" fontId="0" fillId="5" borderId="14" xfId="21" applyNumberFormat="1" applyFill="1" applyBorder="1" applyAlignment="1">
      <alignment horizontal="center"/>
    </xf>
    <xf numFmtId="1" fontId="0" fillId="5" borderId="17" xfId="21" applyNumberForma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6" borderId="15" xfId="0" applyFont="1" applyFill="1" applyBorder="1" applyAlignment="1">
      <alignment horizontal="center" wrapText="1"/>
    </xf>
    <xf numFmtId="0" fontId="0" fillId="6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right" wrapText="1"/>
    </xf>
    <xf numFmtId="169" fontId="0" fillId="5" borderId="16" xfId="21" applyNumberFormat="1" applyFill="1" applyBorder="1" applyAlignment="1">
      <alignment horizontal="center" wrapText="1"/>
    </xf>
    <xf numFmtId="169" fontId="0" fillId="5" borderId="14" xfId="21" applyNumberFormat="1" applyFill="1" applyBorder="1" applyAlignment="1">
      <alignment horizontal="center" wrapText="1"/>
    </xf>
    <xf numFmtId="9" fontId="0" fillId="5" borderId="14" xfId="21" applyNumberFormat="1" applyFill="1" applyBorder="1" applyAlignment="1">
      <alignment horizontal="center" wrapText="1"/>
    </xf>
    <xf numFmtId="9" fontId="0" fillId="5" borderId="16" xfId="21" applyNumberFormat="1" applyFill="1" applyBorder="1" applyAlignment="1">
      <alignment horizontal="center" wrapText="1"/>
    </xf>
    <xf numFmtId="169" fontId="0" fillId="5" borderId="16" xfId="0" applyNumberFormat="1" applyFill="1" applyBorder="1" applyAlignment="1">
      <alignment horizontal="center" wrapText="1"/>
    </xf>
    <xf numFmtId="169" fontId="0" fillId="5" borderId="15" xfId="21" applyNumberFormat="1" applyFill="1" applyBorder="1" applyAlignment="1">
      <alignment horizontal="center" wrapText="1"/>
    </xf>
    <xf numFmtId="9" fontId="0" fillId="5" borderId="15" xfId="21" applyNumberFormat="1" applyFill="1" applyBorder="1" applyAlignment="1">
      <alignment horizontal="center" wrapText="1"/>
    </xf>
    <xf numFmtId="0" fontId="0" fillId="0" borderId="13" xfId="0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6" borderId="24" xfId="0" applyFont="1" applyFill="1" applyBorder="1" applyAlignment="1">
      <alignment/>
    </xf>
    <xf numFmtId="0" fontId="1" fillId="6" borderId="25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171" fontId="1" fillId="0" borderId="15" xfId="0" applyNumberFormat="1" applyFont="1" applyBorder="1" applyAlignment="1">
      <alignment horizontal="center"/>
    </xf>
    <xf numFmtId="0" fontId="1" fillId="6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71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17" xfId="0" applyFont="1" applyBorder="1" applyAlignment="1">
      <alignment/>
    </xf>
    <xf numFmtId="0" fontId="1" fillId="6" borderId="17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184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171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9" fontId="0" fillId="0" borderId="27" xfId="2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71" fontId="1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171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3" fillId="0" borderId="36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2" xfId="0" applyFont="1" applyFill="1" applyBorder="1" applyAlignment="1">
      <alignment/>
    </xf>
    <xf numFmtId="171" fontId="3" fillId="4" borderId="20" xfId="0" applyNumberFormat="1" applyFont="1" applyFill="1" applyBorder="1" applyAlignment="1">
      <alignment horizontal="center"/>
    </xf>
    <xf numFmtId="171" fontId="3" fillId="4" borderId="21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5" fillId="0" borderId="2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 wrapText="1"/>
    </xf>
    <xf numFmtId="0" fontId="5" fillId="6" borderId="26" xfId="0" applyFont="1" applyFill="1" applyBorder="1" applyAlignment="1">
      <alignment horizontal="left" wrapText="1"/>
    </xf>
    <xf numFmtId="0" fontId="1" fillId="6" borderId="15" xfId="0" applyFont="1" applyFill="1" applyBorder="1" applyAlignment="1">
      <alignment horizontal="center" wrapText="1"/>
    </xf>
    <xf numFmtId="0" fontId="0" fillId="6" borderId="20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7" borderId="24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left"/>
    </xf>
    <xf numFmtId="171" fontId="0" fillId="7" borderId="15" xfId="0" applyNumberFormat="1" applyFont="1" applyFill="1" applyBorder="1" applyAlignment="1">
      <alignment horizontal="center"/>
    </xf>
    <xf numFmtId="171" fontId="0" fillId="7" borderId="16" xfId="0" applyNumberFormat="1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9" fontId="0" fillId="0" borderId="39" xfId="21" applyFont="1" applyFill="1" applyBorder="1" applyAlignment="1">
      <alignment horizontal="center"/>
    </xf>
    <xf numFmtId="9" fontId="0" fillId="0" borderId="4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181" fontId="0" fillId="0" borderId="15" xfId="0" applyNumberFormat="1" applyFont="1" applyFill="1" applyBorder="1" applyAlignment="1">
      <alignment horizontal="center"/>
    </xf>
    <xf numFmtId="181" fontId="0" fillId="0" borderId="29" xfId="0" applyNumberFormat="1" applyFont="1" applyFill="1" applyBorder="1" applyAlignment="1">
      <alignment horizontal="center"/>
    </xf>
    <xf numFmtId="181" fontId="0" fillId="0" borderId="1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2" fillId="0" borderId="15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171" fontId="0" fillId="0" borderId="16" xfId="0" applyNumberFormat="1" applyFont="1" applyFill="1" applyBorder="1" applyAlignment="1" applyProtection="1">
      <alignment horizontal="center"/>
      <protection hidden="1" locked="0"/>
    </xf>
    <xf numFmtId="0" fontId="2" fillId="0" borderId="15" xfId="0" applyFont="1" applyBorder="1" applyAlignment="1">
      <alignment horizontal="left" wrapText="1" indent="1"/>
    </xf>
    <xf numFmtId="4" fontId="0" fillId="0" borderId="16" xfId="0" applyNumberFormat="1" applyFont="1" applyFill="1" applyBorder="1" applyAlignment="1" applyProtection="1">
      <alignment horizontal="center"/>
      <protection hidden="1" locked="0"/>
    </xf>
    <xf numFmtId="9" fontId="0" fillId="0" borderId="16" xfId="0" applyNumberFormat="1" applyFont="1" applyFill="1" applyBorder="1" applyAlignment="1" applyProtection="1">
      <alignment horizontal="center"/>
      <protection hidden="1" locked="0"/>
    </xf>
    <xf numFmtId="0" fontId="0" fillId="0" borderId="15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wrapText="1"/>
    </xf>
    <xf numFmtId="0" fontId="1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 wrapText="1" inden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1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left" wrapText="1" indent="1"/>
    </xf>
    <xf numFmtId="0" fontId="0" fillId="0" borderId="2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 horizontal="center" wrapText="1"/>
    </xf>
    <xf numFmtId="0" fontId="4" fillId="6" borderId="15" xfId="0" applyFont="1" applyFill="1" applyBorder="1" applyAlignment="1">
      <alignment horizontal="left" wrapText="1"/>
    </xf>
    <xf numFmtId="0" fontId="1" fillId="6" borderId="15" xfId="0" applyFont="1" applyFill="1" applyBorder="1" applyAlignment="1">
      <alignment vertical="top" wrapText="1"/>
    </xf>
    <xf numFmtId="0" fontId="0" fillId="0" borderId="42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171" fontId="0" fillId="0" borderId="24" xfId="0" applyNumberFormat="1" applyFont="1" applyFill="1" applyBorder="1" applyAlignment="1">
      <alignment horizontal="left" wrapText="1"/>
    </xf>
    <xf numFmtId="0" fontId="1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wrapText="1"/>
    </xf>
    <xf numFmtId="0" fontId="0" fillId="7" borderId="8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0" fillId="6" borderId="15" xfId="0" applyFill="1" applyBorder="1" applyAlignment="1">
      <alignment/>
    </xf>
    <xf numFmtId="0" fontId="0" fillId="0" borderId="43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4" fillId="6" borderId="46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6" borderId="43" xfId="0" applyFont="1" applyFill="1" applyBorder="1" applyAlignment="1">
      <alignment horizontal="center" wrapText="1"/>
    </xf>
    <xf numFmtId="0" fontId="0" fillId="6" borderId="42" xfId="0" applyFont="1" applyFill="1" applyBorder="1" applyAlignment="1">
      <alignment horizontal="center" wrapText="1"/>
    </xf>
    <xf numFmtId="0" fontId="0" fillId="6" borderId="28" xfId="0" applyFont="1" applyFill="1" applyBorder="1" applyAlignment="1">
      <alignment horizontal="center" wrapText="1"/>
    </xf>
    <xf numFmtId="168" fontId="0" fillId="7" borderId="29" xfId="0" applyNumberFormat="1" applyFont="1" applyFill="1" applyBorder="1" applyAlignment="1" applyProtection="1">
      <alignment horizontal="center"/>
      <protection hidden="1" locked="0"/>
    </xf>
    <xf numFmtId="168" fontId="0" fillId="7" borderId="27" xfId="0" applyNumberFormat="1" applyFont="1" applyFill="1" applyBorder="1" applyAlignment="1" applyProtection="1">
      <alignment horizontal="center"/>
      <protection hidden="1" locked="0"/>
    </xf>
    <xf numFmtId="168" fontId="0" fillId="7" borderId="31" xfId="0" applyNumberFormat="1" applyFont="1" applyFill="1" applyBorder="1" applyAlignment="1" applyProtection="1">
      <alignment horizontal="center"/>
      <protection hidden="1" locked="0"/>
    </xf>
    <xf numFmtId="182" fontId="0" fillId="0" borderId="29" xfId="0" applyNumberFormat="1" applyFont="1" applyFill="1" applyBorder="1" applyAlignment="1" applyProtection="1">
      <alignment horizontal="center"/>
      <protection hidden="1" locked="0"/>
    </xf>
    <xf numFmtId="182" fontId="0" fillId="0" borderId="27" xfId="0" applyNumberFormat="1" applyFont="1" applyFill="1" applyBorder="1" applyAlignment="1" applyProtection="1">
      <alignment horizontal="center"/>
      <protection hidden="1" locked="0"/>
    </xf>
    <xf numFmtId="182" fontId="0" fillId="0" borderId="31" xfId="0" applyNumberFormat="1" applyFont="1" applyFill="1" applyBorder="1" applyAlignment="1" applyProtection="1">
      <alignment horizontal="center"/>
      <protection hidden="1" locked="0"/>
    </xf>
    <xf numFmtId="171" fontId="0" fillId="0" borderId="29" xfId="0" applyNumberFormat="1" applyFont="1" applyFill="1" applyBorder="1" applyAlignment="1" applyProtection="1">
      <alignment horizontal="center"/>
      <protection hidden="1" locked="0"/>
    </xf>
    <xf numFmtId="171" fontId="0" fillId="0" borderId="27" xfId="0" applyNumberFormat="1" applyFont="1" applyFill="1" applyBorder="1" applyAlignment="1" applyProtection="1">
      <alignment horizontal="center"/>
      <protection hidden="1" locked="0"/>
    </xf>
    <xf numFmtId="171" fontId="0" fillId="0" borderId="31" xfId="0" applyNumberFormat="1" applyFont="1" applyFill="1" applyBorder="1" applyAlignment="1" applyProtection="1">
      <alignment horizontal="center"/>
      <protection hidden="1" locked="0"/>
    </xf>
    <xf numFmtId="3" fontId="0" fillId="0" borderId="29" xfId="0" applyNumberFormat="1" applyFont="1" applyFill="1" applyBorder="1" applyAlignment="1" applyProtection="1">
      <alignment horizontal="center"/>
      <protection hidden="1" locked="0"/>
    </xf>
    <xf numFmtId="3" fontId="0" fillId="0" borderId="27" xfId="0" applyNumberFormat="1" applyFont="1" applyFill="1" applyBorder="1" applyAlignment="1" applyProtection="1">
      <alignment horizontal="center"/>
      <protection hidden="1" locked="0"/>
    </xf>
    <xf numFmtId="3" fontId="0" fillId="0" borderId="31" xfId="0" applyNumberFormat="1" applyFont="1" applyFill="1" applyBorder="1" applyAlignment="1" applyProtection="1">
      <alignment horizontal="center"/>
      <protection hidden="1" locked="0"/>
    </xf>
    <xf numFmtId="175" fontId="0" fillId="0" borderId="29" xfId="0" applyNumberFormat="1" applyFont="1" applyFill="1" applyBorder="1" applyAlignment="1" applyProtection="1">
      <alignment horizontal="center"/>
      <protection hidden="1" locked="0"/>
    </xf>
    <xf numFmtId="175" fontId="0" fillId="0" borderId="27" xfId="0" applyNumberFormat="1" applyFont="1" applyFill="1" applyBorder="1" applyAlignment="1" applyProtection="1">
      <alignment horizontal="center"/>
      <protection hidden="1" locked="0"/>
    </xf>
    <xf numFmtId="175" fontId="0" fillId="0" borderId="31" xfId="0" applyNumberFormat="1" applyFont="1" applyFill="1" applyBorder="1" applyAlignment="1" applyProtection="1">
      <alignment horizontal="center"/>
      <protection hidden="1" locked="0"/>
    </xf>
    <xf numFmtId="2" fontId="0" fillId="7" borderId="29" xfId="0" applyNumberFormat="1" applyFont="1" applyFill="1" applyBorder="1" applyAlignment="1" applyProtection="1">
      <alignment horizontal="center"/>
      <protection hidden="1" locked="0"/>
    </xf>
    <xf numFmtId="2" fontId="0" fillId="7" borderId="27" xfId="0" applyNumberFormat="1" applyFont="1" applyFill="1" applyBorder="1" applyAlignment="1" applyProtection="1">
      <alignment horizontal="center"/>
      <protection hidden="1" locked="0"/>
    </xf>
    <xf numFmtId="2" fontId="0" fillId="7" borderId="31" xfId="0" applyNumberFormat="1" applyFont="1" applyFill="1" applyBorder="1" applyAlignment="1" applyProtection="1">
      <alignment horizontal="center"/>
      <protection hidden="1" locked="0"/>
    </xf>
    <xf numFmtId="1" fontId="0" fillId="0" borderId="29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1" fontId="0" fillId="0" borderId="48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 applyProtection="1">
      <alignment horizontal="center"/>
      <protection hidden="1" locked="0"/>
    </xf>
    <xf numFmtId="4" fontId="0" fillId="0" borderId="27" xfId="0" applyNumberFormat="1" applyFont="1" applyFill="1" applyBorder="1" applyAlignment="1" applyProtection="1">
      <alignment horizontal="center"/>
      <protection hidden="1" locked="0"/>
    </xf>
    <xf numFmtId="4" fontId="0" fillId="0" borderId="31" xfId="0" applyNumberFormat="1" applyFont="1" applyFill="1" applyBorder="1" applyAlignment="1" applyProtection="1">
      <alignment horizontal="center"/>
      <protection hidden="1" locked="0"/>
    </xf>
    <xf numFmtId="2" fontId="0" fillId="0" borderId="29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181" fontId="0" fillId="0" borderId="29" xfId="0" applyNumberFormat="1" applyFont="1" applyFill="1" applyBorder="1" applyAlignment="1" applyProtection="1">
      <alignment horizontal="center"/>
      <protection hidden="1" locked="0"/>
    </xf>
    <xf numFmtId="181" fontId="0" fillId="0" borderId="27" xfId="0" applyNumberFormat="1" applyFont="1" applyFill="1" applyBorder="1" applyAlignment="1" applyProtection="1">
      <alignment horizontal="center"/>
      <protection hidden="1" locked="0"/>
    </xf>
    <xf numFmtId="181" fontId="0" fillId="0" borderId="31" xfId="0" applyNumberFormat="1" applyFont="1" applyFill="1" applyBorder="1" applyAlignment="1" applyProtection="1">
      <alignment horizontal="center"/>
      <protection hidden="1" locked="0"/>
    </xf>
    <xf numFmtId="179" fontId="0" fillId="0" borderId="29" xfId="0" applyNumberFormat="1" applyFont="1" applyFill="1" applyBorder="1" applyAlignment="1">
      <alignment horizontal="center"/>
    </xf>
    <xf numFmtId="179" fontId="0" fillId="0" borderId="27" xfId="0" applyNumberFormat="1" applyFont="1" applyFill="1" applyBorder="1" applyAlignment="1">
      <alignment horizontal="center"/>
    </xf>
    <xf numFmtId="179" fontId="0" fillId="0" borderId="3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 wrapText="1"/>
    </xf>
    <xf numFmtId="2" fontId="0" fillId="0" borderId="27" xfId="0" applyNumberFormat="1" applyFont="1" applyBorder="1" applyAlignment="1">
      <alignment horizontal="center" wrapText="1"/>
    </xf>
    <xf numFmtId="2" fontId="0" fillId="0" borderId="31" xfId="0" applyNumberFormat="1" applyFont="1" applyBorder="1" applyAlignment="1">
      <alignment horizontal="center" wrapText="1"/>
    </xf>
    <xf numFmtId="168" fontId="1" fillId="0" borderId="46" xfId="0" applyNumberFormat="1" applyFont="1" applyBorder="1" applyAlignment="1">
      <alignment horizontal="center"/>
    </xf>
    <xf numFmtId="168" fontId="1" fillId="0" borderId="47" xfId="0" applyNumberFormat="1" applyFont="1" applyBorder="1" applyAlignment="1">
      <alignment horizontal="center"/>
    </xf>
    <xf numFmtId="168" fontId="1" fillId="0" borderId="4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184" fontId="0" fillId="0" borderId="29" xfId="0" applyNumberFormat="1" applyFont="1" applyBorder="1" applyAlignment="1">
      <alignment horizontal="center" wrapText="1"/>
    </xf>
    <xf numFmtId="184" fontId="0" fillId="0" borderId="27" xfId="0" applyNumberFormat="1" applyFont="1" applyBorder="1" applyAlignment="1">
      <alignment horizontal="center" wrapText="1"/>
    </xf>
    <xf numFmtId="184" fontId="0" fillId="0" borderId="31" xfId="0" applyNumberFormat="1" applyFont="1" applyBorder="1" applyAlignment="1">
      <alignment horizontal="center" wrapText="1"/>
    </xf>
    <xf numFmtId="168" fontId="0" fillId="0" borderId="29" xfId="0" applyNumberFormat="1" applyFont="1" applyBorder="1" applyAlignment="1">
      <alignment horizontal="center" wrapText="1"/>
    </xf>
    <xf numFmtId="168" fontId="0" fillId="0" borderId="27" xfId="0" applyNumberFormat="1" applyFont="1" applyBorder="1" applyAlignment="1">
      <alignment horizontal="center" wrapText="1"/>
    </xf>
    <xf numFmtId="168" fontId="0" fillId="0" borderId="31" xfId="0" applyNumberFormat="1" applyFont="1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9" fontId="0" fillId="6" borderId="29" xfId="21" applyFont="1" applyFill="1" applyBorder="1" applyAlignment="1">
      <alignment horizontal="center"/>
    </xf>
    <xf numFmtId="9" fontId="0" fillId="6" borderId="27" xfId="21" applyFont="1" applyFill="1" applyBorder="1" applyAlignment="1">
      <alignment horizontal="center"/>
    </xf>
    <xf numFmtId="9" fontId="0" fillId="6" borderId="31" xfId="21" applyFont="1" applyFill="1" applyBorder="1" applyAlignment="1">
      <alignment horizontal="center"/>
    </xf>
    <xf numFmtId="168" fontId="0" fillId="0" borderId="29" xfId="0" applyNumberFormat="1" applyFont="1" applyBorder="1" applyAlignment="1">
      <alignment horizontal="center"/>
    </xf>
    <xf numFmtId="168" fontId="0" fillId="0" borderId="27" xfId="0" applyNumberFormat="1" applyFont="1" applyBorder="1" applyAlignment="1">
      <alignment horizontal="center"/>
    </xf>
    <xf numFmtId="168" fontId="0" fillId="0" borderId="3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6" borderId="49" xfId="0" applyFont="1" applyFill="1" applyBorder="1" applyAlignment="1">
      <alignment horizontal="center" wrapText="1"/>
    </xf>
    <xf numFmtId="0" fontId="1" fillId="6" borderId="50" xfId="0" applyFont="1" applyFill="1" applyBorder="1" applyAlignment="1">
      <alignment horizontal="center" wrapText="1"/>
    </xf>
    <xf numFmtId="0" fontId="1" fillId="6" borderId="51" xfId="0" applyFont="1" applyFill="1" applyBorder="1" applyAlignment="1">
      <alignment horizontal="center" wrapText="1"/>
    </xf>
    <xf numFmtId="0" fontId="1" fillId="6" borderId="29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0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0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51" xfId="0" applyFont="1" applyFill="1" applyBorder="1" applyAlignment="1">
      <alignment horizontal="center" wrapText="1"/>
    </xf>
    <xf numFmtId="0" fontId="1" fillId="4" borderId="50" xfId="0" applyFont="1" applyFill="1" applyBorder="1" applyAlignment="1">
      <alignment horizontal="center" wrapText="1"/>
    </xf>
    <xf numFmtId="0" fontId="1" fillId="4" borderId="5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5">
      <selection activeCell="J31" sqref="J31"/>
    </sheetView>
  </sheetViews>
  <sheetFormatPr defaultColWidth="9.140625" defaultRowHeight="12.75"/>
  <cols>
    <col min="1" max="1" width="44.421875" style="0" customWidth="1"/>
    <col min="2" max="2" width="42.28125" style="0" customWidth="1"/>
    <col min="3" max="3" width="15.57421875" style="0" customWidth="1"/>
    <col min="4" max="4" width="15.421875" style="0" customWidth="1"/>
    <col min="5" max="5" width="15.140625" style="0" customWidth="1"/>
  </cols>
  <sheetData>
    <row r="1" ht="15">
      <c r="A1" s="157"/>
    </row>
    <row r="2" spans="1:2" ht="15">
      <c r="A2" s="232" t="s">
        <v>172</v>
      </c>
      <c r="B2" s="232"/>
    </row>
    <row r="3" ht="15">
      <c r="A3" s="156"/>
    </row>
    <row r="4" spans="1:5" ht="15.75" thickBot="1">
      <c r="A4" s="155"/>
      <c r="B4" s="50" t="s">
        <v>151</v>
      </c>
      <c r="C4" s="226" t="s">
        <v>150</v>
      </c>
      <c r="D4" s="227"/>
      <c r="E4" s="228"/>
    </row>
    <row r="5" spans="1:5" ht="14.25">
      <c r="A5" s="62" t="s">
        <v>66</v>
      </c>
      <c r="B5" s="51"/>
      <c r="C5" s="222"/>
      <c r="D5" s="223"/>
      <c r="E5" s="224"/>
    </row>
    <row r="6" spans="1:5" ht="14.25">
      <c r="A6" s="151" t="s">
        <v>137</v>
      </c>
      <c r="B6" s="152" t="s">
        <v>149</v>
      </c>
      <c r="C6" s="219"/>
      <c r="D6" s="220"/>
      <c r="E6" s="221"/>
    </row>
    <row r="7" spans="1:5" ht="14.25">
      <c r="A7" s="151" t="s">
        <v>154</v>
      </c>
      <c r="B7" s="152" t="s">
        <v>45</v>
      </c>
      <c r="C7" s="219"/>
      <c r="D7" s="220"/>
      <c r="E7" s="221"/>
    </row>
    <row r="8" spans="1:5" ht="14.25">
      <c r="A8" s="151" t="s">
        <v>152</v>
      </c>
      <c r="B8" s="153"/>
      <c r="C8" s="233"/>
      <c r="D8" s="234"/>
      <c r="E8" s="235"/>
    </row>
    <row r="9" spans="1:5" ht="14.25">
      <c r="A9" s="151" t="s">
        <v>141</v>
      </c>
      <c r="B9" s="152" t="s">
        <v>153</v>
      </c>
      <c r="C9" s="219"/>
      <c r="D9" s="220"/>
      <c r="E9" s="221"/>
    </row>
    <row r="10" spans="1:5" ht="14.25">
      <c r="A10" s="151" t="s">
        <v>142</v>
      </c>
      <c r="B10" s="152" t="s">
        <v>153</v>
      </c>
      <c r="C10" s="219"/>
      <c r="D10" s="220"/>
      <c r="E10" s="221"/>
    </row>
    <row r="11" spans="1:5" ht="14.25">
      <c r="A11" s="151" t="s">
        <v>143</v>
      </c>
      <c r="B11" s="152" t="s">
        <v>153</v>
      </c>
      <c r="C11" s="219"/>
      <c r="D11" s="220"/>
      <c r="E11" s="221"/>
    </row>
    <row r="12" spans="1:5" ht="14.25">
      <c r="A12" s="151" t="s">
        <v>144</v>
      </c>
      <c r="B12" s="152" t="s">
        <v>153</v>
      </c>
      <c r="C12" s="219"/>
      <c r="D12" s="220"/>
      <c r="E12" s="221"/>
    </row>
    <row r="13" spans="1:5" ht="14.25">
      <c r="A13" s="151" t="s">
        <v>145</v>
      </c>
      <c r="B13" s="152" t="s">
        <v>153</v>
      </c>
      <c r="C13" s="219"/>
      <c r="D13" s="220"/>
      <c r="E13" s="221"/>
    </row>
    <row r="14" spans="1:5" ht="14.25">
      <c r="A14" s="151" t="s">
        <v>146</v>
      </c>
      <c r="B14" s="152" t="s">
        <v>153</v>
      </c>
      <c r="C14" s="219"/>
      <c r="D14" s="220"/>
      <c r="E14" s="221"/>
    </row>
    <row r="15" spans="1:5" ht="14.25">
      <c r="A15" s="151" t="s">
        <v>147</v>
      </c>
      <c r="B15" s="152" t="s">
        <v>153</v>
      </c>
      <c r="C15" s="219"/>
      <c r="D15" s="220"/>
      <c r="E15" s="221"/>
    </row>
    <row r="16" spans="1:5" ht="14.25">
      <c r="A16" s="151" t="s">
        <v>148</v>
      </c>
      <c r="B16" s="152" t="s">
        <v>153</v>
      </c>
      <c r="C16" s="219"/>
      <c r="D16" s="220"/>
      <c r="E16" s="221"/>
    </row>
    <row r="17" spans="1:5" ht="14.25">
      <c r="A17" s="63" t="s">
        <v>35</v>
      </c>
      <c r="B17" s="54" t="s">
        <v>238</v>
      </c>
      <c r="C17" s="225"/>
      <c r="D17" s="210"/>
      <c r="E17" s="207"/>
    </row>
    <row r="18" spans="1:5" ht="14.25">
      <c r="A18" s="63" t="s">
        <v>34</v>
      </c>
      <c r="B18" s="54" t="s">
        <v>239</v>
      </c>
      <c r="C18" s="229"/>
      <c r="D18" s="230"/>
      <c r="E18" s="231"/>
    </row>
    <row r="19" spans="1:5" ht="14.25">
      <c r="A19" s="63" t="s">
        <v>135</v>
      </c>
      <c r="B19" s="54" t="s">
        <v>136</v>
      </c>
      <c r="C19" s="222"/>
      <c r="D19" s="223"/>
      <c r="E19" s="224"/>
    </row>
    <row r="20" spans="1:5" ht="14.25">
      <c r="A20" s="63" t="s">
        <v>36</v>
      </c>
      <c r="B20" s="54" t="s">
        <v>240</v>
      </c>
      <c r="C20" s="229"/>
      <c r="D20" s="230"/>
      <c r="E20" s="231"/>
    </row>
    <row r="21" spans="1:5" ht="14.25">
      <c r="A21" s="63" t="s">
        <v>37</v>
      </c>
      <c r="B21" s="54" t="s">
        <v>41</v>
      </c>
      <c r="C21" s="229"/>
      <c r="D21" s="230"/>
      <c r="E21" s="231"/>
    </row>
    <row r="22" spans="1:5" ht="14.25">
      <c r="A22" s="63" t="s">
        <v>42</v>
      </c>
      <c r="B22" s="54" t="s">
        <v>140</v>
      </c>
      <c r="C22" s="229"/>
      <c r="D22" s="230"/>
      <c r="E22" s="231"/>
    </row>
    <row r="23" spans="1:5" ht="15">
      <c r="A23" s="208" t="s">
        <v>241</v>
      </c>
      <c r="B23" s="64"/>
      <c r="C23" s="154" t="s">
        <v>38</v>
      </c>
      <c r="D23" s="154" t="s">
        <v>39</v>
      </c>
      <c r="E23" s="154" t="s">
        <v>40</v>
      </c>
    </row>
    <row r="24" spans="1:5" ht="14.25">
      <c r="A24" s="63" t="s">
        <v>43</v>
      </c>
      <c r="B24" s="54" t="s">
        <v>139</v>
      </c>
      <c r="C24" s="52"/>
      <c r="D24" s="52"/>
      <c r="E24" s="53"/>
    </row>
    <row r="25" spans="1:5" ht="14.25">
      <c r="A25" s="63" t="s">
        <v>44</v>
      </c>
      <c r="B25" s="54" t="s">
        <v>138</v>
      </c>
      <c r="C25" s="55"/>
      <c r="D25" s="55"/>
      <c r="E25" s="56"/>
    </row>
    <row r="26" spans="1:5" ht="14.25">
      <c r="A26" s="62" t="s">
        <v>229</v>
      </c>
      <c r="B26" s="51" t="s">
        <v>45</v>
      </c>
      <c r="C26" s="52"/>
      <c r="D26" s="52"/>
      <c r="E26" s="53"/>
    </row>
    <row r="27" spans="1:5" ht="14.25">
      <c r="A27" s="63" t="s">
        <v>228</v>
      </c>
      <c r="B27" s="54" t="s">
        <v>45</v>
      </c>
      <c r="C27" s="55"/>
      <c r="D27" s="55"/>
      <c r="E27" s="56"/>
    </row>
    <row r="28" spans="1:5" ht="14.25">
      <c r="A28" s="63" t="s">
        <v>227</v>
      </c>
      <c r="B28" s="64"/>
      <c r="C28" s="65"/>
      <c r="D28" s="65"/>
      <c r="E28" s="209"/>
    </row>
    <row r="29" spans="1:5" ht="14.25">
      <c r="A29" s="63" t="s">
        <v>141</v>
      </c>
      <c r="B29" s="54" t="s">
        <v>153</v>
      </c>
      <c r="C29" s="55"/>
      <c r="D29" s="55"/>
      <c r="E29" s="56"/>
    </row>
    <row r="30" spans="1:5" ht="14.25">
      <c r="A30" s="63" t="s">
        <v>230</v>
      </c>
      <c r="B30" s="54" t="s">
        <v>153</v>
      </c>
      <c r="C30" s="55"/>
      <c r="D30" s="55"/>
      <c r="E30" s="56"/>
    </row>
    <row r="31" spans="1:5" ht="14.25">
      <c r="A31" s="63" t="s">
        <v>143</v>
      </c>
      <c r="B31" s="54" t="s">
        <v>153</v>
      </c>
      <c r="C31" s="55"/>
      <c r="D31" s="55"/>
      <c r="E31" s="56"/>
    </row>
    <row r="32" spans="1:5" ht="14.25">
      <c r="A32" s="63" t="s">
        <v>144</v>
      </c>
      <c r="B32" s="54" t="s">
        <v>153</v>
      </c>
      <c r="C32" s="55"/>
      <c r="D32" s="55"/>
      <c r="E32" s="56"/>
    </row>
    <row r="33" spans="1:5" ht="14.25">
      <c r="A33" s="63" t="s">
        <v>145</v>
      </c>
      <c r="B33" s="54" t="s">
        <v>153</v>
      </c>
      <c r="C33" s="55"/>
      <c r="D33" s="55"/>
      <c r="E33" s="56"/>
    </row>
    <row r="34" spans="1:5" ht="14.25">
      <c r="A34" s="63" t="s">
        <v>231</v>
      </c>
      <c r="B34" s="54" t="s">
        <v>153</v>
      </c>
      <c r="C34" s="55"/>
      <c r="D34" s="55"/>
      <c r="E34" s="56"/>
    </row>
    <row r="35" spans="1:5" ht="14.25">
      <c r="A35" s="63" t="s">
        <v>232</v>
      </c>
      <c r="B35" s="54" t="s">
        <v>153</v>
      </c>
      <c r="C35" s="55"/>
      <c r="D35" s="55"/>
      <c r="E35" s="56"/>
    </row>
    <row r="36" spans="1:5" ht="14.25">
      <c r="A36" s="63" t="s">
        <v>233</v>
      </c>
      <c r="B36" s="54" t="s">
        <v>153</v>
      </c>
      <c r="C36" s="55"/>
      <c r="D36" s="55"/>
      <c r="E36" s="56"/>
    </row>
    <row r="37" spans="1:5" ht="14.25">
      <c r="A37" s="63" t="s">
        <v>234</v>
      </c>
      <c r="B37" s="54" t="s">
        <v>153</v>
      </c>
      <c r="C37" s="55"/>
      <c r="D37" s="55"/>
      <c r="E37" s="56"/>
    </row>
    <row r="38" spans="1:5" ht="14.25">
      <c r="A38" s="63" t="s">
        <v>235</v>
      </c>
      <c r="B38" s="54" t="s">
        <v>153</v>
      </c>
      <c r="C38" s="55"/>
      <c r="D38" s="55"/>
      <c r="E38" s="56"/>
    </row>
    <row r="39" spans="1:5" ht="14.25">
      <c r="A39" s="63" t="s">
        <v>236</v>
      </c>
      <c r="B39" s="54" t="s">
        <v>153</v>
      </c>
      <c r="C39" s="55"/>
      <c r="D39" s="55"/>
      <c r="E39" s="56"/>
    </row>
    <row r="40" spans="1:5" ht="14.25">
      <c r="A40" s="63" t="s">
        <v>237</v>
      </c>
      <c r="B40" s="54" t="s">
        <v>153</v>
      </c>
      <c r="C40" s="55"/>
      <c r="D40" s="55"/>
      <c r="E40" s="56"/>
    </row>
    <row r="41" spans="1:5" ht="14.25">
      <c r="A41" s="63" t="s">
        <v>148</v>
      </c>
      <c r="B41" s="54" t="s">
        <v>153</v>
      </c>
      <c r="C41" s="55"/>
      <c r="D41" s="55"/>
      <c r="E41" s="56"/>
    </row>
    <row r="42" spans="1:5" ht="14.25">
      <c r="A42" s="63" t="s">
        <v>257</v>
      </c>
      <c r="B42" s="54" t="s">
        <v>46</v>
      </c>
      <c r="C42" s="55"/>
      <c r="D42" s="55"/>
      <c r="E42" s="55"/>
    </row>
    <row r="43" spans="1:5" ht="14.25">
      <c r="A43" s="63" t="s">
        <v>258</v>
      </c>
      <c r="B43" s="54" t="s">
        <v>46</v>
      </c>
      <c r="C43" s="55"/>
      <c r="D43" s="55"/>
      <c r="E43" s="55"/>
    </row>
    <row r="44" spans="1:5" ht="30">
      <c r="A44" s="208" t="s">
        <v>255</v>
      </c>
      <c r="B44" s="218"/>
      <c r="C44" s="218"/>
      <c r="D44" s="218"/>
      <c r="E44" s="218"/>
    </row>
    <row r="45" spans="1:5" ht="42.75">
      <c r="A45" s="216" t="s">
        <v>261</v>
      </c>
      <c r="B45" s="217" t="s">
        <v>253</v>
      </c>
      <c r="C45" s="80"/>
      <c r="D45" s="80"/>
      <c r="E45" s="80"/>
    </row>
    <row r="46" spans="1:5" ht="16.5" customHeight="1">
      <c r="A46" s="216" t="s">
        <v>259</v>
      </c>
      <c r="B46" s="54" t="s">
        <v>46</v>
      </c>
      <c r="C46" s="80"/>
      <c r="D46" s="80"/>
      <c r="E46" s="80"/>
    </row>
    <row r="47" spans="1:5" ht="14.25">
      <c r="A47" s="216" t="s">
        <v>260</v>
      </c>
      <c r="B47" s="54" t="s">
        <v>46</v>
      </c>
      <c r="C47" s="80"/>
      <c r="D47" s="80"/>
      <c r="E47" s="80"/>
    </row>
  </sheetData>
  <mergeCells count="20">
    <mergeCell ref="C22:E22"/>
    <mergeCell ref="C16:E16"/>
    <mergeCell ref="C18:E18"/>
    <mergeCell ref="C21:E21"/>
    <mergeCell ref="C4:E4"/>
    <mergeCell ref="C7:E7"/>
    <mergeCell ref="C20:E20"/>
    <mergeCell ref="A2:B2"/>
    <mergeCell ref="C12:E12"/>
    <mergeCell ref="C13:E13"/>
    <mergeCell ref="C5:E5"/>
    <mergeCell ref="C6:E6"/>
    <mergeCell ref="C8:E8"/>
    <mergeCell ref="C9:E9"/>
    <mergeCell ref="C10:E10"/>
    <mergeCell ref="C11:E11"/>
    <mergeCell ref="C19:E19"/>
    <mergeCell ref="C17:E17"/>
    <mergeCell ref="C14:E14"/>
    <mergeCell ref="C15:E15"/>
  </mergeCells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="95" zoomScaleNormal="95" workbookViewId="0" topLeftCell="A23">
      <selection activeCell="A30" sqref="A30:F49"/>
    </sheetView>
  </sheetViews>
  <sheetFormatPr defaultColWidth="9.140625" defaultRowHeight="12.75"/>
  <cols>
    <col min="1" max="1" width="12.421875" style="0" customWidth="1"/>
    <col min="2" max="2" width="40.00390625" style="0" customWidth="1"/>
    <col min="3" max="3" width="37.57421875" style="0" customWidth="1"/>
    <col min="4" max="4" width="13.57421875" style="0" customWidth="1"/>
    <col min="5" max="5" width="12.8515625" style="0" customWidth="1"/>
    <col min="6" max="6" width="13.421875" style="0" customWidth="1"/>
    <col min="7" max="7" width="15.00390625" style="112" bestFit="1" customWidth="1"/>
    <col min="8" max="8" width="10.421875" style="112" customWidth="1"/>
    <col min="9" max="9" width="19.140625" style="112" customWidth="1"/>
    <col min="10" max="10" width="16.00390625" style="0" bestFit="1" customWidth="1"/>
    <col min="11" max="11" width="18.57421875" style="0" bestFit="1" customWidth="1"/>
    <col min="12" max="12" width="13.421875" style="0" bestFit="1" customWidth="1"/>
    <col min="14" max="14" width="15.57421875" style="0" bestFit="1" customWidth="1"/>
  </cols>
  <sheetData>
    <row r="2" spans="1:3" ht="18">
      <c r="A2" s="272" t="s">
        <v>220</v>
      </c>
      <c r="B2" s="272"/>
      <c r="C2" s="272"/>
    </row>
    <row r="3" spans="1:3" ht="21">
      <c r="A3" s="272" t="s">
        <v>101</v>
      </c>
      <c r="B3" s="272"/>
      <c r="C3" s="272"/>
    </row>
    <row r="4" spans="1:3" ht="21" hidden="1">
      <c r="A4" s="272" t="s">
        <v>102</v>
      </c>
      <c r="B4" s="272"/>
      <c r="C4" s="272"/>
    </row>
    <row r="5" spans="1:3" ht="21.75" thickBot="1">
      <c r="A5" s="272" t="s">
        <v>115</v>
      </c>
      <c r="B5" s="272"/>
      <c r="C5" s="272"/>
    </row>
    <row r="6" spans="1:12" ht="30.75" customHeight="1" thickBot="1">
      <c r="A6" s="157" t="s">
        <v>219</v>
      </c>
      <c r="B6" s="158"/>
      <c r="C6" s="111"/>
      <c r="D6" s="191" t="s">
        <v>5</v>
      </c>
      <c r="E6" s="192" t="s">
        <v>120</v>
      </c>
      <c r="F6" s="193" t="s">
        <v>121</v>
      </c>
      <c r="H6" s="273" t="s">
        <v>177</v>
      </c>
      <c r="I6" s="273"/>
      <c r="J6" s="273"/>
      <c r="K6" s="273"/>
      <c r="L6" s="273"/>
    </row>
    <row r="7" spans="1:15" ht="31.5" customHeight="1" thickBot="1">
      <c r="A7" s="189"/>
      <c r="B7" s="190"/>
      <c r="C7" s="212" t="s">
        <v>250</v>
      </c>
      <c r="D7" s="163" t="s">
        <v>155</v>
      </c>
      <c r="E7" s="164"/>
      <c r="F7" s="165"/>
      <c r="G7" s="113"/>
      <c r="H7" s="112" t="s">
        <v>195</v>
      </c>
      <c r="I7" s="112" t="s">
        <v>196</v>
      </c>
      <c r="J7" s="201" t="s">
        <v>203</v>
      </c>
      <c r="K7" t="s">
        <v>197</v>
      </c>
      <c r="L7" s="201" t="s">
        <v>202</v>
      </c>
      <c r="M7" t="s">
        <v>193</v>
      </c>
      <c r="N7" s="201" t="s">
        <v>194</v>
      </c>
      <c r="O7" s="201">
        <v>0.2642</v>
      </c>
    </row>
    <row r="8" spans="1:15" ht="27.75" customHeight="1">
      <c r="A8" s="159" t="s">
        <v>156</v>
      </c>
      <c r="B8" s="160" t="s">
        <v>84</v>
      </c>
      <c r="C8" s="215" t="s">
        <v>246</v>
      </c>
      <c r="D8" s="161"/>
      <c r="E8" s="161"/>
      <c r="F8" s="162"/>
      <c r="G8" s="89"/>
      <c r="H8" s="202" t="s">
        <v>178</v>
      </c>
      <c r="I8" s="202" t="s">
        <v>188</v>
      </c>
      <c r="J8" s="202" t="s">
        <v>180</v>
      </c>
      <c r="K8" s="202" t="s">
        <v>181</v>
      </c>
      <c r="L8" s="202" t="s">
        <v>189</v>
      </c>
      <c r="M8" s="202" t="s">
        <v>182</v>
      </c>
      <c r="N8" s="202" t="s">
        <v>184</v>
      </c>
      <c r="O8" s="202" t="s">
        <v>187</v>
      </c>
    </row>
    <row r="9" spans="1:15" ht="27" customHeight="1">
      <c r="A9" s="166" t="s">
        <v>157</v>
      </c>
      <c r="B9" s="167" t="s">
        <v>85</v>
      </c>
      <c r="C9" s="167" t="s">
        <v>86</v>
      </c>
      <c r="D9" s="242"/>
      <c r="E9" s="243"/>
      <c r="F9" s="244"/>
      <c r="G9" s="117"/>
      <c r="H9" s="114" t="s">
        <v>179</v>
      </c>
      <c r="I9" s="114" t="s">
        <v>178</v>
      </c>
      <c r="J9" s="116" t="s">
        <v>178</v>
      </c>
      <c r="K9" s="116" t="s">
        <v>180</v>
      </c>
      <c r="L9" s="116" t="s">
        <v>180</v>
      </c>
      <c r="M9" s="116" t="s">
        <v>183</v>
      </c>
      <c r="N9" s="116" t="s">
        <v>185</v>
      </c>
      <c r="O9" s="116" t="s">
        <v>186</v>
      </c>
    </row>
    <row r="10" spans="1:6" ht="42.75" customHeight="1">
      <c r="A10" s="166" t="s">
        <v>158</v>
      </c>
      <c r="B10" s="168" t="s">
        <v>256</v>
      </c>
      <c r="C10" s="205" t="s">
        <v>253</v>
      </c>
      <c r="D10" s="169"/>
      <c r="E10" s="170"/>
      <c r="F10" s="171"/>
    </row>
    <row r="11" spans="1:6" ht="14.25" hidden="1">
      <c r="A11" s="172" t="s">
        <v>159</v>
      </c>
      <c r="B11" s="173" t="s">
        <v>87</v>
      </c>
      <c r="C11" s="174" t="s">
        <v>88</v>
      </c>
      <c r="D11" s="175"/>
      <c r="E11" s="175"/>
      <c r="F11" s="175"/>
    </row>
    <row r="12" spans="1:6" ht="15.75" customHeight="1" hidden="1">
      <c r="A12" s="172" t="s">
        <v>160</v>
      </c>
      <c r="B12" s="176" t="s">
        <v>89</v>
      </c>
      <c r="C12" s="174" t="s">
        <v>88</v>
      </c>
      <c r="D12" s="175"/>
      <c r="E12" s="175"/>
      <c r="F12" s="175"/>
    </row>
    <row r="13" spans="1:6" ht="14.25" hidden="1">
      <c r="A13" s="172" t="s">
        <v>161</v>
      </c>
      <c r="B13" s="173" t="s">
        <v>90</v>
      </c>
      <c r="C13" s="174" t="s">
        <v>91</v>
      </c>
      <c r="D13" s="177"/>
      <c r="E13" s="177"/>
      <c r="F13" s="177"/>
    </row>
    <row r="14" spans="1:6" ht="12.75" hidden="1">
      <c r="A14" s="172" t="s">
        <v>92</v>
      </c>
      <c r="B14" s="176" t="s">
        <v>93</v>
      </c>
      <c r="C14" s="174" t="s">
        <v>94</v>
      </c>
      <c r="D14" s="178"/>
      <c r="E14" s="178"/>
      <c r="F14" s="178"/>
    </row>
    <row r="15" spans="1:12" ht="26.25">
      <c r="A15" s="166" t="s">
        <v>162</v>
      </c>
      <c r="B15" s="167" t="s">
        <v>100</v>
      </c>
      <c r="C15" s="179" t="s">
        <v>107</v>
      </c>
      <c r="D15" s="245"/>
      <c r="E15" s="246"/>
      <c r="F15" s="247"/>
      <c r="H15" s="273" t="s">
        <v>190</v>
      </c>
      <c r="I15" s="273"/>
      <c r="J15" s="273"/>
      <c r="K15" s="273"/>
      <c r="L15" s="273"/>
    </row>
    <row r="16" spans="1:15" ht="27">
      <c r="A16" s="180" t="s">
        <v>95</v>
      </c>
      <c r="B16" s="181" t="s">
        <v>96</v>
      </c>
      <c r="C16" s="181" t="s">
        <v>254</v>
      </c>
      <c r="D16" s="248"/>
      <c r="E16" s="249"/>
      <c r="F16" s="250"/>
      <c r="H16" s="112" t="s">
        <v>191</v>
      </c>
      <c r="I16" s="112" t="s">
        <v>215</v>
      </c>
      <c r="J16" s="201" t="s">
        <v>204</v>
      </c>
      <c r="K16" t="s">
        <v>192</v>
      </c>
      <c r="L16" s="201" t="s">
        <v>202</v>
      </c>
      <c r="M16" t="s">
        <v>193</v>
      </c>
      <c r="N16" s="201" t="s">
        <v>194</v>
      </c>
      <c r="O16" s="201">
        <v>0.2642</v>
      </c>
    </row>
    <row r="17" spans="1:15" ht="25.5">
      <c r="A17" s="213"/>
      <c r="B17" s="214" t="s">
        <v>96</v>
      </c>
      <c r="C17" s="214" t="s">
        <v>247</v>
      </c>
      <c r="D17" s="251"/>
      <c r="E17" s="252"/>
      <c r="F17" s="253"/>
      <c r="H17" s="202" t="s">
        <v>198</v>
      </c>
      <c r="I17" s="202" t="s">
        <v>199</v>
      </c>
      <c r="J17" s="202" t="s">
        <v>200</v>
      </c>
      <c r="K17" s="202" t="s">
        <v>201</v>
      </c>
      <c r="L17" s="202" t="s">
        <v>189</v>
      </c>
      <c r="M17" s="202" t="s">
        <v>182</v>
      </c>
      <c r="N17" s="202" t="s">
        <v>184</v>
      </c>
      <c r="O17" s="202" t="s">
        <v>187</v>
      </c>
    </row>
    <row r="18" spans="1:15" ht="14.25">
      <c r="A18" s="182" t="s">
        <v>163</v>
      </c>
      <c r="B18" s="183" t="s">
        <v>243</v>
      </c>
      <c r="C18" s="184" t="s">
        <v>171</v>
      </c>
      <c r="D18" s="260"/>
      <c r="E18" s="261"/>
      <c r="F18" s="262"/>
      <c r="H18" s="114" t="s">
        <v>179</v>
      </c>
      <c r="I18" s="114" t="s">
        <v>198</v>
      </c>
      <c r="J18" s="116" t="s">
        <v>198</v>
      </c>
      <c r="K18" s="116" t="s">
        <v>200</v>
      </c>
      <c r="L18" s="116" t="s">
        <v>200</v>
      </c>
      <c r="M18" s="116" t="s">
        <v>183</v>
      </c>
      <c r="N18" s="116" t="s">
        <v>185</v>
      </c>
      <c r="O18" s="116" t="s">
        <v>186</v>
      </c>
    </row>
    <row r="19" spans="1:6" ht="14.25">
      <c r="A19" s="182" t="s">
        <v>164</v>
      </c>
      <c r="B19" s="183" t="s">
        <v>244</v>
      </c>
      <c r="C19" s="185" t="s">
        <v>171</v>
      </c>
      <c r="D19" s="263"/>
      <c r="E19" s="264"/>
      <c r="F19" s="265"/>
    </row>
    <row r="20" spans="1:6" ht="28.5" customHeight="1">
      <c r="A20" s="182" t="s">
        <v>165</v>
      </c>
      <c r="B20" s="183" t="s">
        <v>252</v>
      </c>
      <c r="C20" s="185" t="s">
        <v>103</v>
      </c>
      <c r="D20" s="263">
        <v>0.9</v>
      </c>
      <c r="E20" s="264"/>
      <c r="F20" s="265"/>
    </row>
    <row r="21" spans="1:8" ht="26.25">
      <c r="A21" s="182" t="s">
        <v>166</v>
      </c>
      <c r="B21" s="183" t="s">
        <v>251</v>
      </c>
      <c r="C21" s="185" t="s">
        <v>104</v>
      </c>
      <c r="D21" s="263">
        <v>0.9</v>
      </c>
      <c r="E21" s="264"/>
      <c r="F21" s="265"/>
      <c r="H21" s="89" t="s">
        <v>216</v>
      </c>
    </row>
    <row r="22" spans="1:12" ht="27" customHeight="1">
      <c r="A22" s="182" t="s">
        <v>167</v>
      </c>
      <c r="B22" s="183" t="s">
        <v>97</v>
      </c>
      <c r="C22" s="185" t="s">
        <v>105</v>
      </c>
      <c r="D22" s="263">
        <v>0.95</v>
      </c>
      <c r="E22" s="264"/>
      <c r="F22" s="265"/>
      <c r="H22" s="112" t="s">
        <v>205</v>
      </c>
      <c r="I22" s="112" t="s">
        <v>206</v>
      </c>
      <c r="J22" s="203" t="s">
        <v>211</v>
      </c>
      <c r="K22" s="203" t="s">
        <v>212</v>
      </c>
      <c r="L22" s="201">
        <v>2000</v>
      </c>
    </row>
    <row r="23" spans="1:12" ht="26.25">
      <c r="A23" s="182" t="s">
        <v>168</v>
      </c>
      <c r="B23" s="183" t="s">
        <v>98</v>
      </c>
      <c r="C23" s="185" t="s">
        <v>106</v>
      </c>
      <c r="D23" s="263">
        <v>0.85</v>
      </c>
      <c r="E23" s="264"/>
      <c r="F23" s="265"/>
      <c r="I23" s="202" t="s">
        <v>213</v>
      </c>
      <c r="J23" s="204" t="s">
        <v>183</v>
      </c>
      <c r="K23" s="204" t="s">
        <v>207</v>
      </c>
      <c r="L23" s="204" t="s">
        <v>209</v>
      </c>
    </row>
    <row r="24" spans="1:12" ht="26.25">
      <c r="A24" s="182" t="s">
        <v>169</v>
      </c>
      <c r="B24" s="183" t="s">
        <v>99</v>
      </c>
      <c r="C24" s="185" t="s">
        <v>248</v>
      </c>
      <c r="D24" s="254">
        <v>5250</v>
      </c>
      <c r="E24" s="255"/>
      <c r="F24" s="256"/>
      <c r="I24" s="114" t="s">
        <v>214</v>
      </c>
      <c r="J24" s="116" t="s">
        <v>207</v>
      </c>
      <c r="K24" s="116" t="s">
        <v>208</v>
      </c>
      <c r="L24" s="116" t="s">
        <v>210</v>
      </c>
    </row>
    <row r="25" spans="1:6" ht="30" customHeight="1" thickBot="1">
      <c r="A25" s="186" t="s">
        <v>170</v>
      </c>
      <c r="B25" s="187" t="s">
        <v>245</v>
      </c>
      <c r="C25" s="188" t="s">
        <v>249</v>
      </c>
      <c r="D25" s="257">
        <v>5135</v>
      </c>
      <c r="E25" s="258"/>
      <c r="F25" s="259"/>
    </row>
    <row r="26" spans="3:5" ht="12.75">
      <c r="C26" s="99"/>
      <c r="D26" s="100"/>
      <c r="E26" s="100"/>
    </row>
    <row r="27" spans="1:8" ht="12.75">
      <c r="A27" s="101"/>
      <c r="B27" s="274"/>
      <c r="C27" s="274"/>
      <c r="D27" s="274"/>
      <c r="E27" s="274"/>
      <c r="F27" s="274"/>
      <c r="G27" s="274"/>
      <c r="H27" s="274"/>
    </row>
    <row r="29" ht="13.5" thickBot="1"/>
    <row r="30" spans="1:6" ht="30.75" customHeight="1" thickBot="1">
      <c r="A30" s="157" t="s">
        <v>218</v>
      </c>
      <c r="B30" s="158"/>
      <c r="C30" s="111"/>
      <c r="D30" s="191" t="s">
        <v>5</v>
      </c>
      <c r="E30" s="192" t="s">
        <v>120</v>
      </c>
      <c r="F30" s="193" t="s">
        <v>121</v>
      </c>
    </row>
    <row r="31" spans="1:7" ht="26.25" thickBot="1">
      <c r="A31" s="189"/>
      <c r="B31" s="190"/>
      <c r="C31" s="212" t="s">
        <v>250</v>
      </c>
      <c r="D31" s="163" t="s">
        <v>155</v>
      </c>
      <c r="E31" s="164">
        <f>D32/E32*100%</f>
        <v>1.3333333333333335</v>
      </c>
      <c r="F31" s="165">
        <f>D32/F32*100%</f>
        <v>4.444444444444445</v>
      </c>
      <c r="G31" s="113"/>
    </row>
    <row r="32" spans="1:7" ht="27" customHeight="1">
      <c r="A32" s="159" t="s">
        <v>156</v>
      </c>
      <c r="B32" s="160" t="s">
        <v>84</v>
      </c>
      <c r="C32" s="215" t="s">
        <v>246</v>
      </c>
      <c r="D32" s="161">
        <f>D34*D33/D40/D39</f>
        <v>0.42233915980641007</v>
      </c>
      <c r="E32" s="161">
        <f>E34*D33/D40/D39</f>
        <v>0.31675436985480754</v>
      </c>
      <c r="F32" s="162">
        <f>F34*D33/D40/D39</f>
        <v>0.09502631095644226</v>
      </c>
      <c r="G32" s="89"/>
    </row>
    <row r="33" spans="1:8" ht="25.5" customHeight="1">
      <c r="A33" s="166" t="s">
        <v>157</v>
      </c>
      <c r="B33" s="167" t="s">
        <v>85</v>
      </c>
      <c r="C33" s="167" t="s">
        <v>86</v>
      </c>
      <c r="D33" s="242">
        <v>0.5</v>
      </c>
      <c r="E33" s="243"/>
      <c r="F33" s="244"/>
      <c r="G33" s="117"/>
      <c r="H33" s="114"/>
    </row>
    <row r="34" spans="1:6" ht="39">
      <c r="A34" s="166" t="s">
        <v>158</v>
      </c>
      <c r="B34" s="168" t="s">
        <v>256</v>
      </c>
      <c r="C34" s="205" t="s">
        <v>253</v>
      </c>
      <c r="D34" s="169">
        <f>20/1000</f>
        <v>0.02</v>
      </c>
      <c r="E34" s="170">
        <f>15/1000</f>
        <v>0.015</v>
      </c>
      <c r="F34" s="171">
        <v>0.0045</v>
      </c>
    </row>
    <row r="35" spans="1:6" ht="14.25" hidden="1">
      <c r="A35" s="172" t="s">
        <v>159</v>
      </c>
      <c r="B35" s="173" t="s">
        <v>87</v>
      </c>
      <c r="C35" s="174" t="s">
        <v>88</v>
      </c>
      <c r="D35" s="175"/>
      <c r="E35" s="175"/>
      <c r="F35" s="175"/>
    </row>
    <row r="36" spans="1:6" ht="15.75" customHeight="1" hidden="1">
      <c r="A36" s="172" t="s">
        <v>160</v>
      </c>
      <c r="B36" s="176" t="s">
        <v>89</v>
      </c>
      <c r="C36" s="174" t="s">
        <v>88</v>
      </c>
      <c r="D36" s="175"/>
      <c r="E36" s="175"/>
      <c r="F36" s="175"/>
    </row>
    <row r="37" spans="1:6" ht="14.25" hidden="1">
      <c r="A37" s="172" t="s">
        <v>161</v>
      </c>
      <c r="B37" s="173" t="s">
        <v>90</v>
      </c>
      <c r="C37" s="174" t="s">
        <v>91</v>
      </c>
      <c r="D37" s="177"/>
      <c r="E37" s="177"/>
      <c r="F37" s="177"/>
    </row>
    <row r="38" spans="1:6" ht="12.75" hidden="1">
      <c r="A38" s="172" t="s">
        <v>92</v>
      </c>
      <c r="B38" s="176" t="s">
        <v>93</v>
      </c>
      <c r="C38" s="174" t="s">
        <v>94</v>
      </c>
      <c r="D38" s="178"/>
      <c r="E38" s="178"/>
      <c r="F38" s="178"/>
    </row>
    <row r="39" spans="1:6" ht="26.25">
      <c r="A39" s="166" t="s">
        <v>162</v>
      </c>
      <c r="B39" s="167" t="s">
        <v>100</v>
      </c>
      <c r="C39" s="179" t="s">
        <v>107</v>
      </c>
      <c r="D39" s="245">
        <v>150</v>
      </c>
      <c r="E39" s="246"/>
      <c r="F39" s="247"/>
    </row>
    <row r="40" spans="1:6" ht="25.5">
      <c r="A40" s="180" t="s">
        <v>95</v>
      </c>
      <c r="B40" s="181" t="s">
        <v>96</v>
      </c>
      <c r="C40" s="181" t="s">
        <v>254</v>
      </c>
      <c r="D40" s="239">
        <f>((D42*D44*D46/D48)+(D43*D45*D47/D49))/(D42+D43)</f>
        <v>0.0001578510188286235</v>
      </c>
      <c r="E40" s="240"/>
      <c r="F40" s="241"/>
    </row>
    <row r="41" spans="1:6" ht="25.5">
      <c r="A41" s="213"/>
      <c r="B41" s="214" t="s">
        <v>96</v>
      </c>
      <c r="C41" s="214" t="s">
        <v>247</v>
      </c>
      <c r="D41" s="236">
        <f>D40*(D42+D43)*1000*2000/2.205</f>
        <v>83.75768346008593</v>
      </c>
      <c r="E41" s="237"/>
      <c r="F41" s="238"/>
    </row>
    <row r="42" spans="1:6" ht="14.25">
      <c r="A42" s="182" t="s">
        <v>163</v>
      </c>
      <c r="B42" s="183" t="s">
        <v>243</v>
      </c>
      <c r="C42" s="184" t="s">
        <v>171</v>
      </c>
      <c r="D42" s="266">
        <v>0.374</v>
      </c>
      <c r="E42" s="267"/>
      <c r="F42" s="268"/>
    </row>
    <row r="43" spans="1:6" ht="14.25">
      <c r="A43" s="182" t="s">
        <v>164</v>
      </c>
      <c r="B43" s="183" t="s">
        <v>244</v>
      </c>
      <c r="C43" s="185" t="s">
        <v>171</v>
      </c>
      <c r="D43" s="269">
        <v>0.211</v>
      </c>
      <c r="E43" s="270"/>
      <c r="F43" s="271"/>
    </row>
    <row r="44" spans="1:6" ht="28.5" customHeight="1">
      <c r="A44" s="182" t="s">
        <v>165</v>
      </c>
      <c r="B44" s="183" t="s">
        <v>252</v>
      </c>
      <c r="C44" s="185" t="s">
        <v>103</v>
      </c>
      <c r="D44" s="263">
        <v>0.9</v>
      </c>
      <c r="E44" s="264"/>
      <c r="F44" s="265"/>
    </row>
    <row r="45" spans="1:6" ht="26.25">
      <c r="A45" s="182" t="s">
        <v>166</v>
      </c>
      <c r="B45" s="183" t="s">
        <v>251</v>
      </c>
      <c r="C45" s="185" t="s">
        <v>104</v>
      </c>
      <c r="D45" s="263">
        <v>0.9</v>
      </c>
      <c r="E45" s="264"/>
      <c r="F45" s="265"/>
    </row>
    <row r="46" spans="1:6" ht="27" customHeight="1">
      <c r="A46" s="182" t="s">
        <v>167</v>
      </c>
      <c r="B46" s="183" t="s">
        <v>97</v>
      </c>
      <c r="C46" s="185" t="s">
        <v>105</v>
      </c>
      <c r="D46" s="263">
        <v>0.95</v>
      </c>
      <c r="E46" s="264"/>
      <c r="F46" s="265"/>
    </row>
    <row r="47" spans="1:6" ht="26.25">
      <c r="A47" s="182" t="s">
        <v>168</v>
      </c>
      <c r="B47" s="183" t="s">
        <v>98</v>
      </c>
      <c r="C47" s="185" t="s">
        <v>106</v>
      </c>
      <c r="D47" s="263">
        <v>0.85</v>
      </c>
      <c r="E47" s="264"/>
      <c r="F47" s="265"/>
    </row>
    <row r="48" spans="1:6" ht="26.25">
      <c r="A48" s="182" t="s">
        <v>169</v>
      </c>
      <c r="B48" s="183" t="s">
        <v>99</v>
      </c>
      <c r="C48" s="185" t="s">
        <v>248</v>
      </c>
      <c r="D48" s="254">
        <v>5250</v>
      </c>
      <c r="E48" s="255"/>
      <c r="F48" s="256"/>
    </row>
    <row r="49" spans="1:6" ht="30" customHeight="1" thickBot="1">
      <c r="A49" s="186" t="s">
        <v>170</v>
      </c>
      <c r="B49" s="187" t="s">
        <v>245</v>
      </c>
      <c r="C49" s="188" t="s">
        <v>249</v>
      </c>
      <c r="D49" s="257">
        <v>5135</v>
      </c>
      <c r="E49" s="258"/>
      <c r="F49" s="259"/>
    </row>
    <row r="51" spans="1:8" ht="12.75">
      <c r="A51" s="102"/>
      <c r="B51" s="103"/>
      <c r="C51" s="103"/>
      <c r="D51" t="s">
        <v>114</v>
      </c>
      <c r="E51" s="116" t="s">
        <v>122</v>
      </c>
      <c r="F51" s="112" t="s">
        <v>112</v>
      </c>
      <c r="G51" s="115"/>
      <c r="H51" s="115"/>
    </row>
  </sheetData>
  <mergeCells count="31">
    <mergeCell ref="A2:C2"/>
    <mergeCell ref="H6:L6"/>
    <mergeCell ref="H15:L15"/>
    <mergeCell ref="D48:F48"/>
    <mergeCell ref="B27:H27"/>
    <mergeCell ref="D23:F23"/>
    <mergeCell ref="A3:C3"/>
    <mergeCell ref="A4:C4"/>
    <mergeCell ref="A5:C5"/>
    <mergeCell ref="D22:F22"/>
    <mergeCell ref="D49:F49"/>
    <mergeCell ref="D42:F42"/>
    <mergeCell ref="D43:F43"/>
    <mergeCell ref="D46:F46"/>
    <mergeCell ref="D47:F47"/>
    <mergeCell ref="D45:F45"/>
    <mergeCell ref="D44:F44"/>
    <mergeCell ref="D18:F18"/>
    <mergeCell ref="D19:F19"/>
    <mergeCell ref="D20:F20"/>
    <mergeCell ref="D21:F21"/>
    <mergeCell ref="D41:F41"/>
    <mergeCell ref="D40:F40"/>
    <mergeCell ref="D33:F33"/>
    <mergeCell ref="D9:F9"/>
    <mergeCell ref="D39:F39"/>
    <mergeCell ref="D15:F15"/>
    <mergeCell ref="D16:F16"/>
    <mergeCell ref="D17:F17"/>
    <mergeCell ref="D24:F24"/>
    <mergeCell ref="D25:F25"/>
  </mergeCells>
  <printOptions/>
  <pageMargins left="0.32" right="0.23" top="1" bottom="1" header="0.5" footer="0.5"/>
  <pageSetup fitToHeight="1" fitToWidth="1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1">
      <selection activeCell="H9" sqref="H9"/>
    </sheetView>
  </sheetViews>
  <sheetFormatPr defaultColWidth="9.140625" defaultRowHeight="12.75"/>
  <cols>
    <col min="1" max="1" width="41.00390625" style="0" customWidth="1"/>
    <col min="2" max="2" width="47.421875" style="0" customWidth="1"/>
    <col min="3" max="3" width="21.140625" style="0" bestFit="1" customWidth="1"/>
    <col min="4" max="4" width="21.140625" style="0" customWidth="1"/>
    <col min="5" max="5" width="18.7109375" style="0" customWidth="1"/>
    <col min="6" max="6" width="27.7109375" style="0" customWidth="1"/>
    <col min="7" max="7" width="17.421875" style="0" customWidth="1"/>
    <col min="8" max="8" width="17.140625" style="0" customWidth="1"/>
    <col min="9" max="9" width="25.00390625" style="0" customWidth="1"/>
    <col min="10" max="16384" width="20.8515625" style="0" customWidth="1"/>
  </cols>
  <sheetData>
    <row r="1" spans="1:9" ht="15.75">
      <c r="A1" s="107"/>
      <c r="B1" s="107"/>
      <c r="C1" s="97"/>
      <c r="D1" s="97"/>
      <c r="E1" s="75"/>
      <c r="F1" s="75"/>
      <c r="G1" s="75"/>
      <c r="H1" s="75"/>
      <c r="I1" s="76"/>
    </row>
    <row r="2" spans="1:9" ht="16.5" thickBot="1">
      <c r="A2" s="194" t="s">
        <v>173</v>
      </c>
      <c r="B2" s="107"/>
      <c r="C2" s="97"/>
      <c r="D2" s="97"/>
      <c r="E2" s="75"/>
      <c r="F2" s="75"/>
      <c r="G2" s="75"/>
      <c r="H2" s="75"/>
      <c r="I2" s="76"/>
    </row>
    <row r="3" spans="1:5" ht="13.5" thickBot="1">
      <c r="A3" s="148"/>
      <c r="B3" s="149"/>
      <c r="C3" s="136" t="s">
        <v>5</v>
      </c>
      <c r="D3" s="136" t="s">
        <v>120</v>
      </c>
      <c r="E3" s="135" t="s">
        <v>121</v>
      </c>
    </row>
    <row r="4" spans="1:8" ht="12.75" customHeight="1">
      <c r="A4" s="137" t="s">
        <v>66</v>
      </c>
      <c r="B4" s="138"/>
      <c r="C4" s="293"/>
      <c r="D4" s="294"/>
      <c r="E4" s="295"/>
      <c r="F4" s="105"/>
      <c r="H4" s="90"/>
    </row>
    <row r="5" spans="1:7" ht="12.75">
      <c r="A5" s="87" t="s">
        <v>67</v>
      </c>
      <c r="B5" s="82"/>
      <c r="C5" s="284"/>
      <c r="D5" s="285"/>
      <c r="E5" s="286"/>
      <c r="F5" s="105"/>
      <c r="G5" s="90"/>
    </row>
    <row r="6" spans="1:8" ht="12.75" customHeight="1">
      <c r="A6" s="87" t="s">
        <v>109</v>
      </c>
      <c r="B6" s="82"/>
      <c r="C6" s="287"/>
      <c r="D6" s="288"/>
      <c r="E6" s="289"/>
      <c r="F6" s="105"/>
      <c r="H6" s="90"/>
    </row>
    <row r="7" spans="1:8" ht="12.75" customHeight="1">
      <c r="A7" s="106" t="s">
        <v>262</v>
      </c>
      <c r="B7" s="82"/>
      <c r="C7" s="278"/>
      <c r="D7" s="279"/>
      <c r="E7" s="280"/>
      <c r="F7" s="105"/>
      <c r="H7" s="90"/>
    </row>
    <row r="8" spans="1:7" ht="13.5" thickBot="1">
      <c r="A8" s="88" t="s">
        <v>110</v>
      </c>
      <c r="B8" s="48"/>
      <c r="C8" s="281"/>
      <c r="D8" s="282"/>
      <c r="E8" s="283"/>
      <c r="F8" s="104"/>
      <c r="G8" s="90"/>
    </row>
    <row r="9" spans="1:6" ht="12.75">
      <c r="A9" s="77" t="s">
        <v>131</v>
      </c>
      <c r="B9" s="78" t="s">
        <v>68</v>
      </c>
      <c r="C9" s="305" t="s">
        <v>69</v>
      </c>
      <c r="D9" s="306"/>
      <c r="E9" s="307"/>
      <c r="F9" s="90"/>
    </row>
    <row r="10" spans="1:6" ht="12.75">
      <c r="A10" s="79" t="s">
        <v>70</v>
      </c>
      <c r="B10" s="80"/>
      <c r="C10" s="284"/>
      <c r="D10" s="285"/>
      <c r="E10" s="286"/>
      <c r="F10" s="90"/>
    </row>
    <row r="11" spans="1:5" ht="12.75">
      <c r="A11" s="79" t="s">
        <v>71</v>
      </c>
      <c r="B11" s="82"/>
      <c r="C11" s="284"/>
      <c r="D11" s="285"/>
      <c r="E11" s="286"/>
    </row>
    <row r="12" spans="1:6" ht="12.75">
      <c r="A12" s="79" t="s">
        <v>242</v>
      </c>
      <c r="B12" s="110"/>
      <c r="C12" s="81"/>
      <c r="D12" s="119"/>
      <c r="E12" s="124"/>
      <c r="F12" s="90"/>
    </row>
    <row r="13" spans="1:5" ht="12.75">
      <c r="A13" s="84" t="s">
        <v>72</v>
      </c>
      <c r="B13" s="211"/>
      <c r="C13" s="123"/>
      <c r="D13" s="122"/>
      <c r="E13" s="129"/>
    </row>
    <row r="14" spans="1:6" ht="12.75">
      <c r="A14" s="121" t="s">
        <v>118</v>
      </c>
      <c r="B14" s="120"/>
      <c r="C14" s="296">
        <v>0.2</v>
      </c>
      <c r="D14" s="297"/>
      <c r="E14" s="298"/>
      <c r="F14" s="90"/>
    </row>
    <row r="15" spans="1:6" ht="12.75">
      <c r="A15" s="84" t="s">
        <v>117</v>
      </c>
      <c r="B15" s="93" t="s">
        <v>123</v>
      </c>
      <c r="C15" s="85"/>
      <c r="D15" s="130"/>
      <c r="E15" s="126"/>
      <c r="F15" s="90"/>
    </row>
    <row r="16" spans="1:6" ht="12.75">
      <c r="A16" s="84" t="s">
        <v>113</v>
      </c>
      <c r="B16" s="93"/>
      <c r="C16" s="85"/>
      <c r="D16" s="130"/>
      <c r="E16" s="126"/>
      <c r="F16" s="90"/>
    </row>
    <row r="17" spans="1:5" ht="12.75">
      <c r="A17" s="86" t="s">
        <v>73</v>
      </c>
      <c r="B17" s="94" t="s">
        <v>68</v>
      </c>
      <c r="C17" s="308" t="s">
        <v>74</v>
      </c>
      <c r="D17" s="309"/>
      <c r="E17" s="310"/>
    </row>
    <row r="18" spans="1:5" ht="12.75">
      <c r="A18" s="79" t="s">
        <v>108</v>
      </c>
      <c r="B18" s="82"/>
      <c r="C18" s="284"/>
      <c r="D18" s="285"/>
      <c r="E18" s="286"/>
    </row>
    <row r="19" spans="1:5" ht="12.75">
      <c r="A19" s="79" t="s">
        <v>75</v>
      </c>
      <c r="B19" s="82"/>
      <c r="C19" s="284"/>
      <c r="D19" s="285"/>
      <c r="E19" s="286"/>
    </row>
    <row r="20" spans="1:5" ht="12.75">
      <c r="A20" s="79" t="s">
        <v>76</v>
      </c>
      <c r="B20" s="82"/>
      <c r="C20" s="284"/>
      <c r="D20" s="285"/>
      <c r="E20" s="286"/>
    </row>
    <row r="21" spans="1:5" ht="12.75">
      <c r="A21" s="79" t="s">
        <v>77</v>
      </c>
      <c r="B21" s="82"/>
      <c r="C21" s="284"/>
      <c r="D21" s="285"/>
      <c r="E21" s="286"/>
    </row>
    <row r="22" spans="1:9" ht="12.75" customHeight="1">
      <c r="A22" s="79" t="s">
        <v>222</v>
      </c>
      <c r="B22" s="82" t="s">
        <v>224</v>
      </c>
      <c r="C22" s="299"/>
      <c r="D22" s="300"/>
      <c r="E22" s="301"/>
      <c r="F22" s="140"/>
      <c r="G22" s="140"/>
      <c r="H22" s="140"/>
      <c r="I22" s="140"/>
    </row>
    <row r="23" spans="1:6" s="89" customFormat="1" ht="12.75">
      <c r="A23" s="79" t="s">
        <v>223</v>
      </c>
      <c r="B23" s="206" t="s">
        <v>225</v>
      </c>
      <c r="C23" s="275"/>
      <c r="D23" s="276"/>
      <c r="E23" s="277"/>
      <c r="F23" s="96"/>
    </row>
    <row r="24" spans="1:6" ht="12.75">
      <c r="A24" s="79" t="s">
        <v>174</v>
      </c>
      <c r="B24" s="82" t="s">
        <v>263</v>
      </c>
      <c r="C24" s="118"/>
      <c r="D24" s="132"/>
      <c r="E24" s="127"/>
      <c r="F24" s="139" t="s">
        <v>124</v>
      </c>
    </row>
    <row r="25" spans="1:6" ht="12.75">
      <c r="A25" s="84" t="s">
        <v>176</v>
      </c>
      <c r="B25" s="95" t="s">
        <v>226</v>
      </c>
      <c r="C25" s="91"/>
      <c r="D25" s="91"/>
      <c r="E25" s="128"/>
      <c r="F25" s="90"/>
    </row>
    <row r="26" spans="1:6" ht="13.5" thickBot="1">
      <c r="A26" s="144" t="s">
        <v>119</v>
      </c>
      <c r="B26" s="145"/>
      <c r="C26" s="146"/>
      <c r="D26" s="146"/>
      <c r="E26" s="147"/>
      <c r="F26" s="90"/>
    </row>
    <row r="27" spans="1:6" s="98" customFormat="1" ht="12.75">
      <c r="A27" s="143"/>
      <c r="B27" s="198"/>
      <c r="C27" s="199"/>
      <c r="D27" s="199"/>
      <c r="E27" s="199"/>
      <c r="F27" s="200"/>
    </row>
    <row r="28" spans="1:6" s="98" customFormat="1" ht="12.75">
      <c r="A28" s="143"/>
      <c r="B28" s="198"/>
      <c r="C28" s="199"/>
      <c r="D28" s="199"/>
      <c r="E28" s="199"/>
      <c r="F28" s="200"/>
    </row>
    <row r="29" ht="15.75" thickBot="1">
      <c r="A29" s="194" t="s">
        <v>217</v>
      </c>
    </row>
    <row r="30" spans="1:6" ht="13.5" thickBot="1">
      <c r="A30" s="148"/>
      <c r="B30" s="150"/>
      <c r="C30" s="136" t="s">
        <v>5</v>
      </c>
      <c r="D30" s="133" t="s">
        <v>120</v>
      </c>
      <c r="E30" s="134" t="s">
        <v>6</v>
      </c>
      <c r="F30" s="142" t="s">
        <v>127</v>
      </c>
    </row>
    <row r="31" spans="1:8" ht="12.75" customHeight="1">
      <c r="A31" s="137" t="s">
        <v>66</v>
      </c>
      <c r="B31" s="138"/>
      <c r="C31" s="293" t="s">
        <v>78</v>
      </c>
      <c r="D31" s="294"/>
      <c r="E31" s="295"/>
      <c r="F31" s="311" t="s">
        <v>126</v>
      </c>
      <c r="H31" s="90"/>
    </row>
    <row r="32" spans="1:7" ht="12.75">
      <c r="A32" s="87" t="s">
        <v>67</v>
      </c>
      <c r="B32" s="82"/>
      <c r="C32" s="284">
        <f>2205</f>
        <v>2205</v>
      </c>
      <c r="D32" s="285"/>
      <c r="E32" s="286"/>
      <c r="F32" s="312"/>
      <c r="G32" s="90"/>
    </row>
    <row r="33" spans="1:8" ht="12.75" customHeight="1">
      <c r="A33" s="87" t="s">
        <v>109</v>
      </c>
      <c r="B33" s="82"/>
      <c r="C33" s="287">
        <f>C32*350/1000000</f>
        <v>0.77175</v>
      </c>
      <c r="D33" s="288"/>
      <c r="E33" s="289"/>
      <c r="F33" s="312"/>
      <c r="H33" s="90"/>
    </row>
    <row r="34" spans="1:8" ht="12.75" customHeight="1">
      <c r="A34" s="106" t="s">
        <v>262</v>
      </c>
      <c r="B34" s="82"/>
      <c r="C34" s="290">
        <f>'Table B Enzyme Perf &amp; Cost Cont'!D41</f>
        <v>83.75768346008593</v>
      </c>
      <c r="D34" s="291"/>
      <c r="E34" s="292"/>
      <c r="F34" s="105"/>
      <c r="H34" s="90"/>
    </row>
    <row r="35" spans="1:7" ht="13.5" thickBot="1">
      <c r="A35" s="88" t="s">
        <v>110</v>
      </c>
      <c r="B35" s="48"/>
      <c r="C35" s="281">
        <f>C33*C34</f>
        <v>64.63999221032132</v>
      </c>
      <c r="D35" s="282"/>
      <c r="E35" s="283"/>
      <c r="F35" s="104"/>
      <c r="G35" s="90"/>
    </row>
    <row r="36" spans="1:6" ht="12.75">
      <c r="A36" s="77" t="s">
        <v>79</v>
      </c>
      <c r="B36" s="78" t="s">
        <v>68</v>
      </c>
      <c r="C36" s="305" t="s">
        <v>69</v>
      </c>
      <c r="D36" s="306"/>
      <c r="E36" s="307"/>
      <c r="F36" s="90"/>
    </row>
    <row r="37" spans="1:9" ht="12.75" customHeight="1">
      <c r="A37" s="79" t="s">
        <v>70</v>
      </c>
      <c r="B37" s="80" t="s">
        <v>80</v>
      </c>
      <c r="C37" s="302">
        <v>19.1</v>
      </c>
      <c r="D37" s="303"/>
      <c r="E37" s="304"/>
      <c r="F37" s="313" t="s">
        <v>132</v>
      </c>
      <c r="G37" s="314"/>
      <c r="H37" s="141"/>
      <c r="I37" s="141"/>
    </row>
    <row r="38" spans="1:9" ht="12.75">
      <c r="A38" s="79" t="s">
        <v>71</v>
      </c>
      <c r="B38" s="80" t="s">
        <v>111</v>
      </c>
      <c r="C38" s="302">
        <v>7.8</v>
      </c>
      <c r="D38" s="303"/>
      <c r="E38" s="304"/>
      <c r="F38" s="313"/>
      <c r="G38" s="314"/>
      <c r="H38" s="141"/>
      <c r="I38" s="141"/>
    </row>
    <row r="39" spans="1:7" ht="12.75">
      <c r="A39" s="79" t="s">
        <v>242</v>
      </c>
      <c r="B39" s="110" t="s">
        <v>52</v>
      </c>
      <c r="C39" s="197">
        <v>16</v>
      </c>
      <c r="D39" s="195">
        <v>12</v>
      </c>
      <c r="E39" s="196">
        <v>9.4</v>
      </c>
      <c r="F39" s="313" t="s">
        <v>125</v>
      </c>
      <c r="G39" s="315"/>
    </row>
    <row r="40" spans="1:6" ht="12.75">
      <c r="A40" s="84" t="s">
        <v>72</v>
      </c>
      <c r="B40" s="92"/>
      <c r="C40" s="83">
        <f>SUM(C37:C39)</f>
        <v>42.900000000000006</v>
      </c>
      <c r="D40" s="131">
        <f>C37+C38+D39</f>
        <v>38.900000000000006</v>
      </c>
      <c r="E40" s="125">
        <f>C37+C38+E39</f>
        <v>36.300000000000004</v>
      </c>
      <c r="F40" s="90"/>
    </row>
    <row r="41" spans="1:8" ht="12.75">
      <c r="A41" s="121" t="s">
        <v>118</v>
      </c>
      <c r="B41" s="120"/>
      <c r="C41" s="296">
        <v>0.2</v>
      </c>
      <c r="D41" s="297"/>
      <c r="E41" s="298"/>
      <c r="F41" s="313" t="s">
        <v>128</v>
      </c>
      <c r="G41" s="314"/>
      <c r="H41" s="314"/>
    </row>
    <row r="42" spans="1:6" ht="12.75">
      <c r="A42" s="84" t="s">
        <v>117</v>
      </c>
      <c r="B42" s="93" t="s">
        <v>123</v>
      </c>
      <c r="C42" s="85">
        <f>C40*C41</f>
        <v>8.580000000000002</v>
      </c>
      <c r="D42" s="130">
        <f>D40*C41</f>
        <v>7.780000000000001</v>
      </c>
      <c r="E42" s="126">
        <f>E40*C41</f>
        <v>7.260000000000002</v>
      </c>
      <c r="F42" s="90"/>
    </row>
    <row r="43" spans="1:6" ht="12.75">
      <c r="A43" s="84" t="s">
        <v>175</v>
      </c>
      <c r="B43" s="93"/>
      <c r="C43" s="85">
        <f>C42/C35</f>
        <v>0.13273516451058606</v>
      </c>
      <c r="D43" s="85">
        <f>D42/C35</f>
        <v>0.12035892539537989</v>
      </c>
      <c r="E43" s="126">
        <f>E42/C35</f>
        <v>0.11231436997049589</v>
      </c>
      <c r="F43" s="90"/>
    </row>
    <row r="44" spans="1:6" ht="12.75">
      <c r="A44" s="86" t="s">
        <v>81</v>
      </c>
      <c r="B44" s="94" t="s">
        <v>68</v>
      </c>
      <c r="C44" s="308" t="s">
        <v>74</v>
      </c>
      <c r="D44" s="309"/>
      <c r="E44" s="310"/>
      <c r="F44" s="90"/>
    </row>
    <row r="45" spans="1:6" ht="12.75">
      <c r="A45" s="79" t="s">
        <v>108</v>
      </c>
      <c r="B45" s="82" t="s">
        <v>221</v>
      </c>
      <c r="C45" s="302">
        <v>2.4</v>
      </c>
      <c r="D45" s="303"/>
      <c r="E45" s="304"/>
      <c r="F45" s="90" t="s">
        <v>129</v>
      </c>
    </row>
    <row r="46" spans="1:6" ht="12.75">
      <c r="A46" s="79" t="s">
        <v>75</v>
      </c>
      <c r="B46" s="82" t="s">
        <v>116</v>
      </c>
      <c r="C46" s="302">
        <v>1.5</v>
      </c>
      <c r="D46" s="303"/>
      <c r="E46" s="304"/>
      <c r="F46" s="90" t="s">
        <v>129</v>
      </c>
    </row>
    <row r="47" spans="1:8" ht="12.75">
      <c r="A47" s="79" t="s">
        <v>76</v>
      </c>
      <c r="B47" s="82" t="s">
        <v>82</v>
      </c>
      <c r="C47" s="299">
        <f>(128000000*8406/1000000)*3/1000000</f>
        <v>3.227904</v>
      </c>
      <c r="D47" s="300"/>
      <c r="E47" s="301"/>
      <c r="F47" s="314" t="s">
        <v>130</v>
      </c>
      <c r="G47" s="315"/>
      <c r="H47" s="315"/>
    </row>
    <row r="48" spans="1:9" ht="12.75" customHeight="1">
      <c r="A48" s="79" t="s">
        <v>77</v>
      </c>
      <c r="B48" s="82" t="s">
        <v>83</v>
      </c>
      <c r="C48" s="299">
        <f>4000*0.04*8406/1000000</f>
        <v>1.34496</v>
      </c>
      <c r="D48" s="300"/>
      <c r="E48" s="301"/>
      <c r="F48" s="314" t="s">
        <v>133</v>
      </c>
      <c r="G48" s="314"/>
      <c r="H48" s="314"/>
      <c r="I48" s="314"/>
    </row>
    <row r="49" spans="1:9" ht="12.75" customHeight="1">
      <c r="A49" s="79" t="s">
        <v>222</v>
      </c>
      <c r="B49" s="82" t="s">
        <v>224</v>
      </c>
      <c r="C49" s="299">
        <f>SUM(C45:E48)</f>
        <v>8.472864</v>
      </c>
      <c r="D49" s="300"/>
      <c r="E49" s="301"/>
      <c r="F49" s="140"/>
      <c r="G49" s="140"/>
      <c r="H49" s="140"/>
      <c r="I49" s="140"/>
    </row>
    <row r="50" spans="1:6" s="89" customFormat="1" ht="12.75">
      <c r="A50" s="79" t="s">
        <v>223</v>
      </c>
      <c r="B50" s="206" t="s">
        <v>225</v>
      </c>
      <c r="C50" s="275">
        <f>C49/C35</f>
        <v>0.13107773856827762</v>
      </c>
      <c r="D50" s="276"/>
      <c r="E50" s="277"/>
      <c r="F50" s="96"/>
    </row>
    <row r="51" spans="1:6" ht="12.75">
      <c r="A51" s="79" t="s">
        <v>174</v>
      </c>
      <c r="B51" s="82" t="s">
        <v>263</v>
      </c>
      <c r="C51" s="118">
        <f>'Table B Enzyme Perf &amp; Cost Cont'!D32</f>
        <v>0.42233915980641007</v>
      </c>
      <c r="D51" s="132">
        <f>'Table B Enzyme Perf &amp; Cost Cont'!E32</f>
        <v>0.31675436985480754</v>
      </c>
      <c r="E51" s="127">
        <f>'Table B Enzyme Perf &amp; Cost Cont'!F32</f>
        <v>0.09502631095644226</v>
      </c>
      <c r="F51" s="139" t="s">
        <v>124</v>
      </c>
    </row>
    <row r="52" spans="1:6" ht="12.75">
      <c r="A52" s="84" t="s">
        <v>176</v>
      </c>
      <c r="B52" s="95" t="s">
        <v>226</v>
      </c>
      <c r="C52" s="91">
        <f>C50+C51</f>
        <v>0.5534168983746877</v>
      </c>
      <c r="D52" s="91">
        <f>C50+D51</f>
        <v>0.4478321084230852</v>
      </c>
      <c r="E52" s="128">
        <f>C50+E51</f>
        <v>0.22610404952471988</v>
      </c>
      <c r="F52" s="90"/>
    </row>
    <row r="53" spans="1:6" ht="13.5" thickBot="1">
      <c r="A53" s="144" t="s">
        <v>119</v>
      </c>
      <c r="B53" s="145"/>
      <c r="C53" s="146">
        <f>C43+C52</f>
        <v>0.6861520628852738</v>
      </c>
      <c r="D53" s="146">
        <f>D43+D52</f>
        <v>0.568191033818465</v>
      </c>
      <c r="E53" s="147">
        <f>E43+E52</f>
        <v>0.3384184194952158</v>
      </c>
      <c r="F53" s="90"/>
    </row>
    <row r="55" spans="2:5" ht="12.75">
      <c r="B55" s="109"/>
      <c r="C55" s="108"/>
      <c r="D55" s="108"/>
      <c r="E55" s="108"/>
    </row>
  </sheetData>
  <mergeCells count="38">
    <mergeCell ref="F31:F33"/>
    <mergeCell ref="F41:H41"/>
    <mergeCell ref="F47:H47"/>
    <mergeCell ref="F48:I48"/>
    <mergeCell ref="F37:G38"/>
    <mergeCell ref="F39:G39"/>
    <mergeCell ref="C49:E49"/>
    <mergeCell ref="C9:E9"/>
    <mergeCell ref="C17:E17"/>
    <mergeCell ref="C36:E36"/>
    <mergeCell ref="C44:E44"/>
    <mergeCell ref="C22:E22"/>
    <mergeCell ref="C10:E10"/>
    <mergeCell ref="C20:E20"/>
    <mergeCell ref="C19:E19"/>
    <mergeCell ref="C41:E41"/>
    <mergeCell ref="C37:E37"/>
    <mergeCell ref="C38:E38"/>
    <mergeCell ref="C45:E45"/>
    <mergeCell ref="C46:E46"/>
    <mergeCell ref="C4:E4"/>
    <mergeCell ref="C5:E5"/>
    <mergeCell ref="C6:E6"/>
    <mergeCell ref="C31:E31"/>
    <mergeCell ref="C14:E14"/>
    <mergeCell ref="C11:E11"/>
    <mergeCell ref="C18:E18"/>
    <mergeCell ref="C21:E21"/>
    <mergeCell ref="C50:E50"/>
    <mergeCell ref="C7:E7"/>
    <mergeCell ref="C8:E8"/>
    <mergeCell ref="C23:E23"/>
    <mergeCell ref="C32:E32"/>
    <mergeCell ref="C33:E33"/>
    <mergeCell ref="C34:E34"/>
    <mergeCell ref="C35:E35"/>
    <mergeCell ref="C47:E47"/>
    <mergeCell ref="C48:E48"/>
  </mergeCells>
  <printOptions/>
  <pageMargins left="0.23" right="0.26" top="0.75" bottom="0.61" header="0.5" footer="0.5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M16" sqref="M16"/>
    </sheetView>
  </sheetViews>
  <sheetFormatPr defaultColWidth="9.140625" defaultRowHeight="12.75"/>
  <cols>
    <col min="1" max="1" width="40.57421875" style="0" bestFit="1" customWidth="1"/>
    <col min="2" max="2" width="19.421875" style="0" customWidth="1"/>
    <col min="3" max="3" width="18.7109375" style="0" customWidth="1"/>
    <col min="4" max="4" width="16.7109375" style="0" customWidth="1"/>
    <col min="5" max="5" width="13.140625" style="0" customWidth="1"/>
    <col min="6" max="6" width="13.421875" style="0" customWidth="1"/>
    <col min="7" max="7" width="13.7109375" style="0" hidden="1" customWidth="1"/>
    <col min="8" max="10" width="11.8515625" style="0" hidden="1" customWidth="1"/>
  </cols>
  <sheetData>
    <row r="1" spans="1:10" ht="13.5" thickBot="1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2.75">
      <c r="A2" s="1"/>
      <c r="B2" s="317" t="s">
        <v>1</v>
      </c>
      <c r="C2" s="318"/>
      <c r="D2" s="319"/>
      <c r="E2" s="320" t="s">
        <v>2</v>
      </c>
      <c r="F2" s="321"/>
      <c r="G2" s="322" t="s">
        <v>3</v>
      </c>
      <c r="H2" s="322"/>
      <c r="I2" s="322"/>
      <c r="J2" s="323"/>
    </row>
    <row r="3" spans="1:10" ht="51.75" thickBot="1">
      <c r="A3" s="2" t="s">
        <v>4</v>
      </c>
      <c r="B3" s="3" t="s">
        <v>26</v>
      </c>
      <c r="C3" s="58" t="s">
        <v>31</v>
      </c>
      <c r="D3" s="58" t="s">
        <v>30</v>
      </c>
      <c r="E3" s="4" t="s">
        <v>5</v>
      </c>
      <c r="F3" s="5" t="s">
        <v>6</v>
      </c>
      <c r="G3" s="6" t="s">
        <v>7</v>
      </c>
      <c r="H3" s="6" t="s">
        <v>49</v>
      </c>
      <c r="I3" s="6" t="s">
        <v>50</v>
      </c>
      <c r="J3" s="7" t="s">
        <v>48</v>
      </c>
    </row>
    <row r="4" spans="1:10" ht="39" thickTop="1">
      <c r="A4" s="8" t="s">
        <v>15</v>
      </c>
      <c r="B4" s="9" t="s">
        <v>17</v>
      </c>
      <c r="C4" s="10" t="s">
        <v>28</v>
      </c>
      <c r="D4" s="11" t="s">
        <v>32</v>
      </c>
      <c r="E4" s="12" t="s">
        <v>33</v>
      </c>
      <c r="F4" s="13" t="s">
        <v>33</v>
      </c>
      <c r="G4" s="14"/>
      <c r="H4" s="15"/>
      <c r="I4" s="15"/>
      <c r="J4" s="16"/>
    </row>
    <row r="5" spans="1:10" ht="38.25">
      <c r="A5" s="17" t="s">
        <v>51</v>
      </c>
      <c r="B5" s="18" t="s">
        <v>16</v>
      </c>
      <c r="C5" s="19" t="s">
        <v>8</v>
      </c>
      <c r="D5" s="20" t="s">
        <v>8</v>
      </c>
      <c r="E5" s="20" t="s">
        <v>52</v>
      </c>
      <c r="F5" s="20" t="s">
        <v>52</v>
      </c>
      <c r="G5" s="21"/>
      <c r="H5" s="22"/>
      <c r="I5" s="22"/>
      <c r="J5" s="23"/>
    </row>
    <row r="6" spans="1:10" ht="12.75">
      <c r="A6" s="24" t="s">
        <v>23</v>
      </c>
      <c r="B6" s="25"/>
      <c r="C6" s="26"/>
      <c r="D6" s="27"/>
      <c r="E6" s="25"/>
      <c r="F6" s="27"/>
      <c r="G6" s="28"/>
      <c r="H6" s="26"/>
      <c r="I6" s="26"/>
      <c r="J6" s="27"/>
    </row>
    <row r="7" spans="1:10" ht="12.75">
      <c r="A7" s="29" t="s">
        <v>9</v>
      </c>
      <c r="B7" s="69">
        <v>0.05</v>
      </c>
      <c r="C7" s="73">
        <v>0.1</v>
      </c>
      <c r="D7" s="70">
        <v>0.1</v>
      </c>
      <c r="E7" s="69">
        <v>0.2</v>
      </c>
      <c r="F7" s="70">
        <v>0.2</v>
      </c>
      <c r="G7" s="21"/>
      <c r="H7" s="22"/>
      <c r="I7" s="22"/>
      <c r="J7" s="23"/>
    </row>
    <row r="8" spans="1:10" ht="12.75">
      <c r="A8" s="29" t="s">
        <v>19</v>
      </c>
      <c r="B8" s="68">
        <v>0.05</v>
      </c>
      <c r="C8" s="72">
        <v>0.03</v>
      </c>
      <c r="D8" s="67">
        <v>0.03</v>
      </c>
      <c r="E8" s="68">
        <f>24463/413934</f>
        <v>0.059098793527470564</v>
      </c>
      <c r="F8" s="67">
        <f>28432/428008</f>
        <v>0.0664286648847685</v>
      </c>
      <c r="G8" s="21"/>
      <c r="H8" s="22"/>
      <c r="I8" s="22"/>
      <c r="J8" s="23"/>
    </row>
    <row r="9" spans="1:10" ht="12.75">
      <c r="A9" s="29" t="s">
        <v>58</v>
      </c>
      <c r="B9" s="68">
        <v>0</v>
      </c>
      <c r="C9" s="72">
        <v>0.005</v>
      </c>
      <c r="D9" s="67">
        <v>0</v>
      </c>
      <c r="E9" s="68">
        <f>5659/413934</f>
        <v>0.013671261602091155</v>
      </c>
      <c r="F9" s="67">
        <f>2432/428008</f>
        <v>0.005682136782490047</v>
      </c>
      <c r="G9" s="21"/>
      <c r="H9" s="22"/>
      <c r="I9" s="22"/>
      <c r="J9" s="23"/>
    </row>
    <row r="10" spans="1:10" ht="12.75">
      <c r="A10" s="29" t="s">
        <v>59</v>
      </c>
      <c r="B10" s="68">
        <v>0</v>
      </c>
      <c r="C10" s="72">
        <v>0.005</v>
      </c>
      <c r="D10" s="67">
        <v>0</v>
      </c>
      <c r="E10" s="68">
        <f>913/413934</f>
        <v>0.002205665637517092</v>
      </c>
      <c r="F10" s="67">
        <f>931/428008</f>
        <v>0.002175192987046971</v>
      </c>
      <c r="G10" s="21"/>
      <c r="H10" s="22"/>
      <c r="I10" s="22"/>
      <c r="J10" s="23"/>
    </row>
    <row r="11" spans="1:10" ht="12.75">
      <c r="A11" s="29" t="s">
        <v>18</v>
      </c>
      <c r="B11" s="68">
        <v>0</v>
      </c>
      <c r="C11" s="72">
        <v>0</v>
      </c>
      <c r="D11" s="67">
        <v>0.02</v>
      </c>
      <c r="E11" s="68">
        <f>2424/413934</f>
        <v>0.005856006029946803</v>
      </c>
      <c r="F11" s="67">
        <f>439/428008</f>
        <v>0.0010256817629577016</v>
      </c>
      <c r="G11" s="21"/>
      <c r="H11" s="22"/>
      <c r="I11" s="22"/>
      <c r="J11" s="23"/>
    </row>
    <row r="12" spans="1:10" ht="12.75">
      <c r="A12" s="29" t="s">
        <v>60</v>
      </c>
      <c r="B12" s="68">
        <v>0</v>
      </c>
      <c r="C12" s="72">
        <v>0.02</v>
      </c>
      <c r="D12" s="67">
        <v>0</v>
      </c>
      <c r="E12" s="68">
        <f>11278/413934</f>
        <v>0.0272458894413119</v>
      </c>
      <c r="F12" s="67">
        <f>18088/428008</f>
        <v>0.042260892319769726</v>
      </c>
      <c r="G12" s="21"/>
      <c r="H12" s="22"/>
      <c r="I12" s="22"/>
      <c r="J12" s="23"/>
    </row>
    <row r="13" spans="1:10" ht="12.75">
      <c r="A13" s="29" t="s">
        <v>61</v>
      </c>
      <c r="B13" s="68">
        <v>0</v>
      </c>
      <c r="C13" s="72">
        <v>0.01</v>
      </c>
      <c r="D13" s="67">
        <v>0</v>
      </c>
      <c r="E13" s="68">
        <f>2279/413934</f>
        <v>0.00550570863954157</v>
      </c>
      <c r="F13" s="67">
        <f>566/428008</f>
        <v>0.001322405188688062</v>
      </c>
      <c r="G13" s="21"/>
      <c r="H13" s="22"/>
      <c r="I13" s="22"/>
      <c r="J13" s="23"/>
    </row>
    <row r="14" spans="1:10" ht="12.75">
      <c r="A14" s="29" t="s">
        <v>20</v>
      </c>
      <c r="B14" s="68">
        <v>0</v>
      </c>
      <c r="C14" s="72">
        <v>0.015</v>
      </c>
      <c r="D14" s="67">
        <v>0.015</v>
      </c>
      <c r="E14" s="68">
        <f>13501/413934</f>
        <v>0.0326163108128349</v>
      </c>
      <c r="F14" s="67">
        <f>14251/428008</f>
        <v>0.03329610661482963</v>
      </c>
      <c r="G14" s="21"/>
      <c r="H14" s="22"/>
      <c r="I14" s="22"/>
      <c r="J14" s="23"/>
    </row>
    <row r="15" spans="1:10" ht="12.75">
      <c r="A15" s="29" t="s">
        <v>62</v>
      </c>
      <c r="B15" s="68"/>
      <c r="C15" s="72"/>
      <c r="D15" s="67"/>
      <c r="E15" s="68"/>
      <c r="F15" s="71"/>
      <c r="G15" s="21"/>
      <c r="H15" s="22"/>
      <c r="I15" s="22"/>
      <c r="J15" s="23"/>
    </row>
    <row r="16" spans="1:10" ht="12.75">
      <c r="A16" s="31" t="s">
        <v>24</v>
      </c>
      <c r="B16" s="37"/>
      <c r="C16" s="38"/>
      <c r="D16" s="39"/>
      <c r="E16" s="37"/>
      <c r="F16" s="39"/>
      <c r="G16" s="28"/>
      <c r="H16" s="26"/>
      <c r="I16" s="26"/>
      <c r="J16" s="27"/>
    </row>
    <row r="17" spans="1:10" ht="12.75">
      <c r="A17" s="40" t="s">
        <v>47</v>
      </c>
      <c r="B17" s="18">
        <v>48</v>
      </c>
      <c r="C17" s="19">
        <f>7*24</f>
        <v>168</v>
      </c>
      <c r="D17" s="20">
        <v>168</v>
      </c>
      <c r="E17" s="18">
        <v>168</v>
      </c>
      <c r="F17" s="20">
        <v>72</v>
      </c>
      <c r="G17" s="21"/>
      <c r="H17" s="22"/>
      <c r="I17" s="22"/>
      <c r="J17" s="23"/>
    </row>
    <row r="18" spans="1:10" ht="12.75">
      <c r="A18" s="29" t="s">
        <v>25</v>
      </c>
      <c r="B18" s="18">
        <v>45</v>
      </c>
      <c r="C18" s="19">
        <v>42</v>
      </c>
      <c r="D18" s="20">
        <v>42</v>
      </c>
      <c r="E18" s="18" t="s">
        <v>53</v>
      </c>
      <c r="F18" s="20" t="s">
        <v>53</v>
      </c>
      <c r="G18" s="21"/>
      <c r="H18" s="22"/>
      <c r="I18" s="22"/>
      <c r="J18" s="23"/>
    </row>
    <row r="19" spans="1:10" ht="12.75">
      <c r="A19" s="29" t="s">
        <v>27</v>
      </c>
      <c r="B19" s="18">
        <v>20</v>
      </c>
      <c r="C19" s="19">
        <v>40</v>
      </c>
      <c r="D19" s="20">
        <v>40</v>
      </c>
      <c r="E19" s="18">
        <v>40</v>
      </c>
      <c r="F19" s="20">
        <v>20</v>
      </c>
      <c r="G19" s="21"/>
      <c r="H19" s="22"/>
      <c r="I19" s="22"/>
      <c r="J19" s="23"/>
    </row>
    <row r="20" spans="1:10" ht="12.75">
      <c r="A20" s="29" t="s">
        <v>65</v>
      </c>
      <c r="B20" s="18">
        <v>20</v>
      </c>
      <c r="C20" s="19"/>
      <c r="D20" s="20"/>
      <c r="E20" s="18">
        <v>40</v>
      </c>
      <c r="F20" s="20">
        <v>20</v>
      </c>
      <c r="G20" s="21"/>
      <c r="H20" s="22"/>
      <c r="I20" s="22"/>
      <c r="J20" s="23"/>
    </row>
    <row r="21" spans="1:10" ht="12.75">
      <c r="A21" s="32" t="s">
        <v>134</v>
      </c>
      <c r="B21" s="25"/>
      <c r="C21" s="26"/>
      <c r="D21" s="27"/>
      <c r="E21" s="25"/>
      <c r="F21" s="27"/>
      <c r="G21" s="28"/>
      <c r="H21" s="26"/>
      <c r="I21" s="26"/>
      <c r="J21" s="27"/>
    </row>
    <row r="22" spans="1:10" ht="12.75">
      <c r="A22" s="33" t="s">
        <v>55</v>
      </c>
      <c r="B22" s="59">
        <v>90</v>
      </c>
      <c r="C22" s="59">
        <v>82</v>
      </c>
      <c r="D22" s="30">
        <v>85</v>
      </c>
      <c r="E22" s="34">
        <v>90</v>
      </c>
      <c r="F22" s="35">
        <v>91.5</v>
      </c>
      <c r="G22" s="21"/>
      <c r="H22" s="22"/>
      <c r="I22" s="22"/>
      <c r="J22" s="23"/>
    </row>
    <row r="23" spans="1:10" ht="25.5">
      <c r="A23" s="74" t="s">
        <v>57</v>
      </c>
      <c r="B23" s="59">
        <v>0</v>
      </c>
      <c r="C23" s="59">
        <v>0</v>
      </c>
      <c r="D23" s="30">
        <v>0</v>
      </c>
      <c r="E23" s="34">
        <v>5.2</v>
      </c>
      <c r="F23" s="35">
        <v>5.2</v>
      </c>
      <c r="G23" s="21"/>
      <c r="H23" s="22"/>
      <c r="I23" s="22"/>
      <c r="J23" s="23"/>
    </row>
    <row r="24" spans="1:10" ht="12.75">
      <c r="A24" s="33" t="s">
        <v>21</v>
      </c>
      <c r="B24" s="59">
        <v>0</v>
      </c>
      <c r="C24" s="59">
        <v>0</v>
      </c>
      <c r="D24" s="20">
        <v>80</v>
      </c>
      <c r="E24" s="34">
        <v>0</v>
      </c>
      <c r="F24" s="35">
        <v>0</v>
      </c>
      <c r="G24" s="21"/>
      <c r="H24" s="22"/>
      <c r="I24" s="22"/>
      <c r="J24" s="23"/>
    </row>
    <row r="25" spans="1:10" ht="12.75">
      <c r="A25" s="57" t="s">
        <v>22</v>
      </c>
      <c r="B25" s="60">
        <v>0</v>
      </c>
      <c r="C25" s="60">
        <v>0</v>
      </c>
      <c r="D25" s="36">
        <v>10</v>
      </c>
      <c r="E25" s="34">
        <v>0</v>
      </c>
      <c r="F25" s="35">
        <v>0</v>
      </c>
      <c r="G25" s="21"/>
      <c r="H25" s="22"/>
      <c r="I25" s="22"/>
      <c r="J25" s="23"/>
    </row>
    <row r="26" spans="1:10" ht="25.5" customHeight="1">
      <c r="A26" s="66" t="s">
        <v>56</v>
      </c>
      <c r="B26" s="60">
        <v>100</v>
      </c>
      <c r="C26" s="61">
        <v>100</v>
      </c>
      <c r="D26" s="36">
        <v>100</v>
      </c>
      <c r="E26" s="34">
        <v>100</v>
      </c>
      <c r="F26" s="35">
        <v>100</v>
      </c>
      <c r="G26" s="21"/>
      <c r="H26" s="22"/>
      <c r="I26" s="22"/>
      <c r="J26" s="23"/>
    </row>
    <row r="27" spans="1:10" ht="12.75">
      <c r="A27" s="57" t="s">
        <v>29</v>
      </c>
      <c r="B27" s="60">
        <v>0</v>
      </c>
      <c r="C27" s="61">
        <v>2</v>
      </c>
      <c r="D27" s="36">
        <v>0</v>
      </c>
      <c r="E27" s="34">
        <v>0</v>
      </c>
      <c r="F27" s="35">
        <v>0</v>
      </c>
      <c r="G27" s="21"/>
      <c r="H27" s="22"/>
      <c r="I27" s="22"/>
      <c r="J27" s="23"/>
    </row>
    <row r="28" spans="1:10" ht="14.25" customHeight="1">
      <c r="A28" s="17" t="s">
        <v>10</v>
      </c>
      <c r="B28" s="18" t="s">
        <v>11</v>
      </c>
      <c r="C28" s="19" t="s">
        <v>12</v>
      </c>
      <c r="D28" s="20" t="s">
        <v>12</v>
      </c>
      <c r="E28" s="18" t="s">
        <v>12</v>
      </c>
      <c r="F28" s="20"/>
      <c r="G28" s="21"/>
      <c r="H28" s="22"/>
      <c r="I28" s="22"/>
      <c r="J28" s="23"/>
    </row>
    <row r="29" spans="1:10" ht="141" customHeight="1" thickBot="1">
      <c r="A29" s="41" t="s">
        <v>13</v>
      </c>
      <c r="B29" s="42"/>
      <c r="C29" s="43"/>
      <c r="D29" s="44"/>
      <c r="E29" s="45" t="s">
        <v>14</v>
      </c>
      <c r="F29" s="46" t="s">
        <v>54</v>
      </c>
      <c r="G29" s="47"/>
      <c r="H29" s="48"/>
      <c r="I29" s="48"/>
      <c r="J29" s="49"/>
    </row>
    <row r="31" spans="5:6" ht="12.75">
      <c r="E31" t="s">
        <v>63</v>
      </c>
      <c r="F31" t="s">
        <v>64</v>
      </c>
    </row>
  </sheetData>
  <mergeCells count="4">
    <mergeCell ref="A1:J1"/>
    <mergeCell ref="B2:D2"/>
    <mergeCell ref="E2:F2"/>
    <mergeCell ref="G2:J2"/>
  </mergeCells>
  <printOptions/>
  <pageMargins left="0.18" right="0.32" top="0.54" bottom="0.48" header="0.5" footer="0.5"/>
  <pageSetup fitToHeight="1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 - Golden Field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bberendz</dc:creator>
  <cp:keywords/>
  <dc:description/>
  <cp:lastModifiedBy>alucero</cp:lastModifiedBy>
  <cp:lastPrinted>2007-07-11T18:06:11Z</cp:lastPrinted>
  <dcterms:created xsi:type="dcterms:W3CDTF">2006-10-13T14:17:02Z</dcterms:created>
  <dcterms:modified xsi:type="dcterms:W3CDTF">2007-09-05T19:00:01Z</dcterms:modified>
  <cp:category/>
  <cp:version/>
  <cp:contentType/>
  <cp:contentStatus/>
</cp:coreProperties>
</file>